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state="hidden" r:id="rId46"/>
    <sheet name="面积分摊表" sheetId="83" r:id="rId47"/>
    <sheet name="租赁情况" sheetId="84" r:id="rId48"/>
    <sheet name="商铺-广场B馆" sheetId="82" state="hidden" r:id="rId49"/>
    <sheet name="商铺-广场A馆" sheetId="81" state="hidden" r:id="rId50"/>
    <sheet name="案例" sheetId="77" r:id="rId51"/>
  </sheets>
  <externalReferences>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9" hidden="1">'商铺-广场A馆'!$A$5:$FA$30</definedName>
    <definedName name="_xlnm._FilterDatabase" localSheetId="48"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 localSheetId="46">'[1]比较法-办公'!$B$115:$M$115</definedName>
    <definedName name="办公层高">'比较法-办公'!$B$119:$M$119</definedName>
    <definedName name="办公朝向" localSheetId="46">'[1]比较法-办公'!$B$87:$M$87</definedName>
    <definedName name="办公朝向">'比较法-办公'!$B$91:$M$91</definedName>
    <definedName name="办公道路级别" localSheetId="46">'[1]比较法-办公'!$B$83:$M$83</definedName>
    <definedName name="办公道路级别">'比较法-办公'!$B$87:$M$87</definedName>
    <definedName name="办公公共部分装修" localSheetId="46">'[1]比较法-办公'!$B$104:$M$104</definedName>
    <definedName name="办公公共部分装修">'比较法-办公'!$B$108:$M$108</definedName>
    <definedName name="办公基础设施水平" localSheetId="46">'[1]比较法-办公'!$B$113:$M$113</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'[1]比较法-办公'!$B$102:$M$102</definedName>
    <definedName name="办公建筑结构">'比较法-办公'!$B$106:$M$106</definedName>
    <definedName name="办公建筑类型" localSheetId="46">'[1]比较法-办公'!$B$97:$M$97</definedName>
    <definedName name="办公建筑类型">'比较法-办公'!$B$101:$M$101</definedName>
    <definedName name="办公交易情况" localSheetId="46">'[1]比较法-办公'!$A$60:$M$60</definedName>
    <definedName name="办公交易情况">'比较法-办公'!$A$62:$M$62</definedName>
    <definedName name="办公楼层" localSheetId="46">'[1]比较法-办公'!$B$85:$M$85</definedName>
    <definedName name="办公楼层">'比较法-办公'!$B$89:$M$89</definedName>
    <definedName name="办公内部装修" localSheetId="46">'[1]比较法-办公'!$B$119:$M$119</definedName>
    <definedName name="办公内部装修">'比较法-办公'!$B$123:$M$123</definedName>
    <definedName name="办公物业管理" localSheetId="46">'[1]比较法-办公'!$B$111:$M$111</definedName>
    <definedName name="办公物业管理">'比较法-办公'!$B$115:$M$115</definedName>
    <definedName name="办公用途" localSheetId="46">'[1]比较法-办公'!$B$62:$M$62</definedName>
    <definedName name="办公用途">'比较法-办公'!$B$64:$M$64</definedName>
    <definedName name="仓储公共部分装修" localSheetId="46">'[1]比较法-仓储'!$B$73:$M$73</definedName>
    <definedName name="仓储公共部分装修">'比较法-仓储'!$B$77:$M$77</definedName>
    <definedName name="仓储交易情况" localSheetId="46">'[1]比较法-仓储'!$A$47:$M$47</definedName>
    <definedName name="仓储交易情况">'比较法-仓储'!$A$49:$M$49</definedName>
    <definedName name="仓储楼层" localSheetId="46">'[1]比较法-仓储'!$B$65:$M$65</definedName>
    <definedName name="仓储楼层">'比较法-仓储'!$B$69:$M$69</definedName>
    <definedName name="仓储物业等级" localSheetId="46">'[1]比较法-仓储'!$B$78:$M$78</definedName>
    <definedName name="仓储物业等级">'比较法-仓储'!$B$82:$M$82</definedName>
    <definedName name="仓储用途" localSheetId="46">'[1]比较法-仓储'!$B$49:$M$49</definedName>
    <definedName name="仓储用途">'比较法-仓储'!$B$51:$M$51</definedName>
    <definedName name="产业集聚程度" localSheetId="46">[1]定义!$N$1:$N$6</definedName>
    <definedName name="产业集聚程度">定义!$N$1:$N$6</definedName>
    <definedName name="车位公共部分装修" localSheetId="46">'[1]比较法-车位'!$B$79:$M$79</definedName>
    <definedName name="车位公共部分装修">'比较法-车位'!$B$83:$M$83</definedName>
    <definedName name="车位交易情况" localSheetId="46">'[1]比较法-车位'!$A$49:$M$49</definedName>
    <definedName name="车位交易情况">'比较法-车位'!$A$51:$M$51</definedName>
    <definedName name="车位类型" localSheetId="46">'[1]比较法-车位'!$B$89:$M$89</definedName>
    <definedName name="车位类型">'比较法-车位'!$B$93:$M$93</definedName>
    <definedName name="车位楼层" localSheetId="46">'[1]比较法-车位'!$B$67:$M$67</definedName>
    <definedName name="车位楼层">'比较法-车位'!$B$71:$M$71</definedName>
    <definedName name="车位配套类型" localSheetId="46">'[1]比较法-车位'!$B$75:$M$75</definedName>
    <definedName name="车位配套类型">'比较法-车位'!$B$79:$M$79</definedName>
    <definedName name="车位物业等级" localSheetId="46">'[1]比较法-车位'!$B$84:$M$84</definedName>
    <definedName name="车位物业等级">'比较法-车位'!$B$88:$M$88</definedName>
    <definedName name="车位用途" localSheetId="46">'[1]比较法-车位'!$B$51:$M$51</definedName>
    <definedName name="车位用途">'比较法-车位'!$B$53:$M$53</definedName>
    <definedName name="城镇土地纳税等级分级范围" localSheetId="46">'[1]数据-取费表'!$A$54:$A$64</definedName>
    <definedName name="城镇土地纳税等级分级范围">'数据-取费表'!$A$53:$A$63</definedName>
    <definedName name="单价内涵" localSheetId="46">[1]定义!$U$1:$U$3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'[1]比较法-工业'!$B$91:$M$91</definedName>
    <definedName name="工业公共部分装修">'比较法-工业'!$B$95:$M$95</definedName>
    <definedName name="工业基础设施水平" localSheetId="46">'[1]比较法-工业'!$B$98:$M$98</definedName>
    <definedName name="工业基础设施水平">'比较法-工业'!$B$102:$M$102</definedName>
    <definedName name="工业建筑结构" localSheetId="46">'[1]比较法-工业'!$B$89:$M$89</definedName>
    <definedName name="工业建筑结构">'比较法-工业'!$B$93:$M$93</definedName>
    <definedName name="工业建筑类型" localSheetId="46">'[1]比较法-工业'!$B$84:$M$84</definedName>
    <definedName name="工业建筑类型">'比较法-工业'!$B$88:$M$88</definedName>
    <definedName name="工业交易情况" localSheetId="46">'[1]比较法-工业'!$A$53:$M$53</definedName>
    <definedName name="工业交易情况">'比较法-工业'!$A$55:$M$55</definedName>
    <definedName name="工业内部装修" localSheetId="46">'[1]比较法-工业'!$B$100:$M$100</definedName>
    <definedName name="工业内部装修">'比较法-工业'!$B$104:$M$104</definedName>
    <definedName name="工业物业管理" localSheetId="46">'[1]比较法-工业'!$B$96:$M$96</definedName>
    <definedName name="工业物业管理">'比较法-工业'!$B$100:$M$100</definedName>
    <definedName name="工业用途" localSheetId="46">'[1]比较法-工业'!$B$55:$M$55</definedName>
    <definedName name="工业用途">'比较法-工业'!$B$57:$M$57</definedName>
    <definedName name="公共配套设施">定义!$Q$1:$Q$6</definedName>
    <definedName name="公用设施及基础设施水平">[1]定义!$Q$1:$Q$6</definedName>
    <definedName name="估价方法" localSheetId="46">[1]定义!$B$1:$B$50</definedName>
    <definedName name="估价方法">定义!$B$1:$B$50</definedName>
    <definedName name="环境" localSheetId="46">[1]定义!$R$1:$R$6</definedName>
    <definedName name="环境">定义!$S$1:$S$6</definedName>
    <definedName name="基础设施水平">定义!$R$1:$R$6</definedName>
    <definedName name="季度" localSheetId="46">[1]基准地价修正!$O$19:$Z$19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[1]定义!$S$1:$S$5</definedName>
    <definedName name="临街状况">定义!$T$1:$T$5</definedName>
    <definedName name="六级">区片价!$M$1:$M$49</definedName>
    <definedName name="内部装修维护情况" localSheetId="46">[1]定义!$T$1:$T$6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'[1]比较法-商业'!$B$112:$M$112</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'[1]比较法-商业'!$B$103:$M$103</definedName>
    <definedName name="商业公共部分装修">'比较法-商业'!$B$107:$M$107</definedName>
    <definedName name="商业基础设施水平" localSheetId="46">'[1]比较法-商业'!$B$108:$M$108</definedName>
    <definedName name="商业基础设施水平">'比较法-商业'!$B$112:$M$112</definedName>
    <definedName name="商业建筑结构" localSheetId="46">'[1]比较法-商业'!$B$101:$M$101</definedName>
    <definedName name="商业建筑结构">'比较法-商业'!$B$105:$M$105</definedName>
    <definedName name="商业交易情况" localSheetId="46">'[1]比较法-商业'!$A$59:$M$59</definedName>
    <definedName name="商业交易情况">'比较法-商业'!$A$61:$M$61</definedName>
    <definedName name="商业街名称" localSheetId="46">[1]修正!$C$59:$C$119</definedName>
    <definedName name="商业街名称">修正!$C$59:$C$119</definedName>
    <definedName name="商业进深比" localSheetId="46">'[1]比较法-商业'!$B$116:$M$116</definedName>
    <definedName name="商业进深比">'比较法-商业'!$B$120:$M$120</definedName>
    <definedName name="商业类型" localSheetId="46">'[1]比较法-商业'!$B$96:$M$96</definedName>
    <definedName name="商业类型">'比较法-商业'!$B$100:$M$100</definedName>
    <definedName name="商业临街状况" localSheetId="46">'[1]比较法-商业'!$B$82:$M$82</definedName>
    <definedName name="商业临街状况">'比较法-商业'!$B$86:$M$86</definedName>
    <definedName name="商业楼层" localSheetId="46">'[1]比较法-商业'!$B$88:$M$88</definedName>
    <definedName name="商业楼层">'比较法-商业'!$B$92:$M$92</definedName>
    <definedName name="商业内部装修" localSheetId="46">'[1]比较法-商业'!$B$118:$M$118</definedName>
    <definedName name="商业内部装修">'比较法-商业'!$B$122:$M$122</definedName>
    <definedName name="商业人流量" localSheetId="46">'[1]比较法-商业'!$B$86:$M$86</definedName>
    <definedName name="商业人流量">'比较法-商业'!$B$90:$M$90</definedName>
    <definedName name="商业业态" localSheetId="46">'[1]比较法-商业'!$B$110:$M$110</definedName>
    <definedName name="商业业态">'比较法-商业'!$B$114:$M$114</definedName>
    <definedName name="商业用途" localSheetId="46">'[1]比较法-商业'!$B$61:$M$61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'[1]比较法-仓储'!$B$85:$M$85</definedName>
    <definedName name="是否封闭">'比较法-仓储'!$B$89:$M$89</definedName>
    <definedName name="是否直接入户" localSheetId="46">'[1]比较法-车位'!$B$91:$M$91</definedName>
    <definedName name="是否直接入户">'比较法-车位'!$B$95:$M$95</definedName>
    <definedName name="四级">区片价!$K$1:$K$28</definedName>
    <definedName name="套工道路等级" localSheetId="46">'[1]土地比较法-工业'!$B$93:$M$93</definedName>
    <definedName name="套工道路等级">'土地比较法-工业'!$B$97:$M$97</definedName>
    <definedName name="套工地质条件" localSheetId="46">'[1]土地比较法-工业'!$B$110:$M$110</definedName>
    <definedName name="套工地质条件">'土地比较法-工业'!$B$114:$M$114</definedName>
    <definedName name="套工交易情况" localSheetId="46">'[1]土地比较法-住宅、综合'!$A$71:$M$71</definedName>
    <definedName name="套工交易情况">'土地比较法-住宅、综合'!$A$73:$M$73</definedName>
    <definedName name="套工土地级别" localSheetId="46">'[1]土地比较法-工业'!$B$95:$M$95</definedName>
    <definedName name="套工土地级别">'土地比较法-工业'!$B$99:$M$99</definedName>
    <definedName name="套工用途" localSheetId="46">'[1]土地比较法-工业'!$B$68:$M$68</definedName>
    <definedName name="套工用途">'土地比较法-工业'!$B$70:$M$70</definedName>
    <definedName name="套工宗地开发程度" localSheetId="46">'[1]土地比较法-工业'!$B$108:$M$108</definedName>
    <definedName name="套工宗地开发程度">'土地比较法-工业'!$B$112:$M$112</definedName>
    <definedName name="套工宗地内开发程度">'[2]土地比较法-工业'!$B$108:$M$108</definedName>
    <definedName name="套工宗地形状" localSheetId="46">'[1]土地比较法-工业'!$B$106:$M$106</definedName>
    <definedName name="套工宗地形状">'土地比较法-工业'!$B$110:$M$110</definedName>
    <definedName name="套综道路等级" localSheetId="46">'[1]土地比较法-住宅、综合'!$B$102:$M$102</definedName>
    <definedName name="套综道路等级">'土地比较法-住宅、综合'!$B$106:$M$106</definedName>
    <definedName name="套综工程地质条件" localSheetId="46">'[1]土地比较法-住宅、综合'!$B$121:$M$121</definedName>
    <definedName name="套综工程地质条件">'土地比较法-住宅、综合'!$B$125:$M$125</definedName>
    <definedName name="套综交易情况" localSheetId="46">'[1]土地比较法-住宅、综合'!$A$71:$M$71</definedName>
    <definedName name="套综交易情况">'土地比较法-住宅、综合'!$A$73:$M$73</definedName>
    <definedName name="套综临街宽度及深度" localSheetId="46">'[1]土地比较法-住宅、综合'!$B$117:$M$117</definedName>
    <definedName name="套综临街宽度及深度">'土地比较法-住宅、综合'!$B$121:$M$121</definedName>
    <definedName name="套综土地级别" localSheetId="46">'[1]土地比较法-住宅、综合'!$B$104:$M$104</definedName>
    <definedName name="套综土地级别">'土地比较法-住宅、综合'!$B$108:$M$108</definedName>
    <definedName name="套综用途" localSheetId="46">'[1]土地比较法-住宅、综合'!$B$73:$M$73</definedName>
    <definedName name="套综用途">'土地比较法-住宅、综合'!$B$75:$M$75</definedName>
    <definedName name="套综宗地内开发程度" localSheetId="46">'[1]土地比较法-住宅、综合'!$B$119:$M$119</definedName>
    <definedName name="套综宗地内开发程度">'土地比较法-住宅、综合'!$B$123:$M$123</definedName>
    <definedName name="套综宗地形状" localSheetId="46">'[1]土地比较法-住宅、综合'!$B$115:$M$115</definedName>
    <definedName name="套综宗地形状">'土地比较法-住宅、综合'!$B$119:$M$119</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[1]定义!$V$1:$V$6</definedName>
    <definedName name="五等判定">定义!$W$1:$W$6</definedName>
    <definedName name="五级">区片价!$L$1:$L$35</definedName>
    <definedName name="项目类型">'数据-汇总表'!$C$17:$C$26</definedName>
    <definedName name="项目类型汇总">'[1]数据-汇总表'!$C$17:$C$26</definedName>
    <definedName name="项目类型取费">'[1]数据-取费表'!$A$5:$A$17</definedName>
    <definedName name="写字楼等级" localSheetId="46">'[1]比较法-办公'!$B$109:$M$109</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'[1]比较法-仓储'!$B$80:$M$80</definedName>
    <definedName name="有无电梯">'比较法-仓储'!$B$84:$M$84</definedName>
    <definedName name="主用途" localSheetId="46">[1]定义!$F$1:$F$10</definedName>
    <definedName name="主用途">定义!$F$1:$F$10</definedName>
    <definedName name="住宅朝向" localSheetId="46">'[1]比较法-住宅'!$B$84:$M$84</definedName>
    <definedName name="住宅朝向">'比较法-住宅'!$B$88:$M$88</definedName>
    <definedName name="住宅房型" localSheetId="46">'[1]比较法-住宅'!$B$114:$M$114</definedName>
    <definedName name="住宅房型">'比较法-住宅'!$B$118:$M$118</definedName>
    <definedName name="住宅公共部分装修" localSheetId="46">'[1]比较法-住宅'!$B$105:$M$105</definedName>
    <definedName name="住宅公共部分装修">'比较法-住宅'!$B$109:$M$109</definedName>
    <definedName name="住宅基础设施水平" localSheetId="46">'[1]比较法-住宅'!$B$112:$M$112</definedName>
    <definedName name="住宅基础设施水平">'比较法-住宅'!$B$116:$M$116</definedName>
    <definedName name="住宅建筑结构" localSheetId="46">'[1]比较法-住宅'!$B$101:$M$101</definedName>
    <definedName name="住宅建筑结构">'比较法-住宅'!$B$105:$M$105</definedName>
    <definedName name="住宅建筑类型" localSheetId="46">'[1]比较法-住宅'!$B$96:$M$96</definedName>
    <definedName name="住宅建筑类型">'比较法-住宅'!$B$100:$M$100</definedName>
    <definedName name="住宅建筑品质" localSheetId="46">'[1]比较法-住宅'!$B$103:$M$103</definedName>
    <definedName name="住宅建筑品质">'比较法-住宅'!$B$107:$M$107</definedName>
    <definedName name="住宅交易情况" localSheetId="46">'[1]比较法-住宅'!$A$59:$M$59</definedName>
    <definedName name="住宅交易情况">'比较法-住宅'!$A$61:$M$61</definedName>
    <definedName name="住宅楼层" localSheetId="46">'[1]比较法-住宅'!$B$82:$M$82</definedName>
    <definedName name="住宅楼层">'比较法-住宅'!$B$86:$M$86</definedName>
    <definedName name="住宅内部装修" localSheetId="46">'[1]比较法-住宅'!$B$118:$M$118</definedName>
    <definedName name="住宅内部装修">'比较法-住宅'!$B$122:$M$122</definedName>
    <definedName name="住宅物业管理" localSheetId="46">'[1]比较法-住宅'!$B$110:$M$110</definedName>
    <definedName name="住宅物业管理">'比较法-住宅'!$B$114:$M$114</definedName>
    <definedName name="住宅用途" localSheetId="46">'[1]比较法-住宅'!$B$61:$M$61</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W57" i="84" l="1"/>
  <c r="Z6" i="1"/>
  <c r="W56" i="84"/>
  <c r="U7" i="1"/>
  <c r="U6" i="1"/>
  <c r="U54" i="84"/>
  <c r="V54" i="84" s="1"/>
  <c r="U53" i="84"/>
  <c r="V56" i="84"/>
  <c r="M61" i="83"/>
  <c r="M60" i="83"/>
  <c r="I63" i="83"/>
  <c r="O54" i="84"/>
  <c r="O53" i="84"/>
  <c r="O51" i="84"/>
  <c r="O50" i="84" s="1"/>
  <c r="AD6" i="1"/>
  <c r="N6" i="1"/>
  <c r="K61" i="83"/>
  <c r="C50" i="33"/>
  <c r="Z49" i="84"/>
  <c r="K57" i="83"/>
  <c r="G57" i="83"/>
  <c r="U55" i="84" l="1"/>
  <c r="G19" i="6" s="1"/>
  <c r="G20" i="6" s="1"/>
  <c r="U56" i="84"/>
  <c r="V53" i="84"/>
  <c r="V55" i="84" s="1"/>
  <c r="AF6" i="1"/>
  <c r="I62" i="83"/>
  <c r="Z46" i="84"/>
  <c r="Z45" i="84"/>
  <c r="Z43" i="84"/>
  <c r="Z41" i="84"/>
  <c r="Z38" i="84"/>
  <c r="Z36" i="84"/>
  <c r="Z37" i="84"/>
  <c r="Z35" i="84"/>
  <c r="Z34" i="84"/>
  <c r="Z33" i="84"/>
  <c r="Z32" i="84"/>
  <c r="Z31" i="84"/>
  <c r="Z29" i="84"/>
  <c r="Z28" i="84"/>
  <c r="Z26" i="84"/>
  <c r="Z24" i="84"/>
  <c r="Z23" i="84"/>
  <c r="Z21" i="84"/>
  <c r="Z20" i="84"/>
  <c r="Z47" i="84"/>
  <c r="Z39" i="84"/>
  <c r="Z30" i="84"/>
  <c r="Z25" i="84"/>
  <c r="Z22" i="84"/>
  <c r="Z19" i="84"/>
  <c r="Z18" i="84"/>
  <c r="Z7" i="84"/>
  <c r="Z8" i="84"/>
  <c r="Z9" i="84"/>
  <c r="Z10" i="84"/>
  <c r="Z11" i="84"/>
  <c r="Z12" i="84"/>
  <c r="Z13" i="84"/>
  <c r="Z14" i="84"/>
  <c r="Z15" i="84"/>
  <c r="Z16" i="84"/>
  <c r="Z17" i="84"/>
  <c r="Z27" i="84"/>
  <c r="Z40" i="84"/>
  <c r="Z44" i="84"/>
  <c r="Z48" i="84"/>
  <c r="Z6" i="84"/>
  <c r="AU50" i="84"/>
  <c r="AU49" i="84"/>
  <c r="O57" i="83"/>
  <c r="N49" i="83"/>
  <c r="M49" i="83"/>
  <c r="N47" i="83"/>
  <c r="N44" i="83"/>
  <c r="M44" i="83"/>
  <c r="N41" i="83"/>
  <c r="M41" i="83"/>
  <c r="N38" i="83"/>
  <c r="M38" i="83"/>
  <c r="N35" i="83"/>
  <c r="N51" i="83" s="1"/>
  <c r="D51" i="83" s="1"/>
  <c r="C55" i="83" s="1"/>
  <c r="N31" i="83"/>
  <c r="M31" i="83"/>
  <c r="N28" i="83"/>
  <c r="M28" i="83"/>
  <c r="N25" i="83"/>
  <c r="N22" i="83"/>
  <c r="M22" i="83"/>
  <c r="N19" i="83"/>
  <c r="M19" i="83"/>
  <c r="N15" i="83"/>
  <c r="M15" i="83"/>
  <c r="N11" i="83"/>
  <c r="M11" i="83"/>
  <c r="N7" i="83"/>
  <c r="N34" i="83" s="1"/>
  <c r="D34" i="83" s="1"/>
  <c r="C54" i="83" s="1"/>
  <c r="M34" i="83" l="1"/>
  <c r="M51" i="83"/>
  <c r="C56" i="83"/>
  <c r="C57" i="83" s="1"/>
  <c r="C58" i="83"/>
  <c r="C61" i="83" l="1"/>
  <c r="C60" i="83"/>
  <c r="C64" i="83"/>
  <c r="C59" i="83"/>
  <c r="C63" i="83"/>
  <c r="C62" i="83"/>
  <c r="O30" i="81"/>
  <c r="K59" i="82"/>
  <c r="L59" i="82"/>
  <c r="K58" i="82"/>
  <c r="L58" i="82"/>
  <c r="K57" i="82"/>
  <c r="L57" i="82"/>
  <c r="K56" i="82"/>
  <c r="L56" i="82"/>
  <c r="AE50" i="82"/>
  <c r="AE49" i="82"/>
  <c r="AE47" i="82"/>
  <c r="AE46" i="82"/>
  <c r="AE44" i="82"/>
  <c r="AE43" i="82"/>
  <c r="C65" i="83" l="1"/>
  <c r="A3" i="3" s="1"/>
  <c r="F57" i="83"/>
  <c r="AE38" i="82"/>
  <c r="AE36" i="82"/>
  <c r="AE35" i="82"/>
  <c r="AE34" i="82"/>
  <c r="AE32" i="82"/>
  <c r="AE29" i="82"/>
  <c r="AE28" i="82"/>
  <c r="AE25" i="82"/>
  <c r="AE21" i="82"/>
  <c r="AE19" i="82"/>
  <c r="AE13" i="82"/>
  <c r="AE14" i="82"/>
  <c r="AE12" i="82"/>
  <c r="AE11" i="82"/>
  <c r="AE7" i="82"/>
  <c r="AE8" i="82"/>
  <c r="AE9" i="82"/>
  <c r="AE10" i="82"/>
  <c r="AE15" i="82"/>
  <c r="AE16" i="82"/>
  <c r="AE22" i="82"/>
  <c r="AE23" i="82"/>
  <c r="AE24" i="82"/>
  <c r="AE26" i="82"/>
  <c r="AE27" i="82"/>
  <c r="AE30" i="82"/>
  <c r="AE31" i="82"/>
  <c r="AE37" i="82"/>
  <c r="AE39" i="82"/>
  <c r="AE40" i="82"/>
  <c r="AE41" i="82"/>
  <c r="AE42" i="82"/>
  <c r="AE45" i="82"/>
  <c r="AE48" i="82"/>
  <c r="AE6" i="82"/>
  <c r="AE29" i="81"/>
  <c r="AE27" i="81"/>
  <c r="AE26" i="81"/>
  <c r="AE25" i="81"/>
  <c r="AE24" i="81"/>
  <c r="AE23" i="81"/>
  <c r="AE22" i="81"/>
  <c r="AE21" i="81"/>
  <c r="AE20" i="81"/>
  <c r="AE19" i="81"/>
  <c r="AE18" i="81"/>
  <c r="AE15" i="81"/>
  <c r="AE13" i="81"/>
  <c r="AE10" i="81"/>
  <c r="AE9" i="81"/>
  <c r="AE8" i="81"/>
  <c r="AE7" i="81"/>
  <c r="AE14" i="81"/>
  <c r="AE28" i="81"/>
  <c r="AE6" i="81"/>
  <c r="AE30" i="81" s="1"/>
  <c r="J59" i="82" l="1"/>
  <c r="C67" i="82" s="1"/>
  <c r="D67" i="82" s="1"/>
  <c r="G59" i="82"/>
  <c r="J58" i="82"/>
  <c r="C66" i="82" s="1"/>
  <c r="D66" i="82" s="1"/>
  <c r="G58" i="82"/>
  <c r="J57" i="82"/>
  <c r="C65" i="82" s="1"/>
  <c r="D65" i="82" s="1"/>
  <c r="G57" i="82"/>
  <c r="J56" i="82"/>
  <c r="C64" i="82" s="1"/>
  <c r="G56" i="82"/>
  <c r="G60" i="82" s="1"/>
  <c r="O51" i="82"/>
  <c r="O31" i="81" s="1"/>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E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E20" i="82" s="1"/>
  <c r="A20" i="82"/>
  <c r="BX19" i="82"/>
  <c r="DJ19" i="82" s="1"/>
  <c r="BW19" i="82"/>
  <c r="DI19" i="82" s="1"/>
  <c r="A19" i="82"/>
  <c r="DJ18" i="82"/>
  <c r="DI18" i="82"/>
  <c r="AE18" i="82" s="1"/>
  <c r="A18" i="82"/>
  <c r="DJ17" i="82"/>
  <c r="BM17" i="82"/>
  <c r="DI17" i="82" s="1"/>
  <c r="AE17" i="82" s="1"/>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DJ29" i="81"/>
  <c r="DI29" i="81"/>
  <c r="A29" i="81"/>
  <c r="DJ28" i="81"/>
  <c r="DI28" i="81"/>
  <c r="A28" i="81"/>
  <c r="DJ27" i="81"/>
  <c r="DI27" i="81"/>
  <c r="BF27" i="81"/>
  <c r="A27" i="81"/>
  <c r="BX26" i="81"/>
  <c r="DJ26" i="81" s="1"/>
  <c r="BW26" i="81"/>
  <c r="DI26" i="81" s="1"/>
  <c r="A26" i="81"/>
  <c r="CB25" i="81"/>
  <c r="BZ25" i="81"/>
  <c r="BX25" i="81"/>
  <c r="BW25" i="81"/>
  <c r="DI25" i="81" s="1"/>
  <c r="BV25" i="8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O21" i="80"/>
  <c r="N21" i="80"/>
  <c r="M21" i="80"/>
  <c r="L21" i="80"/>
  <c r="K21" i="80"/>
  <c r="J21" i="80"/>
  <c r="I21" i="80"/>
  <c r="H21" i="80"/>
  <c r="G21" i="80"/>
  <c r="F21" i="80"/>
  <c r="E21" i="80"/>
  <c r="D21" i="80"/>
  <c r="C21" i="80"/>
  <c r="E20" i="80"/>
  <c r="G20" i="80" s="1"/>
  <c r="O19" i="80"/>
  <c r="M19" i="80"/>
  <c r="K19" i="80"/>
  <c r="I19" i="80"/>
  <c r="G19" i="80"/>
  <c r="E19" i="80"/>
  <c r="C19" i="80"/>
  <c r="N18" i="80"/>
  <c r="N22" i="80" s="1"/>
  <c r="L18" i="80"/>
  <c r="L22" i="80" s="1"/>
  <c r="J18" i="80"/>
  <c r="J22" i="80" s="1"/>
  <c r="H18" i="80"/>
  <c r="H22" i="80" s="1"/>
  <c r="F18" i="80"/>
  <c r="F22" i="80" s="1"/>
  <c r="D18" i="80"/>
  <c r="D22" i="80" s="1"/>
  <c r="B18" i="80"/>
  <c r="B22" i="80" s="1"/>
  <c r="G17" i="80"/>
  <c r="I17" i="80" s="1"/>
  <c r="K17" i="80" s="1"/>
  <c r="M17" i="80" s="1"/>
  <c r="O17" i="80" s="1"/>
  <c r="E17" i="80"/>
  <c r="C16" i="80"/>
  <c r="E15" i="80"/>
  <c r="C15" i="80"/>
  <c r="N14" i="80"/>
  <c r="O14" i="80" s="1"/>
  <c r="M14" i="80"/>
  <c r="L14" i="80"/>
  <c r="K14" i="80"/>
  <c r="J14" i="80"/>
  <c r="I14" i="80"/>
  <c r="H14" i="80"/>
  <c r="G14" i="80"/>
  <c r="F14" i="80"/>
  <c r="E14" i="80"/>
  <c r="D14" i="80"/>
  <c r="C14" i="80"/>
  <c r="C18" i="80" s="1"/>
  <c r="C22" i="80" s="1"/>
  <c r="B14" i="80"/>
  <c r="N12" i="80"/>
  <c r="L12" i="80"/>
  <c r="J12" i="80"/>
  <c r="H12" i="80"/>
  <c r="F12" i="80"/>
  <c r="D12" i="80"/>
  <c r="E9" i="80"/>
  <c r="D9" i="80"/>
  <c r="E8" i="80"/>
  <c r="C8" i="80"/>
  <c r="E7" i="80"/>
  <c r="C7" i="80"/>
  <c r="E6" i="80"/>
  <c r="C6" i="80"/>
  <c r="E5" i="80"/>
  <c r="C5" i="80"/>
  <c r="E4" i="80"/>
  <c r="C4" i="80"/>
  <c r="E3" i="80"/>
  <c r="C3" i="80"/>
  <c r="E2" i="80"/>
  <c r="C2" i="80"/>
  <c r="Q72" i="79"/>
  <c r="Q59" i="79"/>
  <c r="K59" i="79"/>
  <c r="P74" i="79" s="1"/>
  <c r="F59" i="79"/>
  <c r="Q58" i="79"/>
  <c r="Q51" i="79"/>
  <c r="J50" i="79"/>
  <c r="M47" i="79"/>
  <c r="D46" i="79"/>
  <c r="F33" i="79"/>
  <c r="F61" i="79" s="1"/>
  <c r="F31" i="79"/>
  <c r="F23" i="79"/>
  <c r="D23" i="79" s="1"/>
  <c r="F21" i="79"/>
  <c r="F20" i="79"/>
  <c r="M19" i="79"/>
  <c r="F18" i="79"/>
  <c r="M17" i="79"/>
  <c r="F17" i="79"/>
  <c r="F15" i="79"/>
  <c r="AM7" i="1"/>
  <c r="AL7" i="1"/>
  <c r="AK7" i="1"/>
  <c r="AI7" i="1"/>
  <c r="AB6" i="1"/>
  <c r="AA6" i="1"/>
  <c r="Q7" i="1"/>
  <c r="L7" i="1"/>
  <c r="J7" i="1"/>
  <c r="I7" i="1"/>
  <c r="H7" i="1"/>
  <c r="DJ25" i="81" l="1"/>
  <c r="AE51" i="82"/>
  <c r="O32" i="81" s="1"/>
  <c r="O33" i="81" s="1"/>
  <c r="D64" i="82"/>
  <c r="C68" i="82"/>
  <c r="F68" i="82" s="1"/>
  <c r="G68" i="82" s="1"/>
  <c r="G15" i="80"/>
  <c r="I20" i="80"/>
  <c r="G16" i="80"/>
  <c r="E16" i="80"/>
  <c r="E18" i="80" s="1"/>
  <c r="E22" i="80" s="1"/>
  <c r="D24" i="79"/>
  <c r="P61" i="79"/>
  <c r="D22" i="79"/>
  <c r="H72" i="77"/>
  <c r="H71" i="77"/>
  <c r="N7" i="1"/>
  <c r="O34" i="81" l="1"/>
  <c r="G18" i="80"/>
  <c r="G22" i="80" s="1"/>
  <c r="D68" i="82"/>
  <c r="E68" i="82" s="1"/>
  <c r="K20" i="80"/>
  <c r="I16" i="80"/>
  <c r="I15" i="80"/>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62" i="33"/>
  <c r="G47" i="33" s="1"/>
  <c r="G40" i="33"/>
  <c r="G36" i="33"/>
  <c r="F62" i="33"/>
  <c r="E47" i="33" s="1"/>
  <c r="E40" i="33"/>
  <c r="E36" i="33"/>
  <c r="C36" i="33"/>
  <c r="H68" i="82" l="1"/>
  <c r="G69" i="82"/>
  <c r="I18" i="80"/>
  <c r="I22" i="80" s="1"/>
  <c r="K15" i="80"/>
  <c r="M20" i="80"/>
  <c r="K16" i="80"/>
  <c r="C37" i="21"/>
  <c r="D122" i="21"/>
  <c r="E122" i="21"/>
  <c r="F122" i="21"/>
  <c r="G122" i="21"/>
  <c r="C122" i="21"/>
  <c r="K18" i="80" l="1"/>
  <c r="K22" i="80" s="1"/>
  <c r="O20" i="80"/>
  <c r="M16" i="80"/>
  <c r="M15" i="80"/>
  <c r="Y6" i="1"/>
  <c r="Y7" i="1" s="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8" i="76"/>
  <c r="E12" i="76"/>
  <c r="B12" i="76"/>
  <c r="E10" i="76"/>
  <c r="B10" i="76"/>
  <c r="E7" i="76"/>
  <c r="E8" i="76"/>
  <c r="E9" i="76"/>
  <c r="E13" i="76"/>
  <c r="B9" i="76"/>
  <c r="B13" i="76"/>
  <c r="E11" i="76"/>
  <c r="B11" i="76"/>
  <c r="B7"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F4" i="73"/>
  <c r="F5" i="73"/>
  <c r="D3" i="73"/>
  <c r="I1" i="73" l="1"/>
  <c r="B39" i="1" s="1"/>
  <c r="D4" i="73"/>
  <c r="D5" i="73"/>
  <c r="D6"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5" i="71" l="1"/>
  <c r="Y16" i="71"/>
  <c r="Z16" i="71" s="1"/>
  <c r="AB16" i="71"/>
  <c r="B23" i="7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2" i="1"/>
  <c r="AO13"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G9" i="1" s="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30" i="31"/>
  <c r="S308" i="31"/>
  <c r="S298" i="31"/>
  <c r="S290" i="31"/>
  <c r="S282" i="31"/>
  <c r="S274" i="31"/>
  <c r="S266" i="31"/>
  <c r="S258" i="31"/>
  <c r="S253" i="31"/>
  <c r="S131" i="31"/>
  <c r="S122" i="31"/>
  <c r="S120" i="31"/>
  <c r="S118" i="31"/>
  <c r="S116" i="31"/>
  <c r="S114" i="31"/>
  <c r="S112" i="31"/>
  <c r="S502" i="31"/>
  <c r="S54" i="31"/>
  <c r="S52" i="31"/>
  <c r="S50" i="31"/>
  <c r="S48" i="31"/>
  <c r="S46" i="31"/>
  <c r="S44" i="31"/>
  <c r="S42" i="31"/>
  <c r="S40" i="31"/>
  <c r="S38" i="31"/>
  <c r="S36" i="31"/>
  <c r="S34" i="31"/>
  <c r="S32" i="31"/>
  <c r="S76" i="31"/>
  <c r="S74" i="31"/>
  <c r="S72" i="31"/>
  <c r="S70" i="31"/>
  <c r="S68" i="31"/>
  <c r="S66" i="31"/>
  <c r="S64" i="31"/>
  <c r="S62" i="31"/>
  <c r="S60" i="31"/>
  <c r="S58"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H12" i="35" s="1"/>
  <c r="B131" i="34"/>
  <c r="B129" i="34"/>
  <c r="F46" i="34" s="1"/>
  <c r="B127" i="34"/>
  <c r="B99" i="34"/>
  <c r="F32" i="34" s="1"/>
  <c r="B97" i="34"/>
  <c r="B95" i="34"/>
  <c r="F30" i="34" s="1"/>
  <c r="S30" i="34" s="1"/>
  <c r="B93" i="34"/>
  <c r="B75" i="34"/>
  <c r="F14" i="34" s="1"/>
  <c r="B73" i="34"/>
  <c r="B71" i="34"/>
  <c r="H12" i="34" s="1"/>
  <c r="B130" i="33"/>
  <c r="B128" i="33"/>
  <c r="J45" i="33" s="1"/>
  <c r="W45" i="33" s="1"/>
  <c r="B126" i="33"/>
  <c r="B98" i="33"/>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F27" i="21" s="1"/>
  <c r="AA27" i="21" s="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36" i="39"/>
  <c r="J36" i="39"/>
  <c r="AC36" i="39" s="1"/>
  <c r="U30" i="37"/>
  <c r="E103" i="37"/>
  <c r="F103" i="37" s="1"/>
  <c r="G103" i="37" s="1"/>
  <c r="H103" i="37" s="1"/>
  <c r="I103" i="37" s="1"/>
  <c r="J103" i="37" s="1"/>
  <c r="K103" i="37" s="1"/>
  <c r="L103" i="37" s="1"/>
  <c r="M103" i="37" s="1"/>
  <c r="U14" i="37"/>
  <c r="F29" i="36"/>
  <c r="AA29" i="36" s="1"/>
  <c r="W8" i="36"/>
  <c r="F16" i="36"/>
  <c r="AA16" i="36" s="1"/>
  <c r="U31" i="36"/>
  <c r="H22" i="35"/>
  <c r="AB22" i="35" s="1"/>
  <c r="F36" i="34"/>
  <c r="J35" i="34"/>
  <c r="W9" i="34"/>
  <c r="U34" i="34"/>
  <c r="H39" i="33"/>
  <c r="AB39" i="33" s="1"/>
  <c r="S40" i="33"/>
  <c r="W33" i="33"/>
  <c r="F11" i="40"/>
  <c r="AA11" i="40" s="1"/>
  <c r="H11" i="40"/>
  <c r="AB11" i="40" s="1"/>
  <c r="W8" i="40"/>
  <c r="AA9" i="40"/>
  <c r="U9" i="40"/>
  <c r="W31" i="40"/>
  <c r="F42" i="39"/>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F37" i="39"/>
  <c r="AA37" i="39" s="1"/>
  <c r="U30" i="36"/>
  <c r="J30" i="35"/>
  <c r="W30" i="35" s="1"/>
  <c r="H30" i="35"/>
  <c r="AB30" i="35" s="1"/>
  <c r="F22" i="35"/>
  <c r="AA22" i="35" s="1"/>
  <c r="H10" i="35"/>
  <c r="U10" i="35"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AC29" i="35" s="1"/>
  <c r="H33" i="35"/>
  <c r="AC8"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J28" i="34"/>
  <c r="W28" i="34" s="1"/>
  <c r="F41" i="33"/>
  <c r="AA41" i="33" s="1"/>
  <c r="E113" i="33"/>
  <c r="F113" i="33" s="1"/>
  <c r="G113" i="33" s="1"/>
  <c r="H113" i="33" s="1"/>
  <c r="I113" i="33" s="1"/>
  <c r="J113" i="33" s="1"/>
  <c r="K113" i="33" s="1"/>
  <c r="L113" i="33" s="1"/>
  <c r="M113" i="33" s="1"/>
  <c r="F11" i="33"/>
  <c r="AA11" i="33" s="1"/>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S28" i="34"/>
  <c r="U23" i="40"/>
  <c r="J42" i="21"/>
  <c r="AC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AA45" i="21" s="1"/>
  <c r="H31" i="33"/>
  <c r="U31" i="33" s="1"/>
  <c r="H30" i="34"/>
  <c r="J46" i="34"/>
  <c r="J26" i="36"/>
  <c r="W26" i="36" s="1"/>
  <c r="H28" i="36"/>
  <c r="U28" i="36" s="1"/>
  <c r="J32" i="36"/>
  <c r="J11" i="36"/>
  <c r="AC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J13" i="39"/>
  <c r="W13" i="39" s="1"/>
  <c r="H14" i="40"/>
  <c r="AB14" i="40" s="1"/>
  <c r="J14" i="37"/>
  <c r="AC14" i="37" s="1"/>
  <c r="AA13" i="35"/>
  <c r="U46" i="33"/>
  <c r="J36" i="37"/>
  <c r="AC36" i="37" s="1"/>
  <c r="J10" i="36"/>
  <c r="AC10" i="36" s="1"/>
  <c r="AB30" i="21"/>
  <c r="AA14" i="37"/>
  <c r="W11" i="36"/>
  <c r="AC28" i="21"/>
  <c r="S44" i="34"/>
  <c r="BA585" i="3"/>
  <c r="J41" i="39"/>
  <c r="W41" i="39" s="1"/>
  <c r="W36" i="39"/>
  <c r="U36" i="39"/>
  <c r="G544" i="3"/>
  <c r="G496" i="3"/>
  <c r="G572" i="3"/>
  <c r="BL580" i="3"/>
  <c r="BL542" i="3"/>
  <c r="BL578" i="3"/>
  <c r="BL532" i="3"/>
  <c r="BA584" i="3"/>
  <c r="BA576" i="3"/>
  <c r="BA560" i="3"/>
  <c r="BA538" i="3"/>
  <c r="BA496" i="3"/>
  <c r="BA579" i="3"/>
  <c r="BA555" i="3"/>
  <c r="BA537" i="3"/>
  <c r="BA519" i="3"/>
  <c r="BA503" i="3"/>
  <c r="BA495" i="3"/>
  <c r="G581" i="3"/>
  <c r="G575" i="3"/>
  <c r="G563" i="3"/>
  <c r="AC557" i="3"/>
  <c r="BQ557" i="3"/>
  <c r="BQ583" i="3"/>
  <c r="BQ581" i="3"/>
  <c r="BQ579" i="3"/>
  <c r="BQ577" i="3"/>
  <c r="BQ575" i="3"/>
  <c r="BQ573" i="3"/>
  <c r="BQ571" i="3"/>
  <c r="BQ569" i="3"/>
  <c r="BQ567" i="3"/>
  <c r="BQ565" i="3"/>
  <c r="BL565" i="3" s="1"/>
  <c r="BQ563" i="3"/>
  <c r="BL563" i="3"/>
  <c r="BQ561" i="3"/>
  <c r="BL561" i="3"/>
  <c r="BQ559" i="3"/>
  <c r="G559" i="3"/>
  <c r="G547"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1" i="3"/>
  <c r="BQ519" i="3"/>
  <c r="BL519" i="3"/>
  <c r="AZ519" i="3" s="1"/>
  <c r="BQ517" i="3"/>
  <c r="BQ515" i="3"/>
  <c r="BQ513" i="3"/>
  <c r="BQ511" i="3"/>
  <c r="AC509" i="3"/>
  <c r="BQ509" i="3"/>
  <c r="G507" i="3"/>
  <c r="G499" i="3"/>
  <c r="G495" i="3"/>
  <c r="BQ507" i="3"/>
  <c r="BQ505" i="3"/>
  <c r="BQ503" i="3"/>
  <c r="BL503" i="3" s="1"/>
  <c r="AZ503" i="3" s="1"/>
  <c r="BQ501" i="3"/>
  <c r="BQ499" i="3"/>
  <c r="BL499" i="3" s="1"/>
  <c r="BQ497" i="3"/>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H31" i="40"/>
  <c r="U31" i="40" s="1"/>
  <c r="H32" i="40"/>
  <c r="AB32" i="40" s="1"/>
  <c r="J36" i="40"/>
  <c r="W36" i="40" s="1"/>
  <c r="AA41" i="34"/>
  <c r="H19" i="37"/>
  <c r="AB19" i="37" s="1"/>
  <c r="F123" i="33"/>
  <c r="G123" i="33" s="1"/>
  <c r="H123" i="33" s="1"/>
  <c r="I123" i="33" s="1"/>
  <c r="J123" i="33" s="1"/>
  <c r="K123" i="33" s="1"/>
  <c r="L123" i="33" s="1"/>
  <c r="M123" i="33" s="1"/>
  <c r="J43" i="33"/>
  <c r="AC43" i="33" s="1"/>
  <c r="S28" i="31"/>
  <c r="U35" i="35"/>
  <c r="W14" i="37"/>
  <c r="W26" i="37"/>
  <c r="U26" i="37"/>
  <c r="W37" i="34"/>
  <c r="W44" i="33"/>
  <c r="U11" i="33"/>
  <c r="W44"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AA25" i="21"/>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BA179" i="3"/>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BA16" i="3"/>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AZ253" i="3"/>
  <c r="BA379" i="3"/>
  <c r="AZ379" i="3" s="1"/>
  <c r="BL380" i="3"/>
  <c r="G381" i="3"/>
  <c r="BA383" i="3"/>
  <c r="BL384" i="3"/>
  <c r="G385" i="3"/>
  <c r="BA387" i="3"/>
  <c r="AZ387" i="3"/>
  <c r="BL388" i="3"/>
  <c r="G389" i="3"/>
  <c r="BA391" i="3"/>
  <c r="AZ391" i="3"/>
  <c r="BL392" i="3"/>
  <c r="G393" i="3"/>
  <c r="AZ283" i="3"/>
  <c r="AZ299" i="3"/>
  <c r="BH5" i="3"/>
  <c r="AZ325" i="3"/>
  <c r="G538" i="3"/>
  <c r="G502" i="3"/>
  <c r="BP5" i="3"/>
  <c r="AZ343" i="3"/>
  <c r="BI5" i="3"/>
  <c r="BE5" i="3"/>
  <c r="G17" i="3"/>
  <c r="BA17" i="3"/>
  <c r="BT5" i="3"/>
  <c r="AZ352" i="3"/>
  <c r="BA15" i="3"/>
  <c r="BR5" i="3"/>
  <c r="G509" i="3"/>
  <c r="U36" i="40"/>
  <c r="N4" i="43"/>
  <c r="F36" i="43"/>
  <c r="F81" i="43"/>
  <c r="H83" i="43" s="1"/>
  <c r="H113" i="43"/>
  <c r="F48" i="43"/>
  <c r="H52" i="43" s="1"/>
  <c r="N7" i="43"/>
  <c r="F70" i="43"/>
  <c r="H73" i="43" s="1"/>
  <c r="M6" i="43"/>
  <c r="M11" i="43"/>
  <c r="E17" i="43"/>
  <c r="F39" i="43"/>
  <c r="I17" i="43"/>
  <c r="F35" i="43"/>
  <c r="J17" i="43"/>
  <c r="F6" i="1"/>
  <c r="S14" i="35"/>
  <c r="U10" i="21"/>
  <c r="G8" i="1"/>
  <c r="G10" i="1"/>
  <c r="F48" i="9"/>
  <c r="O52" i="9" s="1"/>
  <c r="W37" i="37"/>
  <c r="AC44" i="34"/>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12" i="36" l="1"/>
  <c r="W12" i="36"/>
  <c r="AB9" i="36"/>
  <c r="U9" i="36"/>
  <c r="AC24" i="36"/>
  <c r="W24" i="36"/>
  <c r="U13" i="37"/>
  <c r="AC11" i="39"/>
  <c r="AC35" i="21"/>
  <c r="BQ5" i="3"/>
  <c r="AZ373" i="3"/>
  <c r="AZ371" i="3"/>
  <c r="AZ351" i="3"/>
  <c r="AZ394" i="3"/>
  <c r="AZ378" i="3"/>
  <c r="AZ376" i="3"/>
  <c r="AZ360" i="3"/>
  <c r="AZ341" i="3"/>
  <c r="AZ309" i="3"/>
  <c r="W23" i="39"/>
  <c r="AC12" i="37"/>
  <c r="AC46" i="21"/>
  <c r="AC8" i="37"/>
  <c r="F32" i="40"/>
  <c r="S32" i="40" s="1"/>
  <c r="F24" i="35"/>
  <c r="AA24" i="35" s="1"/>
  <c r="H27" i="34"/>
  <c r="AB27" i="34" s="1"/>
  <c r="BL575" i="3"/>
  <c r="BL583" i="3"/>
  <c r="AZ583" i="3" s="1"/>
  <c r="AB31" i="33"/>
  <c r="AA14" i="33"/>
  <c r="U31" i="34"/>
  <c r="H13" i="39"/>
  <c r="F45" i="33"/>
  <c r="AA45" i="33" s="1"/>
  <c r="J29" i="33"/>
  <c r="AC29" i="33" s="1"/>
  <c r="S34" i="37"/>
  <c r="W8" i="34"/>
  <c r="S10" i="37"/>
  <c r="F34" i="36"/>
  <c r="S34" i="36" s="1"/>
  <c r="F12" i="36"/>
  <c r="F33" i="36"/>
  <c r="AA33" i="36" s="1"/>
  <c r="J34" i="36"/>
  <c r="W32" i="40"/>
  <c r="S38" i="39"/>
  <c r="AC27" i="35"/>
  <c r="J33" i="36"/>
  <c r="W33" i="36" s="1"/>
  <c r="S30" i="36"/>
  <c r="W40" i="39"/>
  <c r="F35" i="39"/>
  <c r="AB41" i="21"/>
  <c r="H43" i="21"/>
  <c r="AB43" i="21" s="1"/>
  <c r="F43" i="21"/>
  <c r="S43" i="21" s="1"/>
  <c r="H38" i="33"/>
  <c r="AB38" i="33" s="1"/>
  <c r="F9" i="34"/>
  <c r="H12" i="36"/>
  <c r="F23" i="36"/>
  <c r="AA23" i="36" s="1"/>
  <c r="H35" i="39"/>
  <c r="AB35" i="39" s="1"/>
  <c r="H39" i="40"/>
  <c r="U39" i="40" s="1"/>
  <c r="G578" i="3"/>
  <c r="G577" i="3"/>
  <c r="G576" i="3"/>
  <c r="BA575" i="3"/>
  <c r="G573" i="3"/>
  <c r="BA572" i="3"/>
  <c r="AZ572" i="3" s="1"/>
  <c r="BL571" i="3"/>
  <c r="AZ571" i="3" s="1"/>
  <c r="BL570" i="3"/>
  <c r="G570" i="3"/>
  <c r="G569" i="3"/>
  <c r="G568" i="3"/>
  <c r="G567" i="3"/>
  <c r="BL566" i="3"/>
  <c r="G566" i="3"/>
  <c r="BA565" i="3"/>
  <c r="G565" i="3"/>
  <c r="BA564" i="3"/>
  <c r="G564" i="3"/>
  <c r="M20" i="15"/>
  <c r="M20" i="79"/>
  <c r="F34" i="79"/>
  <c r="F62" i="79" s="1"/>
  <c r="BL16" i="3"/>
  <c r="AZ16" i="3" s="1"/>
  <c r="BL558" i="3"/>
  <c r="BL554" i="3"/>
  <c r="BA554" i="3"/>
  <c r="BA549" i="3"/>
  <c r="BL544" i="3"/>
  <c r="BA544" i="3"/>
  <c r="BA541" i="3"/>
  <c r="BA533" i="3"/>
  <c r="BA530" i="3"/>
  <c r="BL526" i="3"/>
  <c r="BA525" i="3"/>
  <c r="BL524" i="3"/>
  <c r="BL521" i="3"/>
  <c r="BA521" i="3"/>
  <c r="BA518" i="3"/>
  <c r="BA515" i="3"/>
  <c r="BL511" i="3"/>
  <c r="AZ511" i="3" s="1"/>
  <c r="BA506" i="3"/>
  <c r="AZ506" i="3" s="1"/>
  <c r="BL505" i="3"/>
  <c r="BA505" i="3"/>
  <c r="BA501" i="3"/>
  <c r="BA498" i="3"/>
  <c r="BA497" i="3"/>
  <c r="BL496" i="3"/>
  <c r="AZ496" i="3" s="1"/>
  <c r="BS5" i="3"/>
  <c r="BL494" i="3"/>
  <c r="BK5" i="3"/>
  <c r="BG5" i="3"/>
  <c r="BC5" i="3"/>
  <c r="BO5" i="3"/>
  <c r="BL493" i="3"/>
  <c r="BJ5" i="3"/>
  <c r="BF5" i="3"/>
  <c r="BA493"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46" i="3"/>
  <c r="G450" i="3"/>
  <c r="G452" i="3"/>
  <c r="BA453" i="3"/>
  <c r="G454" i="3"/>
  <c r="BL455" i="3"/>
  <c r="BA457" i="3"/>
  <c r="G458" i="3"/>
  <c r="BA459"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BL484" i="3"/>
  <c r="BA486" i="3"/>
  <c r="G487" i="3"/>
  <c r="BL488" i="3"/>
  <c r="BA490" i="3"/>
  <c r="G491" i="3"/>
  <c r="BL492" i="3"/>
  <c r="G307" i="3"/>
  <c r="BL308" i="3"/>
  <c r="AZ308" i="3" s="1"/>
  <c r="BL312" i="3"/>
  <c r="AZ312" i="3" s="1"/>
  <c r="G313" i="3"/>
  <c r="BA315" i="3"/>
  <c r="AZ315" i="3" s="1"/>
  <c r="BL317" i="3"/>
  <c r="G318" i="3"/>
  <c r="BA335" i="3"/>
  <c r="AZ335" i="3" s="1"/>
  <c r="BA339" i="3"/>
  <c r="AZ339" i="3" s="1"/>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G209" i="3"/>
  <c r="G211" i="3"/>
  <c r="BL212" i="3"/>
  <c r="G215" i="3"/>
  <c r="G217" i="3"/>
  <c r="G219" i="3"/>
  <c r="G221" i="3"/>
  <c r="BL222" i="3"/>
  <c r="G225" i="3"/>
  <c r="G227" i="3"/>
  <c r="G229" i="3"/>
  <c r="G231" i="3"/>
  <c r="BL232" i="3"/>
  <c r="BL236" i="3"/>
  <c r="G259" i="3"/>
  <c r="G263" i="3"/>
  <c r="G267" i="3"/>
  <c r="BL268" i="3"/>
  <c r="BA270" i="3"/>
  <c r="G271" i="3"/>
  <c r="BL272" i="3"/>
  <c r="BA274" i="3"/>
  <c r="G275" i="3"/>
  <c r="BL276" i="3"/>
  <c r="G287" i="3"/>
  <c r="G289" i="3"/>
  <c r="BA290" i="3"/>
  <c r="G291" i="3"/>
  <c r="BL292" i="3"/>
  <c r="BL171" i="3"/>
  <c r="AZ171" i="3" s="1"/>
  <c r="G174" i="3"/>
  <c r="BL179" i="3"/>
  <c r="AZ179" i="3" s="1"/>
  <c r="G182" i="3"/>
  <c r="G184" i="3"/>
  <c r="G186" i="3"/>
  <c r="BA190" i="3"/>
  <c r="G191" i="3"/>
  <c r="G193" i="3"/>
  <c r="G195" i="3"/>
  <c r="BL48" i="3"/>
  <c r="BA50" i="3"/>
  <c r="AZ50" i="3" s="1"/>
  <c r="BL50" i="3"/>
  <c r="G51" i="3"/>
  <c r="G53" i="3"/>
  <c r="G55" i="3"/>
  <c r="G57" i="3"/>
  <c r="G59" i="3"/>
  <c r="BL60" i="3"/>
  <c r="G63" i="3"/>
  <c r="G65" i="3"/>
  <c r="G67" i="3"/>
  <c r="G71" i="3"/>
  <c r="G73" i="3"/>
  <c r="G75" i="3"/>
  <c r="G77" i="3"/>
  <c r="BA80" i="3"/>
  <c r="G81" i="3"/>
  <c r="BL90" i="3"/>
  <c r="G1" i="79"/>
  <c r="K100" i="43"/>
  <c r="AB13" i="33"/>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AZ552" i="3" s="1"/>
  <c r="BA547" i="3"/>
  <c r="AZ547" i="3" s="1"/>
  <c r="BA543" i="3"/>
  <c r="AZ543" i="3" s="1"/>
  <c r="BA539" i="3"/>
  <c r="BL538" i="3"/>
  <c r="AZ538" i="3" s="1"/>
  <c r="BL536" i="3"/>
  <c r="BA536" i="3"/>
  <c r="BL534" i="3"/>
  <c r="BA534" i="3"/>
  <c r="AZ534" i="3" s="1"/>
  <c r="BA532" i="3"/>
  <c r="BL530" i="3"/>
  <c r="AZ530" i="3" s="1"/>
  <c r="BL528" i="3"/>
  <c r="BA528" i="3"/>
  <c r="AZ528" i="3" s="1"/>
  <c r="BA526" i="3"/>
  <c r="AZ526" i="3" s="1"/>
  <c r="BA524" i="3"/>
  <c r="BL522" i="3"/>
  <c r="BA522" i="3"/>
  <c r="AZ522" i="3" s="1"/>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AZ242" i="3" s="1"/>
  <c r="BL242" i="3"/>
  <c r="G243" i="3"/>
  <c r="G245" i="3"/>
  <c r="G247" i="3"/>
  <c r="BL248" i="3"/>
  <c r="BA250" i="3"/>
  <c r="G251" i="3"/>
  <c r="BL252"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F42" i="33"/>
  <c r="AA42" i="33" s="1"/>
  <c r="J42" i="33"/>
  <c r="AC42" i="33" s="1"/>
  <c r="W39" i="33"/>
  <c r="H35" i="33"/>
  <c r="AB35" i="33" s="1"/>
  <c r="F35" i="33"/>
  <c r="S35" i="33" s="1"/>
  <c r="U8" i="33"/>
  <c r="S41" i="33"/>
  <c r="U43" i="33"/>
  <c r="I4" i="6"/>
  <c r="G3" i="43" s="1"/>
  <c r="F22" i="43" s="1"/>
  <c r="C5" i="11"/>
  <c r="BA121" i="3"/>
  <c r="AZ121" i="3" s="1"/>
  <c r="BA122" i="3"/>
  <c r="BA128" i="3"/>
  <c r="AZ128" i="3" s="1"/>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BA67" i="3"/>
  <c r="AZ67" i="3" s="1"/>
  <c r="BA71" i="3"/>
  <c r="AZ71" i="3" s="1"/>
  <c r="BA78" i="3"/>
  <c r="AZ78" i="3" s="1"/>
  <c r="BA79" i="3"/>
  <c r="AZ79" i="3" s="1"/>
  <c r="BA81" i="3"/>
  <c r="AZ81" i="3" s="1"/>
  <c r="BA86" i="3"/>
  <c r="BA88" i="3"/>
  <c r="BA90" i="3"/>
  <c r="AZ90" i="3" s="1"/>
  <c r="AZ18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BL220" i="3"/>
  <c r="BA164" i="3"/>
  <c r="AZ164" i="3" s="1"/>
  <c r="BA166" i="3"/>
  <c r="BA170" i="3"/>
  <c r="BL170" i="3"/>
  <c r="BA173" i="3"/>
  <c r="BL173" i="3"/>
  <c r="BL225" i="3"/>
  <c r="BL228" i="3"/>
  <c r="BA230" i="3"/>
  <c r="BL230" i="3"/>
  <c r="BA235" i="3"/>
  <c r="BL235" i="3"/>
  <c r="BL239" i="3"/>
  <c r="BL241" i="3"/>
  <c r="BL244" i="3"/>
  <c r="BA246" i="3"/>
  <c r="BL246" i="3"/>
  <c r="BL114" i="3"/>
  <c r="BA116" i="3"/>
  <c r="AZ116" i="3" s="1"/>
  <c r="BA118" i="3"/>
  <c r="AZ118" i="3" s="1"/>
  <c r="BL119" i="3"/>
  <c r="AZ119" i="3" s="1"/>
  <c r="BL123" i="3"/>
  <c r="AZ123" i="3" s="1"/>
  <c r="BA125" i="3"/>
  <c r="BL129" i="3"/>
  <c r="BA133" i="3"/>
  <c r="BL133" i="3"/>
  <c r="BA136" i="3"/>
  <c r="AZ136" i="3" s="1"/>
  <c r="BA141" i="3"/>
  <c r="AZ141" i="3" s="1"/>
  <c r="BA142" i="3"/>
  <c r="AZ142" i="3" s="1"/>
  <c r="BL143" i="3"/>
  <c r="AZ143" i="3" s="1"/>
  <c r="BA149" i="3"/>
  <c r="BL149" i="3"/>
  <c r="AZ149" i="3" s="1"/>
  <c r="BL151" i="3"/>
  <c r="AZ151" i="3" s="1"/>
  <c r="BA154" i="3"/>
  <c r="BL154" i="3"/>
  <c r="BA157" i="3"/>
  <c r="BL157" i="3"/>
  <c r="BA178" i="3"/>
  <c r="BL178" i="3"/>
  <c r="BA181" i="3"/>
  <c r="AZ181" i="3" s="1"/>
  <c r="BL181" i="3"/>
  <c r="BL183" i="3"/>
  <c r="AZ183" i="3" s="1"/>
  <c r="BA186" i="3"/>
  <c r="BL186" i="3"/>
  <c r="BA189" i="3"/>
  <c r="BL189" i="3"/>
  <c r="BA194" i="3"/>
  <c r="BL194" i="3"/>
  <c r="BA197" i="3"/>
  <c r="BL197" i="3"/>
  <c r="AZ197" i="3" s="1"/>
  <c r="BL199" i="3"/>
  <c r="AZ199" i="3" s="1"/>
  <c r="BA201" i="3"/>
  <c r="BL201" i="3"/>
  <c r="BL206" i="3"/>
  <c r="BA18" i="3"/>
  <c r="AZ18" i="3" s="1"/>
  <c r="BA19" i="3"/>
  <c r="BA21" i="3"/>
  <c r="BA23" i="3"/>
  <c r="BL25" i="3"/>
  <c r="BA27" i="3"/>
  <c r="AZ27" i="3" s="1"/>
  <c r="BA28" i="3"/>
  <c r="AZ28" i="3" s="1"/>
  <c r="BA29" i="3"/>
  <c r="AZ29" i="3" s="1"/>
  <c r="BA30" i="3"/>
  <c r="BA33" i="3"/>
  <c r="BL33" i="3"/>
  <c r="BA35" i="3"/>
  <c r="AZ35" i="3" s="1"/>
  <c r="BL35" i="3"/>
  <c r="BL37" i="3"/>
  <c r="BA39" i="3"/>
  <c r="BA41" i="3"/>
  <c r="BL41" i="3"/>
  <c r="BA44" i="3"/>
  <c r="AZ44" i="3" s="1"/>
  <c r="BA45" i="3"/>
  <c r="BA47" i="3"/>
  <c r="BL47" i="3"/>
  <c r="BL52" i="3"/>
  <c r="BA54" i="3"/>
  <c r="BL54" i="3"/>
  <c r="BL56" i="3"/>
  <c r="BA58" i="3"/>
  <c r="BA60" i="3"/>
  <c r="AZ60" i="3" s="1"/>
  <c r="BA61" i="3"/>
  <c r="AZ61" i="3" s="1"/>
  <c r="BA62" i="3"/>
  <c r="BL64" i="3"/>
  <c r="BA66" i="3"/>
  <c r="BA68" i="3"/>
  <c r="BA69" i="3"/>
  <c r="BA70" i="3"/>
  <c r="BA72" i="3"/>
  <c r="BL74" i="3"/>
  <c r="BA76" i="3"/>
  <c r="BL76" i="3"/>
  <c r="BA87" i="3"/>
  <c r="BA89" i="3"/>
  <c r="BL89" i="3"/>
  <c r="BL93" i="3"/>
  <c r="BA95" i="3"/>
  <c r="BL95" i="3"/>
  <c r="BL99" i="3"/>
  <c r="BA102" i="3"/>
  <c r="BL102" i="3"/>
  <c r="BL106" i="3"/>
  <c r="BL108" i="3"/>
  <c r="BL110" i="3"/>
  <c r="BL111" i="3"/>
  <c r="BL23" i="3"/>
  <c r="AZ23" i="3" s="1"/>
  <c r="BA20" i="3"/>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BA25" i="3"/>
  <c r="AZ25" i="3" s="1"/>
  <c r="G28" i="3"/>
  <c r="G29" i="3"/>
  <c r="G30" i="3"/>
  <c r="BL30" i="3"/>
  <c r="AZ30" i="3" s="1"/>
  <c r="BL32" i="3"/>
  <c r="BA34" i="3"/>
  <c r="AZ34" i="3" s="1"/>
  <c r="BA36" i="3"/>
  <c r="BA37" i="3"/>
  <c r="AZ37" i="3" s="1"/>
  <c r="BL39" i="3"/>
  <c r="BA40" i="3"/>
  <c r="AZ40" i="3" s="1"/>
  <c r="BL42" i="3"/>
  <c r="AZ42" i="3" s="1"/>
  <c r="G45" i="3"/>
  <c r="G46" i="3"/>
  <c r="BL46" i="3"/>
  <c r="AZ46" i="3" s="1"/>
  <c r="G49" i="3"/>
  <c r="BL49" i="3"/>
  <c r="AZ49" i="3" s="1"/>
  <c r="BL51" i="3"/>
  <c r="BA52" i="3"/>
  <c r="AZ52" i="3" s="1"/>
  <c r="BA53" i="3"/>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BA75" i="3"/>
  <c r="AZ75" i="3" s="1"/>
  <c r="BL77" i="3"/>
  <c r="AZ77" i="3" s="1"/>
  <c r="G79" i="3"/>
  <c r="G80" i="3"/>
  <c r="BL80" i="3"/>
  <c r="AZ80" i="3" s="1"/>
  <c r="G82" i="3"/>
  <c r="G83" i="3"/>
  <c r="G84" i="3"/>
  <c r="BL84" i="3"/>
  <c r="AZ84" i="3" s="1"/>
  <c r="BL86" i="3"/>
  <c r="G88" i="3"/>
  <c r="BL88" i="3"/>
  <c r="G91" i="3"/>
  <c r="BL91" i="3"/>
  <c r="AZ91" i="3" s="1"/>
  <c r="BA92" i="3"/>
  <c r="AZ92" i="3" s="1"/>
  <c r="BA93" i="3"/>
  <c r="BA94" i="3"/>
  <c r="AZ94" i="3" s="1"/>
  <c r="G97" i="3"/>
  <c r="G98" i="3"/>
  <c r="BL98" i="3"/>
  <c r="BA99" i="3"/>
  <c r="AZ99" i="3" s="1"/>
  <c r="BL101" i="3"/>
  <c r="G104" i="3"/>
  <c r="BL104" i="3"/>
  <c r="AZ104" i="3" s="1"/>
  <c r="BA106" i="3"/>
  <c r="AZ106" i="3" s="1"/>
  <c r="BA108" i="3"/>
  <c r="BA109" i="3"/>
  <c r="AZ109" i="3" s="1"/>
  <c r="BA110" i="3"/>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41"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57" i="3"/>
  <c r="AZ165" i="3"/>
  <c r="AZ173" i="3"/>
  <c r="AZ189" i="3"/>
  <c r="AZ26" i="3"/>
  <c r="AZ41" i="3"/>
  <c r="S12" i="1"/>
  <c r="AQ12" i="1" s="1"/>
  <c r="R12" i="1"/>
  <c r="B12" i="1"/>
  <c r="E12" i="1" s="1"/>
  <c r="S10" i="1"/>
  <c r="AQ10" i="1" s="1"/>
  <c r="R10" i="1"/>
  <c r="B10" i="1"/>
  <c r="E10" i="1" s="1"/>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101" i="43"/>
  <c r="E101" i="43"/>
  <c r="E32" i="6"/>
  <c r="L19" i="6" s="1"/>
  <c r="G1" i="68"/>
  <c r="K1" i="12"/>
  <c r="F30" i="6"/>
  <c r="E28" i="6"/>
  <c r="C102" i="43"/>
  <c r="E19" i="69"/>
  <c r="E19" i="68"/>
  <c r="E19" i="11"/>
  <c r="E1" i="73"/>
  <c r="K1" i="73" s="1"/>
  <c r="G41" i="69"/>
  <c r="G22" i="69"/>
  <c r="G41" i="68"/>
  <c r="G22" i="68"/>
  <c r="G27" i="12"/>
  <c r="G26" i="12"/>
  <c r="G41" i="11"/>
  <c r="G22" i="11"/>
  <c r="G25" i="12"/>
  <c r="C100" i="43"/>
  <c r="E11" i="43"/>
  <c r="E10" i="43"/>
  <c r="E9" i="43"/>
  <c r="E8" i="43"/>
  <c r="E81" i="43"/>
  <c r="B79" i="43" s="1"/>
  <c r="AH11" i="43"/>
  <c r="AH13" i="43" s="1"/>
  <c r="Z11" i="43"/>
  <c r="Z13" i="43" s="1"/>
  <c r="AE11" i="43"/>
  <c r="AE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M29" i="15"/>
  <c r="M24" i="15"/>
  <c r="G1" i="73"/>
  <c r="F43" i="15"/>
  <c r="M28" i="15"/>
  <c r="F8" i="15"/>
  <c r="F8" i="67"/>
  <c r="M22" i="67"/>
  <c r="F26" i="15"/>
  <c r="M23" i="67"/>
  <c r="F43" i="67"/>
  <c r="M6" i="67"/>
  <c r="F26" i="67"/>
  <c r="F9" i="67"/>
  <c r="M23" i="15"/>
  <c r="F36" i="67"/>
  <c r="F6" i="67"/>
  <c r="L47" i="15"/>
  <c r="F40" i="67"/>
  <c r="F42" i="67"/>
  <c r="M8" i="67"/>
  <c r="C76" i="67"/>
  <c r="L48" i="15"/>
  <c r="F16" i="67"/>
  <c r="F6" i="15"/>
  <c r="M8" i="15"/>
  <c r="F37" i="15"/>
  <c r="AA11" i="43" l="1"/>
  <c r="AA13" i="43" s="1"/>
  <c r="AI11" i="43"/>
  <c r="AI13" i="43" s="1"/>
  <c r="AD11" i="43"/>
  <c r="AD13" i="43" s="1"/>
  <c r="M101" i="43"/>
  <c r="M109" i="43" s="1"/>
  <c r="H22" i="43"/>
  <c r="AA17" i="21"/>
  <c r="S17" i="21"/>
  <c r="F101" i="43"/>
  <c r="F104" i="43" s="1"/>
  <c r="AZ110" i="3"/>
  <c r="AZ101" i="3"/>
  <c r="AZ98" i="3"/>
  <c r="AZ93" i="3"/>
  <c r="AZ74" i="3"/>
  <c r="AZ53" i="3"/>
  <c r="AZ36" i="3"/>
  <c r="AZ32" i="3"/>
  <c r="AZ24" i="3"/>
  <c r="AZ166" i="3"/>
  <c r="AZ114" i="3"/>
  <c r="AZ241" i="3"/>
  <c r="AZ219" i="3"/>
  <c r="AZ20" i="3"/>
  <c r="AZ95" i="3"/>
  <c r="AZ87" i="3"/>
  <c r="AZ76" i="3"/>
  <c r="AZ69" i="3"/>
  <c r="AZ54" i="3"/>
  <c r="AZ45" i="3"/>
  <c r="AZ194" i="3"/>
  <c r="AZ186" i="3"/>
  <c r="AZ133" i="3"/>
  <c r="AZ235" i="3"/>
  <c r="AZ230" i="3"/>
  <c r="AZ170" i="3"/>
  <c r="AZ220" i="3"/>
  <c r="H26" i="33"/>
  <c r="U26" i="33" s="1"/>
  <c r="AZ553" i="3"/>
  <c r="AZ461" i="3"/>
  <c r="AZ493" i="3"/>
  <c r="AZ505" i="3"/>
  <c r="F53" i="9"/>
  <c r="F32" i="79"/>
  <c r="F60" i="79" s="1"/>
  <c r="F28" i="79"/>
  <c r="C28" i="79" s="1"/>
  <c r="M18" i="79"/>
  <c r="W34" i="36"/>
  <c r="AC34" i="36"/>
  <c r="S12" i="36"/>
  <c r="AA12" i="36"/>
  <c r="Y11" i="43"/>
  <c r="Y13" i="43" s="1"/>
  <c r="AC11" i="43"/>
  <c r="AC13" i="43" s="1"/>
  <c r="AG11" i="43"/>
  <c r="AG13" i="43" s="1"/>
  <c r="Z7" i="43"/>
  <c r="AB11" i="43"/>
  <c r="AB13" i="43" s="1"/>
  <c r="AF11" i="43"/>
  <c r="AF13" i="43" s="1"/>
  <c r="AJ11" i="43"/>
  <c r="AJ13" i="43" s="1"/>
  <c r="AR12" i="1"/>
  <c r="G22" i="43"/>
  <c r="I101" i="43"/>
  <c r="I109" i="43" s="1"/>
  <c r="D101" i="43"/>
  <c r="D109" i="43" s="1"/>
  <c r="L101" i="43"/>
  <c r="L109" i="43" s="1"/>
  <c r="N104" i="46"/>
  <c r="E22" i="43"/>
  <c r="B113" i="43"/>
  <c r="D116" i="43" s="1"/>
  <c r="E116" i="43" s="1"/>
  <c r="F116" i="43" s="1"/>
  <c r="G116" i="43" s="1"/>
  <c r="H116" i="43" s="1"/>
  <c r="J101" i="43"/>
  <c r="J102" i="43" s="1"/>
  <c r="G101" i="43"/>
  <c r="G109" i="43" s="1"/>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C107" i="43"/>
  <c r="J109" i="43"/>
  <c r="T12" i="1"/>
  <c r="N104" i="43"/>
  <c r="J103" i="43"/>
  <c r="C109" i="43"/>
  <c r="AR10" i="1"/>
  <c r="F105" i="43"/>
  <c r="C103" i="43"/>
  <c r="F102" i="43"/>
  <c r="J106" i="43"/>
  <c r="J107" i="43"/>
  <c r="E11" i="6"/>
  <c r="E61" i="39" s="1"/>
  <c r="E10" i="6"/>
  <c r="G5" i="3"/>
  <c r="B3" i="3" s="1"/>
  <c r="E53" i="3" s="1"/>
  <c r="F109" i="43"/>
  <c r="F103" i="43"/>
  <c r="I118" i="43"/>
  <c r="J118" i="43" s="1"/>
  <c r="K118" i="43" s="1"/>
  <c r="L118" i="43" s="1"/>
  <c r="M118" i="43" s="1"/>
  <c r="C105" i="43"/>
  <c r="F106" i="43"/>
  <c r="F107" i="43"/>
  <c r="D22" i="43"/>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15"/>
  <c r="Q73" i="15" s="1"/>
  <c r="M59" i="15"/>
  <c r="J53"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F70" i="67"/>
  <c r="F51" i="67"/>
  <c r="F68" i="67"/>
  <c r="F71" i="67"/>
  <c r="Q71" i="67"/>
  <c r="F64" i="67"/>
  <c r="F71" i="15"/>
  <c r="C27" i="15"/>
  <c r="F51" i="15"/>
  <c r="F65" i="15"/>
  <c r="J57" i="15"/>
  <c r="J55" i="15" s="1"/>
  <c r="J58" i="15" s="1"/>
  <c r="Q50" i="15" s="1"/>
  <c r="C10" i="67"/>
  <c r="AP7" i="1"/>
  <c r="C36" i="69" s="1"/>
  <c r="AB45" i="21"/>
  <c r="AC33" i="21"/>
  <c r="W33" i="21"/>
  <c r="S33" i="21"/>
  <c r="AA33" i="21"/>
  <c r="W32" i="21"/>
  <c r="AC32" i="21"/>
  <c r="AB9" i="21"/>
  <c r="U9" i="21"/>
  <c r="AA32" i="21"/>
  <c r="S32" i="21"/>
  <c r="W9" i="21"/>
  <c r="AC9" i="21"/>
  <c r="AB32" i="21"/>
  <c r="U32" i="21"/>
  <c r="AA10" i="21"/>
  <c r="S10" i="21"/>
  <c r="F59" i="67"/>
  <c r="F31" i="67"/>
  <c r="M17" i="15"/>
  <c r="M17" i="67"/>
  <c r="F31" i="15"/>
  <c r="F59" i="15"/>
  <c r="F37" i="79"/>
  <c r="M28" i="67"/>
  <c r="L48" i="67"/>
  <c r="F7" i="67"/>
  <c r="F40" i="15"/>
  <c r="M24" i="79"/>
  <c r="M23" i="79"/>
  <c r="M29" i="67"/>
  <c r="F38" i="67"/>
  <c r="F6" i="79"/>
  <c r="L47" i="79"/>
  <c r="J15" i="79"/>
  <c r="F38" i="79"/>
  <c r="M28" i="79"/>
  <c r="M26" i="79"/>
  <c r="C76" i="15"/>
  <c r="F26" i="79"/>
  <c r="J15" i="67"/>
  <c r="F36" i="15"/>
  <c r="M26" i="67"/>
  <c r="F16" i="79"/>
  <c r="F40" i="79"/>
  <c r="F9" i="79"/>
  <c r="M26" i="15"/>
  <c r="F38" i="15"/>
  <c r="M9" i="79"/>
  <c r="C76" i="79"/>
  <c r="C16" i="67"/>
  <c r="F13" i="79"/>
  <c r="M27" i="79"/>
  <c r="F8" i="79"/>
  <c r="M9" i="15"/>
  <c r="F9" i="15"/>
  <c r="M6" i="79"/>
  <c r="F16" i="15"/>
  <c r="F13" i="67"/>
  <c r="L47" i="67"/>
  <c r="M9" i="67"/>
  <c r="F13" i="15"/>
  <c r="F42" i="15"/>
  <c r="F42" i="79"/>
  <c r="M24" i="67"/>
  <c r="F37" i="67"/>
  <c r="J15" i="15"/>
  <c r="M8" i="79"/>
  <c r="F7" i="15"/>
  <c r="L48" i="79"/>
  <c r="M22" i="79"/>
  <c r="F36" i="79"/>
  <c r="D107" i="43" l="1"/>
  <c r="D104" i="43"/>
  <c r="D102" i="43"/>
  <c r="D106" i="43"/>
  <c r="D105" i="43"/>
  <c r="I116" i="43"/>
  <c r="J116" i="43" s="1"/>
  <c r="K116" i="43" s="1"/>
  <c r="L116" i="43" s="1"/>
  <c r="M116" i="43" s="1"/>
  <c r="G102" i="43"/>
  <c r="K107" i="43"/>
  <c r="D115" i="43"/>
  <c r="E115" i="43" s="1"/>
  <c r="F115" i="43" s="1"/>
  <c r="G115" i="43" s="1"/>
  <c r="H115" i="43" s="1"/>
  <c r="AC32" i="33"/>
  <c r="F68" i="79"/>
  <c r="L57" i="79"/>
  <c r="L60" i="79"/>
  <c r="L56" i="79"/>
  <c r="J60" i="79"/>
  <c r="Q48" i="79" s="1"/>
  <c r="J53" i="79"/>
  <c r="J59" i="79"/>
  <c r="J57" i="79"/>
  <c r="J55" i="79" s="1"/>
  <c r="J58" i="79" s="1"/>
  <c r="Q50" i="79" s="1"/>
  <c r="I54" i="79"/>
  <c r="Q71" i="79"/>
  <c r="F64" i="79"/>
  <c r="F64" i="15"/>
  <c r="F65" i="67"/>
  <c r="F66" i="15"/>
  <c r="L58" i="67"/>
  <c r="Q60" i="67" s="1"/>
  <c r="N59" i="67"/>
  <c r="L59" i="67" s="1"/>
  <c r="Q74" i="67" s="1"/>
  <c r="M59" i="67"/>
  <c r="C27" i="79"/>
  <c r="F65" i="79"/>
  <c r="N59" i="79"/>
  <c r="L58" i="79"/>
  <c r="L59" i="79"/>
  <c r="M59" i="79"/>
  <c r="F66" i="79"/>
  <c r="F51" i="79"/>
  <c r="C10" i="15"/>
  <c r="F50" i="15"/>
  <c r="C49" i="15" s="1"/>
  <c r="C6" i="15"/>
  <c r="M7" i="15"/>
  <c r="I54" i="67"/>
  <c r="L56" i="67"/>
  <c r="J57" i="67"/>
  <c r="J55" i="67" s="1"/>
  <c r="J58" i="67" s="1"/>
  <c r="Q50" i="67" s="1"/>
  <c r="F68" i="15"/>
  <c r="Q71" i="15"/>
  <c r="M7" i="67"/>
  <c r="J6" i="67" s="1"/>
  <c r="F50" i="67"/>
  <c r="C49" i="67" s="1"/>
  <c r="C6" i="67"/>
  <c r="C5" i="67" s="1"/>
  <c r="C32" i="67" s="1"/>
  <c r="F66" i="67"/>
  <c r="B116" i="43"/>
  <c r="C116" i="43" s="1"/>
  <c r="G103" i="43"/>
  <c r="G104" i="43"/>
  <c r="J101" i="33"/>
  <c r="K101" i="33" s="1"/>
  <c r="L101" i="33" s="1"/>
  <c r="M101" i="33" s="1"/>
  <c r="F32" i="33"/>
  <c r="AB27" i="33"/>
  <c r="O7" i="1"/>
  <c r="B115" i="43"/>
  <c r="D117" i="43"/>
  <c r="E117" i="43" s="1"/>
  <c r="F117" i="43" s="1"/>
  <c r="G117" i="43" s="1"/>
  <c r="H117" i="43" s="1"/>
  <c r="B117" i="43"/>
  <c r="C117" i="43" s="1"/>
  <c r="I115" i="43"/>
  <c r="J115" i="43" s="1"/>
  <c r="K115" i="43" s="1"/>
  <c r="L115" i="43" s="1"/>
  <c r="M115" i="43" s="1"/>
  <c r="D118" i="43"/>
  <c r="E118" i="43" s="1"/>
  <c r="F118" i="43" s="1"/>
  <c r="I117" i="43"/>
  <c r="J117" i="43" s="1"/>
  <c r="K117" i="43" s="1"/>
  <c r="L117" i="43" s="1"/>
  <c r="M117" i="43" s="1"/>
  <c r="K104" i="43"/>
  <c r="K106" i="43"/>
  <c r="B118" i="43"/>
  <c r="C118" i="43" s="1"/>
  <c r="K102" i="43"/>
  <c r="K105" i="43"/>
  <c r="K109" i="43"/>
  <c r="G118" i="43"/>
  <c r="H118" i="43" s="1"/>
  <c r="C24"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T7" i="43" s="1"/>
  <c r="V7" i="43" s="1"/>
  <c r="S4" i="43"/>
  <c r="T4" i="43" s="1"/>
  <c r="V4" i="43" s="1"/>
  <c r="S6" i="43"/>
  <c r="T6" i="43" s="1"/>
  <c r="V6" i="43" s="1"/>
  <c r="E69" i="3"/>
  <c r="S3" i="43"/>
  <c r="T3" i="43" s="1"/>
  <c r="V3" i="43" s="1"/>
  <c r="C23" i="43"/>
  <c r="C21" i="43" s="1"/>
  <c r="C29" i="43" s="1"/>
  <c r="S5" i="43"/>
  <c r="T5" i="43" s="1"/>
  <c r="V5" i="43" s="1"/>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E3" i="6"/>
  <c r="E20" i="6" s="1"/>
  <c r="K7" i="1" s="1"/>
  <c r="K16" i="1" s="1"/>
  <c r="C8" i="68" s="1"/>
  <c r="C5" i="68" s="1"/>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F1" i="67"/>
  <c r="Q52" i="67"/>
  <c r="M29" i="79"/>
  <c r="C16" i="15"/>
  <c r="F7" i="79"/>
  <c r="F43" i="79"/>
  <c r="Q61" i="67" l="1"/>
  <c r="F27" i="6"/>
  <c r="C5" i="15"/>
  <c r="C32" i="15" s="1"/>
  <c r="Q73" i="67"/>
  <c r="L46" i="79"/>
  <c r="M7" i="79"/>
  <c r="F50" i="79"/>
  <c r="C49" i="79" s="1"/>
  <c r="C48" i="79" s="1"/>
  <c r="C6" i="79"/>
  <c r="C10" i="79"/>
  <c r="F71" i="79"/>
  <c r="Q73" i="79"/>
  <c r="Q60" i="79"/>
  <c r="Q52" i="79"/>
  <c r="F1" i="79"/>
  <c r="Q57" i="79"/>
  <c r="Q66" i="79"/>
  <c r="G16" i="1"/>
  <c r="Q16" i="1"/>
  <c r="M7" i="1"/>
  <c r="H16" i="1"/>
  <c r="AA32" i="33"/>
  <c r="S32" i="33"/>
  <c r="Q74" i="79"/>
  <c r="Q61" i="79"/>
  <c r="C115" i="43"/>
  <c r="D113" i="43" s="1"/>
  <c r="J22" i="43" s="1"/>
  <c r="D3" i="21"/>
  <c r="B24" i="3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AB7" i="36"/>
  <c r="T36" i="36" s="1"/>
  <c r="C23" i="68"/>
  <c r="E38" i="43"/>
  <c r="E6" i="3"/>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C16" i="79"/>
  <c r="C38" i="15" l="1"/>
  <c r="C5" i="79"/>
  <c r="C32" i="79" s="1"/>
  <c r="M16" i="1"/>
  <c r="C34" i="11" s="1"/>
  <c r="C38" i="11" s="1"/>
  <c r="H10" i="40"/>
  <c r="F10" i="39"/>
  <c r="F10" i="40"/>
  <c r="J10" i="39"/>
  <c r="J10" i="40"/>
  <c r="H10" i="39"/>
  <c r="C60" i="79"/>
  <c r="C66" i="79"/>
  <c r="F27" i="69"/>
  <c r="F28" i="12"/>
  <c r="C29" i="12" s="1"/>
  <c r="D28" i="12" s="1"/>
  <c r="F27" i="68"/>
  <c r="F27" i="11"/>
  <c r="C28" i="11" s="1"/>
  <c r="C27" i="11" s="1"/>
  <c r="C38" i="79"/>
  <c r="J6" i="79"/>
  <c r="J10" i="79"/>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37" i="11"/>
  <c r="C36" i="11"/>
  <c r="J24" i="67"/>
  <c r="J18" i="67"/>
  <c r="G36" i="36"/>
  <c r="R37" i="36"/>
  <c r="AB7" i="34"/>
  <c r="T49" i="34" s="1"/>
  <c r="G49" i="34" s="1"/>
  <c r="G53" i="34" s="1"/>
  <c r="H53" i="34" s="1"/>
  <c r="W7" i="21"/>
  <c r="AA7" i="21"/>
  <c r="D30" i="6"/>
  <c r="A7" i="51"/>
  <c r="B7" i="72" s="1"/>
  <c r="C4" i="52"/>
  <c r="B45" i="72" s="1"/>
  <c r="A10" i="51"/>
  <c r="B9" i="72" s="1"/>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D27" i="6" l="1"/>
  <c r="D16" i="6"/>
  <c r="J5" i="79"/>
  <c r="J26" i="79" s="1"/>
  <c r="B26" i="31"/>
  <c r="C26" i="31" s="1"/>
  <c r="C29" i="68"/>
  <c r="D27" i="68" s="1"/>
  <c r="C47" i="68"/>
  <c r="D45" i="68" s="1"/>
  <c r="C29" i="69"/>
  <c r="D27" i="69" s="1"/>
  <c r="C47" i="69"/>
  <c r="D45" i="69" s="1"/>
  <c r="W10" i="40"/>
  <c r="AC10" i="40"/>
  <c r="AA10" i="40"/>
  <c r="S10" i="40"/>
  <c r="U10" i="40"/>
  <c r="AB10" i="40"/>
  <c r="C47" i="11"/>
  <c r="D45" i="11" s="1"/>
  <c r="C29" i="11"/>
  <c r="D27" i="11" s="1"/>
  <c r="C31" i="11" s="1"/>
  <c r="AB10" i="39"/>
  <c r="U10" i="39"/>
  <c r="AC10" i="39"/>
  <c r="W10" i="39"/>
  <c r="S10" i="39"/>
  <c r="AA10" i="39"/>
  <c r="N16" i="1"/>
  <c r="L16" i="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C17" i="15"/>
  <c r="C17" i="79"/>
  <c r="B22" i="31" l="1"/>
  <c r="J18" i="79"/>
  <c r="J24" i="79"/>
  <c r="F50" i="11"/>
  <c r="F50" i="69"/>
  <c r="F50" i="68"/>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C14" i="79"/>
  <c r="M21" i="79"/>
  <c r="M21" i="67"/>
  <c r="F35" i="67"/>
  <c r="F35" i="79"/>
  <c r="C15" i="79" l="1"/>
  <c r="C18" i="79"/>
  <c r="F63" i="79"/>
  <c r="C62" i="79" s="1"/>
  <c r="C34" i="79"/>
  <c r="J20" i="79"/>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C19" i="79" l="1"/>
  <c r="C20" i="79" s="1"/>
  <c r="C26" i="79" s="1"/>
  <c r="L19" i="9"/>
  <c r="R19" i="6"/>
  <c r="H27" i="6"/>
  <c r="G52" i="21"/>
  <c r="H52" i="21" s="1"/>
  <c r="G53" i="21"/>
  <c r="H53" i="21" s="1"/>
  <c r="I52" i="21"/>
  <c r="J52" i="21" s="1"/>
  <c r="E48" i="21"/>
  <c r="R49" i="21"/>
  <c r="C41" i="68"/>
  <c r="C46" i="68"/>
  <c r="C45" i="68" s="1"/>
  <c r="K63" i="40"/>
  <c r="J65" i="40"/>
  <c r="K70" i="39"/>
  <c r="C56" i="11"/>
  <c r="C57" i="11" s="1"/>
  <c r="C23" i="79" l="1"/>
  <c r="C29" i="79" s="1"/>
  <c r="C57" i="79" s="1"/>
  <c r="R6" i="1"/>
  <c r="R27" i="6"/>
  <c r="E52" i="21"/>
  <c r="F52" i="21" s="1"/>
  <c r="E53" i="21"/>
  <c r="F53" i="21" s="1"/>
  <c r="C48" i="21"/>
  <c r="C49" i="21"/>
  <c r="I53" i="21"/>
  <c r="J53" i="21" s="1"/>
  <c r="C49" i="68"/>
  <c r="C51" i="68" s="1"/>
  <c r="C52" i="68" s="1"/>
  <c r="C57" i="68" s="1"/>
  <c r="C56" i="68" s="1"/>
  <c r="L63" i="40"/>
  <c r="K65" i="40"/>
  <c r="L70" i="39"/>
  <c r="E2" i="70"/>
  <c r="C34" i="69"/>
  <c r="C17" i="67"/>
  <c r="F35" i="15"/>
  <c r="M21" i="15"/>
  <c r="C33" i="79" l="1"/>
  <c r="C31" i="79" s="1"/>
  <c r="J14" i="79"/>
  <c r="J22" i="79" s="1"/>
  <c r="J19" i="79"/>
  <c r="J17" i="79" s="1"/>
  <c r="Q49" i="79"/>
  <c r="C36" i="79"/>
  <c r="C13" i="79"/>
  <c r="C75" i="79" s="1"/>
  <c r="C64" i="79"/>
  <c r="C61" i="79"/>
  <c r="C59" i="79" s="1"/>
  <c r="C34" i="15"/>
  <c r="F63" i="15"/>
  <c r="C62" i="15" s="1"/>
  <c r="J20" i="15"/>
  <c r="R16" i="1"/>
  <c r="M63" i="40"/>
  <c r="L65" i="40"/>
  <c r="M70" i="39"/>
  <c r="C35" i="69"/>
  <c r="C38" i="69"/>
  <c r="D10" i="69"/>
  <c r="J13" i="79" l="1"/>
  <c r="J23" i="79" s="1"/>
  <c r="J16" i="79" s="1"/>
  <c r="J25" i="79" s="1"/>
  <c r="Q70" i="79"/>
  <c r="C56" i="79"/>
  <c r="C65" i="79" s="1"/>
  <c r="C58" i="79" s="1"/>
  <c r="C67" i="79" s="1"/>
  <c r="C37" i="79"/>
  <c r="C30" i="79" s="1"/>
  <c r="C39" i="79" s="1"/>
  <c r="C80" i="79" s="1"/>
  <c r="C79" i="79" s="1"/>
  <c r="N63" i="40"/>
  <c r="M65" i="40"/>
  <c r="O70" i="39"/>
  <c r="N70" i="39"/>
  <c r="D19" i="69"/>
  <c r="C10" i="69"/>
  <c r="C8" i="69" s="1"/>
  <c r="C5" i="69" s="1"/>
  <c r="Q69" i="79" l="1"/>
  <c r="Q68" i="79" s="1"/>
  <c r="O63" i="40"/>
  <c r="O65" i="40" s="1"/>
  <c r="N65" i="40"/>
  <c r="C23" i="69"/>
  <c r="C19" i="69"/>
  <c r="C24" i="69" s="1"/>
  <c r="D37" i="69"/>
  <c r="C37" i="69" s="1"/>
  <c r="C33" i="69" s="1"/>
  <c r="L51" i="79"/>
  <c r="C14" i="67"/>
  <c r="Q67" i="79"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F69" i="79" l="1"/>
  <c r="C68" i="79" s="1"/>
  <c r="C71" i="79" s="1"/>
  <c r="C40" i="79"/>
  <c r="C83" i="79" s="1"/>
  <c r="C82" i="79" s="1"/>
  <c r="J29" i="79"/>
  <c r="Q66" i="67"/>
  <c r="Q57" i="67"/>
  <c r="C58" i="67"/>
  <c r="C67" i="67" s="1"/>
  <c r="C19" i="15"/>
  <c r="C43" i="79" l="1"/>
  <c r="Q65" i="79"/>
  <c r="Q75" i="79" s="1"/>
  <c r="Q56" i="79"/>
  <c r="Q62" i="79" s="1"/>
  <c r="Q47" i="79"/>
  <c r="Q53" i="79" s="1"/>
  <c r="B2" i="79"/>
  <c r="B3" i="79" s="1"/>
  <c r="C46" i="79"/>
  <c r="C20" i="15"/>
  <c r="C26" i="15" s="1"/>
  <c r="C23" i="15" l="1"/>
  <c r="C29" i="15" s="1"/>
  <c r="J59" i="15" s="1"/>
  <c r="J60" i="15" s="1"/>
  <c r="Q48" i="15" s="1"/>
  <c r="J19" i="15" l="1"/>
  <c r="Q49" i="15"/>
  <c r="C57" i="15"/>
  <c r="C61" i="15" s="1"/>
  <c r="C33" i="15"/>
  <c r="C31" i="15" s="1"/>
  <c r="C13" i="15"/>
  <c r="C36" i="15"/>
  <c r="J14" i="15"/>
  <c r="J22" i="15" s="1"/>
  <c r="C37" i="15" l="1"/>
  <c r="C30" i="15" s="1"/>
  <c r="C39" i="15" s="1"/>
  <c r="Q69" i="15" s="1"/>
  <c r="F35" i="9"/>
  <c r="C56" i="15"/>
  <c r="C48" i="15" s="1"/>
  <c r="C64" i="15"/>
  <c r="Q70" i="15"/>
  <c r="C75" i="15"/>
  <c r="J13" i="15"/>
  <c r="J23" i="15" s="1"/>
  <c r="AE8" i="1"/>
  <c r="AE6" i="1"/>
  <c r="C66" i="15" l="1"/>
  <c r="C60" i="15"/>
  <c r="C59" i="15" s="1"/>
  <c r="AG6" i="1"/>
  <c r="C80" i="15"/>
  <c r="C79" i="15" s="1"/>
  <c r="C65" i="15"/>
  <c r="Q68" i="15"/>
  <c r="L57" i="15"/>
  <c r="L60" i="15" s="1"/>
  <c r="M6" i="15"/>
  <c r="F41" i="67"/>
  <c r="M27" i="67"/>
  <c r="F41" i="15"/>
  <c r="L51" i="15"/>
  <c r="M27" i="15"/>
  <c r="J6" i="15" l="1"/>
  <c r="J10" i="15"/>
  <c r="Q67" i="15"/>
  <c r="J26" i="67"/>
  <c r="J29" i="67" s="1"/>
  <c r="C58" i="15"/>
  <c r="C67" i="15" s="1"/>
  <c r="F69" i="15"/>
  <c r="C40" i="15"/>
  <c r="C43" i="15" s="1"/>
  <c r="L46" i="15"/>
  <c r="Q57" i="15"/>
  <c r="Q66" i="15"/>
  <c r="F69" i="67"/>
  <c r="C68" i="67" s="1"/>
  <c r="C71" i="67" s="1"/>
  <c r="C40" i="67"/>
  <c r="C83" i="67" s="1"/>
  <c r="C82" i="67" s="1"/>
  <c r="J5" i="15" l="1"/>
  <c r="C68" i="15"/>
  <c r="C71" i="15" s="1"/>
  <c r="C83" i="15"/>
  <c r="C82" i="15" s="1"/>
  <c r="C43" i="67"/>
  <c r="C45" i="67"/>
  <c r="C46" i="67" s="1"/>
  <c r="Q65" i="67"/>
  <c r="Q75" i="67" s="1"/>
  <c r="Q56" i="67"/>
  <c r="Q62" i="67" s="1"/>
  <c r="Q47" i="67"/>
  <c r="Q53" i="67" s="1"/>
  <c r="D2" i="67"/>
  <c r="B2" i="67" s="1"/>
  <c r="AO8" i="1"/>
  <c r="AO7" i="1"/>
  <c r="E2" i="69"/>
  <c r="J24" i="15" l="1"/>
  <c r="J18" i="15"/>
  <c r="J17" i="15" s="1"/>
  <c r="B8" i="70"/>
  <c r="B7" i="70"/>
  <c r="C46" i="15"/>
  <c r="B2" i="69"/>
  <c r="B3" i="69" s="1"/>
  <c r="B2" i="68"/>
  <c r="B3" i="67"/>
  <c r="D2" i="33"/>
  <c r="D2" i="21"/>
  <c r="F20" i="31"/>
  <c r="D2" i="35"/>
  <c r="E2" i="68"/>
  <c r="D2" i="34"/>
  <c r="D2" i="36"/>
  <c r="D2" i="37"/>
  <c r="J16" i="15" l="1"/>
  <c r="J25" i="15" s="1"/>
  <c r="J26" i="15" s="1"/>
  <c r="J29" i="15" s="1"/>
  <c r="I39" i="15" s="1"/>
  <c r="B2" i="36"/>
  <c r="B3" i="36" s="1"/>
  <c r="B2" i="35"/>
  <c r="B3" i="35" s="1"/>
  <c r="B2" i="37"/>
  <c r="B3" i="37" s="1"/>
  <c r="B2" i="34"/>
  <c r="B3" i="34" s="1"/>
  <c r="B2" i="21"/>
  <c r="B3" i="68"/>
  <c r="Q47" i="15" l="1"/>
  <c r="Q53" i="15" s="1"/>
  <c r="B2" i="15"/>
  <c r="Q65" i="15"/>
  <c r="Q75" i="15" s="1"/>
  <c r="Q56" i="15"/>
  <c r="Q62" i="15" s="1"/>
  <c r="B3" i="21"/>
  <c r="AO6" i="1"/>
  <c r="B6" i="70" l="1"/>
  <c r="B2" i="70" s="1"/>
  <c r="B3" i="15"/>
  <c r="J7" i="33"/>
  <c r="W7" i="33" s="1"/>
  <c r="F7" i="33"/>
  <c r="S7" i="33" s="1"/>
  <c r="H7" i="33"/>
  <c r="AB7" i="33" s="1"/>
  <c r="T48" i="33" s="1"/>
  <c r="G48" i="33" s="1"/>
  <c r="D19" i="9"/>
  <c r="D102" i="9" l="1"/>
  <c r="D21" i="9"/>
  <c r="B3" i="70"/>
  <c r="G52" i="33"/>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3" i="33" l="1"/>
  <c r="B2"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G20" i="9" l="1"/>
  <c r="C103" i="9"/>
  <c r="C102" i="9"/>
  <c r="C21" i="9"/>
  <c r="G19" i="9"/>
  <c r="F34" i="9" s="1"/>
  <c r="D22" i="9"/>
  <c r="F66" i="39"/>
  <c r="B2" i="39" s="1"/>
  <c r="B3" i="39" s="1"/>
  <c r="G21" i="9" l="1"/>
  <c r="C32" i="9"/>
  <c r="C35" i="9" s="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admin</author>
    <author>作者</author>
    <author>TY</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admin:</t>
        </r>
        <r>
          <rPr>
            <sz val="9"/>
            <color indexed="81"/>
            <rFont val="宋体"/>
            <family val="3"/>
            <charset val="134"/>
          </rPr>
          <t xml:space="preserve">
填写收到合同录入台账日期</t>
        </r>
      </text>
    </comment>
    <comment ref="D3" authorId="0">
      <text>
        <r>
          <rPr>
            <b/>
            <sz val="9"/>
            <color indexed="81"/>
            <rFont val="宋体"/>
            <family val="3"/>
            <charset val="134"/>
          </rPr>
          <t>admin:</t>
        </r>
        <r>
          <rPr>
            <sz val="9"/>
            <color indexed="81"/>
            <rFont val="宋体"/>
            <family val="3"/>
            <charset val="134"/>
          </rPr>
          <t xml:space="preserve">
按合同填写</t>
        </r>
      </text>
    </comment>
    <comment ref="E3" authorId="0">
      <text>
        <r>
          <rPr>
            <b/>
            <sz val="9"/>
            <color indexed="81"/>
            <rFont val="宋体"/>
            <family val="3"/>
            <charset val="134"/>
          </rPr>
          <t>admin:</t>
        </r>
        <r>
          <rPr>
            <sz val="9"/>
            <color indexed="81"/>
            <rFont val="宋体"/>
            <family val="3"/>
            <charset val="134"/>
          </rPr>
          <t xml:space="preserve">
按合同招商人员</t>
        </r>
      </text>
    </comment>
    <comment ref="F3" authorId="0">
      <text>
        <r>
          <rPr>
            <b/>
            <sz val="9"/>
            <color indexed="81"/>
            <rFont val="宋体"/>
            <family val="3"/>
            <charset val="134"/>
          </rPr>
          <t>admin:</t>
        </r>
        <r>
          <rPr>
            <sz val="9"/>
            <color indexed="81"/>
            <rFont val="宋体"/>
            <family val="3"/>
            <charset val="134"/>
          </rPr>
          <t xml:space="preserve">
富基租户编号</t>
        </r>
      </text>
    </comment>
    <comment ref="G3" authorId="0">
      <text>
        <r>
          <rPr>
            <b/>
            <sz val="9"/>
            <color indexed="81"/>
            <rFont val="宋体"/>
            <family val="3"/>
            <charset val="134"/>
          </rPr>
          <t>admin:</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admin:</t>
        </r>
        <r>
          <rPr>
            <sz val="9"/>
            <color indexed="81"/>
            <rFont val="宋体"/>
            <family val="3"/>
            <charset val="134"/>
          </rPr>
          <t xml:space="preserve">
按合同填写</t>
        </r>
      </text>
    </comment>
    <comment ref="J3" authorId="0">
      <text>
        <r>
          <rPr>
            <b/>
            <sz val="9"/>
            <color indexed="81"/>
            <rFont val="宋体"/>
            <family val="3"/>
            <charset val="134"/>
          </rPr>
          <t>admin:</t>
        </r>
        <r>
          <rPr>
            <sz val="9"/>
            <color indexed="81"/>
            <rFont val="宋体"/>
            <family val="3"/>
            <charset val="134"/>
          </rPr>
          <t xml:space="preserve">
按合同填写</t>
        </r>
      </text>
    </comment>
    <comment ref="K3" authorId="0">
      <text>
        <r>
          <rPr>
            <b/>
            <sz val="9"/>
            <color indexed="81"/>
            <rFont val="宋体"/>
            <family val="3"/>
            <charset val="134"/>
          </rPr>
          <t>admin:</t>
        </r>
        <r>
          <rPr>
            <sz val="9"/>
            <color indexed="81"/>
            <rFont val="宋体"/>
            <family val="3"/>
            <charset val="134"/>
          </rPr>
          <t xml:space="preserve">
按合同填写</t>
        </r>
      </text>
    </comment>
    <comment ref="L3" authorId="0">
      <text>
        <r>
          <rPr>
            <b/>
            <sz val="9"/>
            <color indexed="81"/>
            <rFont val="宋体"/>
            <family val="3"/>
            <charset val="134"/>
          </rPr>
          <t>admin:</t>
        </r>
        <r>
          <rPr>
            <sz val="9"/>
            <color indexed="81"/>
            <rFont val="宋体"/>
            <family val="3"/>
            <charset val="134"/>
          </rPr>
          <t xml:space="preserve">
按合同填写</t>
        </r>
      </text>
    </comment>
    <comment ref="M3" authorId="0">
      <text>
        <r>
          <rPr>
            <b/>
            <sz val="9"/>
            <color indexed="81"/>
            <rFont val="宋体"/>
            <family val="3"/>
            <charset val="134"/>
          </rPr>
          <t>admin:</t>
        </r>
        <r>
          <rPr>
            <sz val="9"/>
            <color indexed="81"/>
            <rFont val="宋体"/>
            <family val="3"/>
            <charset val="134"/>
          </rPr>
          <t xml:space="preserve">
按合同填写</t>
        </r>
      </text>
    </comment>
    <comment ref="N3" authorId="0">
      <text>
        <r>
          <rPr>
            <b/>
            <sz val="9"/>
            <color indexed="81"/>
            <rFont val="宋体"/>
            <family val="3"/>
            <charset val="134"/>
          </rPr>
          <t>admin:</t>
        </r>
        <r>
          <rPr>
            <sz val="9"/>
            <color indexed="81"/>
            <rFont val="宋体"/>
            <family val="3"/>
            <charset val="134"/>
          </rPr>
          <t xml:space="preserve">
按合同填写</t>
        </r>
      </text>
    </comment>
    <comment ref="O3" authorId="0">
      <text>
        <r>
          <rPr>
            <b/>
            <sz val="9"/>
            <color indexed="81"/>
            <rFont val="宋体"/>
            <family val="3"/>
            <charset val="134"/>
          </rPr>
          <t>admin:</t>
        </r>
        <r>
          <rPr>
            <sz val="9"/>
            <color indexed="81"/>
            <rFont val="宋体"/>
            <family val="3"/>
            <charset val="134"/>
          </rPr>
          <t xml:space="preserve">
按合同填写
</t>
        </r>
      </text>
    </comment>
    <comment ref="S3" authorId="0">
      <text>
        <r>
          <rPr>
            <b/>
            <sz val="9"/>
            <color indexed="81"/>
            <rFont val="宋体"/>
            <family val="3"/>
            <charset val="134"/>
          </rPr>
          <t>admin:</t>
        </r>
        <r>
          <rPr>
            <sz val="9"/>
            <color indexed="81"/>
            <rFont val="宋体"/>
            <family val="3"/>
            <charset val="134"/>
          </rPr>
          <t xml:space="preserve">
按合同填写
</t>
        </r>
      </text>
    </comment>
    <comment ref="T3" authorId="0">
      <text>
        <r>
          <rPr>
            <b/>
            <sz val="9"/>
            <color indexed="81"/>
            <rFont val="宋体"/>
            <family val="3"/>
            <charset val="134"/>
          </rPr>
          <t>admin:</t>
        </r>
        <r>
          <rPr>
            <sz val="9"/>
            <color indexed="81"/>
            <rFont val="宋体"/>
            <family val="3"/>
            <charset val="134"/>
          </rPr>
          <t xml:space="preserve">
按合同填写
</t>
        </r>
      </text>
    </comment>
    <comment ref="U3" authorId="0">
      <text>
        <r>
          <rPr>
            <b/>
            <sz val="9"/>
            <color indexed="81"/>
            <rFont val="宋体"/>
            <family val="3"/>
            <charset val="134"/>
          </rPr>
          <t>admin:</t>
        </r>
        <r>
          <rPr>
            <sz val="9"/>
            <color indexed="81"/>
            <rFont val="宋体"/>
            <family val="3"/>
            <charset val="134"/>
          </rPr>
          <t xml:space="preserve">
按合同填写
</t>
        </r>
      </text>
    </comment>
    <comment ref="X3" authorId="0">
      <text>
        <r>
          <rPr>
            <b/>
            <sz val="9"/>
            <color indexed="81"/>
            <rFont val="宋体"/>
            <family val="3"/>
            <charset val="134"/>
          </rPr>
          <t>admin:</t>
        </r>
        <r>
          <rPr>
            <sz val="9"/>
            <color indexed="81"/>
            <rFont val="宋体"/>
            <family val="3"/>
            <charset val="134"/>
          </rPr>
          <t xml:space="preserve">
按合同填写
</t>
        </r>
      </text>
    </comment>
    <comment ref="P4" authorId="0">
      <text>
        <r>
          <rPr>
            <b/>
            <sz val="9"/>
            <color indexed="81"/>
            <rFont val="宋体"/>
            <family val="3"/>
            <charset val="134"/>
          </rPr>
          <t>admin:</t>
        </r>
        <r>
          <rPr>
            <sz val="9"/>
            <color indexed="81"/>
            <rFont val="宋体"/>
            <family val="3"/>
            <charset val="134"/>
          </rPr>
          <t xml:space="preserve">
按合同填写
</t>
        </r>
      </text>
    </comment>
    <comment ref="Q4" authorId="0">
      <text>
        <r>
          <rPr>
            <b/>
            <sz val="9"/>
            <color indexed="81"/>
            <rFont val="宋体"/>
            <family val="3"/>
            <charset val="134"/>
          </rPr>
          <t>admin:</t>
        </r>
        <r>
          <rPr>
            <sz val="9"/>
            <color indexed="81"/>
            <rFont val="宋体"/>
            <family val="3"/>
            <charset val="134"/>
          </rPr>
          <t xml:space="preserve">
按实际填写
</t>
        </r>
      </text>
    </comment>
    <comment ref="R4" authorId="0">
      <text>
        <r>
          <rPr>
            <b/>
            <sz val="9"/>
            <color indexed="81"/>
            <rFont val="宋体"/>
            <family val="3"/>
            <charset val="134"/>
          </rPr>
          <t>admin:</t>
        </r>
        <r>
          <rPr>
            <sz val="9"/>
            <color indexed="81"/>
            <rFont val="宋体"/>
            <family val="3"/>
            <charset val="134"/>
          </rPr>
          <t xml:space="preserve">
按实际填写
</t>
        </r>
      </text>
    </comment>
    <comment ref="AK4" authorId="0">
      <text>
        <r>
          <rPr>
            <b/>
            <sz val="9"/>
            <color indexed="81"/>
            <rFont val="宋体"/>
            <family val="3"/>
            <charset val="134"/>
          </rPr>
          <t>admin:</t>
        </r>
        <r>
          <rPr>
            <sz val="9"/>
            <color indexed="81"/>
            <rFont val="宋体"/>
            <family val="3"/>
            <charset val="134"/>
          </rPr>
          <t xml:space="preserve">
按实际填写</t>
        </r>
      </text>
    </comment>
    <comment ref="AL4" authorId="0">
      <text>
        <r>
          <rPr>
            <b/>
            <sz val="9"/>
            <color indexed="81"/>
            <rFont val="宋体"/>
            <family val="3"/>
            <charset val="134"/>
          </rPr>
          <t>admin:</t>
        </r>
        <r>
          <rPr>
            <sz val="9"/>
            <color indexed="81"/>
            <rFont val="宋体"/>
            <family val="3"/>
            <charset val="134"/>
          </rPr>
          <t xml:space="preserve">
按实际填写（此处为缴款最后期间）</t>
        </r>
      </text>
    </comment>
    <comment ref="AM4" authorId="0">
      <text>
        <r>
          <rPr>
            <b/>
            <sz val="9"/>
            <color indexed="81"/>
            <rFont val="宋体"/>
            <family val="3"/>
            <charset val="134"/>
          </rPr>
          <t>admin:</t>
        </r>
        <r>
          <rPr>
            <sz val="9"/>
            <color indexed="81"/>
            <rFont val="宋体"/>
            <family val="3"/>
            <charset val="134"/>
          </rPr>
          <t xml:space="preserve">
按合同填写</t>
        </r>
      </text>
    </comment>
    <comment ref="AS4" authorId="0">
      <text>
        <r>
          <rPr>
            <b/>
            <sz val="9"/>
            <color indexed="81"/>
            <rFont val="宋体"/>
            <family val="3"/>
            <charset val="134"/>
          </rPr>
          <t>admin:</t>
        </r>
        <r>
          <rPr>
            <sz val="9"/>
            <color indexed="81"/>
            <rFont val="宋体"/>
            <family val="3"/>
            <charset val="134"/>
          </rPr>
          <t xml:space="preserve">
按实际填写（此处为缴款最后期间）</t>
        </r>
      </text>
    </comment>
    <comment ref="O7" authorId="0">
      <text>
        <r>
          <rPr>
            <b/>
            <sz val="9"/>
            <color indexed="81"/>
            <rFont val="宋体"/>
            <family val="3"/>
            <charset val="134"/>
          </rPr>
          <t>admin:</t>
        </r>
        <r>
          <rPr>
            <sz val="9"/>
            <color indexed="81"/>
            <rFont val="宋体"/>
            <family val="3"/>
            <charset val="134"/>
          </rPr>
          <t xml:space="preserve">
变更前22</t>
        </r>
      </text>
    </comment>
    <comment ref="I13" authorId="0">
      <text>
        <r>
          <rPr>
            <b/>
            <sz val="9"/>
            <color indexed="81"/>
            <rFont val="宋体"/>
            <family val="3"/>
            <charset val="134"/>
          </rPr>
          <t>自</t>
        </r>
        <r>
          <rPr>
            <b/>
            <sz val="9"/>
            <color indexed="81"/>
            <rFont val="Tahoma"/>
            <family val="2"/>
          </rPr>
          <t>2017</t>
        </r>
        <r>
          <rPr>
            <b/>
            <sz val="9"/>
            <color indexed="81"/>
            <rFont val="宋体"/>
            <family val="3"/>
            <charset val="134"/>
          </rPr>
          <t>年</t>
        </r>
        <r>
          <rPr>
            <b/>
            <sz val="9"/>
            <color indexed="81"/>
            <rFont val="Tahoma"/>
            <family val="2"/>
          </rPr>
          <t>4</t>
        </r>
        <r>
          <rPr>
            <b/>
            <sz val="9"/>
            <color indexed="81"/>
            <rFont val="宋体"/>
            <family val="3"/>
            <charset val="134"/>
          </rPr>
          <t>月</t>
        </r>
        <r>
          <rPr>
            <b/>
            <sz val="9"/>
            <color indexed="81"/>
            <rFont val="Tahoma"/>
            <family val="2"/>
          </rPr>
          <t>1</t>
        </r>
        <r>
          <rPr>
            <b/>
            <sz val="9"/>
            <color indexed="81"/>
            <rFont val="宋体"/>
            <family val="3"/>
            <charset val="134"/>
          </rPr>
          <t>日原品牌璐语诗变更为幽炫。</t>
        </r>
      </text>
    </comment>
    <comment ref="T13" authorId="0">
      <text>
        <r>
          <rPr>
            <b/>
            <sz val="9"/>
            <color indexed="81"/>
            <rFont val="Tahoma"/>
            <family val="2"/>
          </rPr>
          <t>2017.03.28</t>
        </r>
        <r>
          <rPr>
            <b/>
            <sz val="9"/>
            <color indexed="81"/>
            <rFont val="宋体"/>
            <family val="3"/>
            <charset val="134"/>
          </rPr>
          <t>开业。</t>
        </r>
        <r>
          <rPr>
            <sz val="9"/>
            <color indexed="81"/>
            <rFont val="Tahoma"/>
            <family val="2"/>
          </rPr>
          <t xml:space="preserve">
</t>
        </r>
      </text>
    </comment>
    <comment ref="T14" authorId="0">
      <text>
        <r>
          <rPr>
            <b/>
            <sz val="9"/>
            <color indexed="81"/>
            <rFont val="宋体"/>
            <family val="3"/>
            <charset val="134"/>
          </rPr>
          <t>2017年4月8日开业。</t>
        </r>
      </text>
    </comment>
    <comment ref="T15" authorId="0">
      <text>
        <r>
          <rPr>
            <b/>
            <sz val="9"/>
            <color indexed="81"/>
            <rFont val="Tahoma"/>
            <family val="2"/>
          </rPr>
          <t>2017.03.27</t>
        </r>
        <r>
          <rPr>
            <b/>
            <sz val="9"/>
            <color indexed="81"/>
            <rFont val="宋体"/>
            <family val="3"/>
            <charset val="134"/>
          </rPr>
          <t>日开业。</t>
        </r>
        <r>
          <rPr>
            <sz val="9"/>
            <color indexed="81"/>
            <rFont val="Tahoma"/>
            <family val="2"/>
          </rPr>
          <t xml:space="preserve">
</t>
        </r>
      </text>
    </comment>
    <comment ref="I16" authorId="0">
      <text>
        <r>
          <rPr>
            <b/>
            <sz val="9"/>
            <color indexed="81"/>
            <rFont val="宋体"/>
            <family val="3"/>
            <charset val="134"/>
          </rPr>
          <t>admin:</t>
        </r>
        <r>
          <rPr>
            <sz val="9"/>
            <color indexed="81"/>
            <rFont val="宋体"/>
            <family val="3"/>
            <charset val="134"/>
          </rPr>
          <t xml:space="preserve">
原品牌：水之恋
变更后：水之恋/NIKEWEI
自2017.8.1开始执行
</t>
        </r>
      </text>
    </comment>
    <comment ref="T16" authorId="0">
      <text>
        <r>
          <rPr>
            <b/>
            <sz val="9"/>
            <color indexed="81"/>
            <rFont val="宋体"/>
            <family val="3"/>
            <charset val="134"/>
          </rPr>
          <t>2017/4/27开业。</t>
        </r>
        <r>
          <rPr>
            <sz val="9"/>
            <color indexed="81"/>
            <rFont val="宋体"/>
            <family val="3"/>
            <charset val="134"/>
          </rPr>
          <t xml:space="preserve">
</t>
        </r>
      </text>
    </comment>
    <comment ref="G18" authorId="1">
      <text>
        <r>
          <rPr>
            <b/>
            <sz val="9"/>
            <color indexed="81"/>
            <rFont val="宋体"/>
            <family val="3"/>
            <charset val="134"/>
          </rPr>
          <t>作者:</t>
        </r>
        <r>
          <rPr>
            <sz val="9"/>
            <color indexed="81"/>
            <rFont val="宋体"/>
            <family val="3"/>
            <charset val="134"/>
          </rPr>
          <t xml:space="preserve">
变更前：北京物美商业集团股份有限公司
变更后：三河物美商业有限公司</t>
        </r>
      </text>
    </comment>
    <comment ref="O18" authorId="1">
      <text>
        <r>
          <rPr>
            <sz val="9"/>
            <color indexed="81"/>
            <rFont val="宋体"/>
            <family val="3"/>
            <charset val="134"/>
          </rPr>
          <t xml:space="preserve">原面积：17142
现面积：14732
</t>
        </r>
        <r>
          <rPr>
            <sz val="9"/>
            <color indexed="81"/>
            <rFont val="Tahoma"/>
            <family val="2"/>
          </rPr>
          <t xml:space="preserve">
</t>
        </r>
      </text>
    </comment>
    <comment ref="S18" authorId="1">
      <text>
        <r>
          <rPr>
            <sz val="9"/>
            <color indexed="81"/>
            <rFont val="宋体"/>
            <family val="3"/>
            <charset val="134"/>
          </rPr>
          <t>原进场日：</t>
        </r>
        <r>
          <rPr>
            <sz val="9"/>
            <color indexed="81"/>
            <rFont val="Tahoma"/>
            <family val="2"/>
          </rPr>
          <t xml:space="preserve">2014/9/1
</t>
        </r>
        <r>
          <rPr>
            <sz val="9"/>
            <color indexed="81"/>
            <rFont val="宋体"/>
            <family val="3"/>
            <charset val="134"/>
          </rPr>
          <t>变更进场日：</t>
        </r>
        <r>
          <rPr>
            <sz val="9"/>
            <color indexed="81"/>
            <rFont val="Tahoma"/>
            <family val="2"/>
          </rPr>
          <t xml:space="preserve">2014/3/1
</t>
        </r>
      </text>
    </comment>
    <comment ref="AM18" authorId="1">
      <text>
        <r>
          <rPr>
            <sz val="9"/>
            <color indexed="81"/>
            <rFont val="宋体"/>
            <family val="3"/>
            <charset val="134"/>
          </rPr>
          <t>届满前</t>
        </r>
        <r>
          <rPr>
            <sz val="9"/>
            <color indexed="81"/>
            <rFont val="Tahoma"/>
            <family val="2"/>
          </rPr>
          <t>15</t>
        </r>
        <r>
          <rPr>
            <sz val="9"/>
            <color indexed="81"/>
            <rFont val="宋体"/>
            <family val="3"/>
            <charset val="134"/>
          </rPr>
          <t>日内</t>
        </r>
        <r>
          <rPr>
            <sz val="9"/>
            <color indexed="81"/>
            <rFont val="Tahoma"/>
            <family val="2"/>
          </rPr>
          <t xml:space="preserve">
</t>
        </r>
      </text>
    </comment>
    <comment ref="AT18" authorId="1">
      <text>
        <r>
          <rPr>
            <sz val="9"/>
            <color indexed="81"/>
            <rFont val="宋体"/>
            <family val="3"/>
            <charset val="134"/>
          </rPr>
          <t>届满前</t>
        </r>
        <r>
          <rPr>
            <sz val="9"/>
            <color indexed="81"/>
            <rFont val="Tahoma"/>
            <family val="2"/>
          </rPr>
          <t>15</t>
        </r>
        <r>
          <rPr>
            <sz val="9"/>
            <color indexed="81"/>
            <rFont val="宋体"/>
            <family val="3"/>
            <charset val="134"/>
          </rPr>
          <t>日内</t>
        </r>
        <r>
          <rPr>
            <sz val="9"/>
            <color indexed="81"/>
            <rFont val="Tahoma"/>
            <family val="2"/>
          </rPr>
          <t xml:space="preserve">
</t>
        </r>
      </text>
    </comment>
    <comment ref="AB20" authorId="1">
      <text>
        <r>
          <rPr>
            <b/>
            <sz val="9"/>
            <color indexed="81"/>
            <rFont val="Tahoma"/>
            <family val="2"/>
          </rPr>
          <t>2015.12.31</t>
        </r>
        <r>
          <rPr>
            <b/>
            <sz val="9"/>
            <color indexed="81"/>
            <rFont val="宋体"/>
            <family val="3"/>
            <charset val="134"/>
          </rPr>
          <t>日之前</t>
        </r>
        <r>
          <rPr>
            <b/>
            <sz val="9"/>
            <color indexed="81"/>
            <rFont val="Tahoma"/>
            <family val="2"/>
          </rPr>
          <t>96.36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平米</t>
        </r>
      </text>
    </comment>
    <comment ref="AM20"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Q20" authorId="1">
      <text>
        <r>
          <rPr>
            <b/>
            <sz val="9"/>
            <color indexed="81"/>
            <rFont val="宋体"/>
            <family val="3"/>
            <charset val="134"/>
          </rPr>
          <t>物业费自</t>
        </r>
        <r>
          <rPr>
            <b/>
            <sz val="9"/>
            <color indexed="81"/>
            <rFont val="Tahoma"/>
            <family val="2"/>
          </rPr>
          <t>2015/6/2</t>
        </r>
        <r>
          <rPr>
            <b/>
            <sz val="9"/>
            <color indexed="81"/>
            <rFont val="宋体"/>
            <family val="3"/>
            <charset val="134"/>
          </rPr>
          <t>按</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平米执行</t>
        </r>
      </text>
    </comment>
    <comment ref="AT20"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21"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FB2-24-1</t>
        </r>
        <r>
          <rPr>
            <sz val="9"/>
            <color indexed="81"/>
            <rFont val="宋体"/>
            <family val="3"/>
            <charset val="134"/>
          </rPr>
          <t>，变更为：</t>
        </r>
        <r>
          <rPr>
            <sz val="9"/>
            <color indexed="81"/>
            <rFont val="Tahoma"/>
            <family val="2"/>
          </rPr>
          <t>FB2-21-1</t>
        </r>
      </text>
    </comment>
    <comment ref="O21" authorId="1">
      <text>
        <r>
          <rPr>
            <b/>
            <sz val="9"/>
            <color indexed="81"/>
            <rFont val="宋体"/>
            <family val="3"/>
            <charset val="134"/>
          </rPr>
          <t>作者:</t>
        </r>
        <r>
          <rPr>
            <sz val="9"/>
            <color indexed="81"/>
            <rFont val="宋体"/>
            <family val="3"/>
            <charset val="134"/>
          </rPr>
          <t xml:space="preserve">
原面积</t>
        </r>
        <r>
          <rPr>
            <sz val="9"/>
            <color indexed="81"/>
            <rFont val="Tahoma"/>
            <family val="2"/>
          </rPr>
          <t>15</t>
        </r>
        <r>
          <rPr>
            <sz val="9"/>
            <color indexed="81"/>
            <rFont val="宋体"/>
            <family val="3"/>
            <charset val="134"/>
          </rPr>
          <t>，变更为</t>
        </r>
        <r>
          <rPr>
            <sz val="9"/>
            <color indexed="81"/>
            <rFont val="Tahoma"/>
            <family val="2"/>
          </rPr>
          <t>19</t>
        </r>
      </text>
    </comment>
    <comment ref="G22" authorId="1">
      <text>
        <r>
          <rPr>
            <b/>
            <sz val="9"/>
            <color indexed="81"/>
            <rFont val="宋体"/>
            <family val="3"/>
            <charset val="134"/>
          </rPr>
          <t>作者:</t>
        </r>
        <r>
          <rPr>
            <sz val="9"/>
            <color indexed="81"/>
            <rFont val="宋体"/>
            <family val="3"/>
            <charset val="134"/>
          </rPr>
          <t xml:space="preserve">
变更前：王仕凤
变更后：李海健
</t>
        </r>
      </text>
    </comment>
    <comment ref="P22" authorId="1">
      <text>
        <r>
          <rPr>
            <b/>
            <sz val="9"/>
            <color indexed="81"/>
            <rFont val="宋体"/>
            <family val="3"/>
            <charset val="134"/>
          </rPr>
          <t>作者:</t>
        </r>
        <r>
          <rPr>
            <sz val="9"/>
            <color indexed="81"/>
            <rFont val="宋体"/>
            <family val="3"/>
            <charset val="134"/>
          </rPr>
          <t xml:space="preserve">
王仕凤：</t>
        </r>
        <r>
          <rPr>
            <sz val="9"/>
            <color indexed="81"/>
            <rFont val="Tahoma"/>
            <family val="2"/>
          </rPr>
          <t xml:space="preserve">1551
</t>
        </r>
        <r>
          <rPr>
            <sz val="9"/>
            <color indexed="81"/>
            <rFont val="宋体"/>
            <family val="3"/>
            <charset val="134"/>
          </rPr>
          <t>李海建：</t>
        </r>
        <r>
          <rPr>
            <sz val="9"/>
            <color indexed="81"/>
            <rFont val="Tahoma"/>
            <family val="2"/>
          </rPr>
          <t>2646</t>
        </r>
      </text>
    </comment>
    <comment ref="R22" authorId="1">
      <text>
        <r>
          <rPr>
            <b/>
            <sz val="9"/>
            <color indexed="81"/>
            <rFont val="宋体"/>
            <family val="3"/>
            <charset val="134"/>
          </rPr>
          <t>作者:</t>
        </r>
        <r>
          <rPr>
            <sz val="9"/>
            <color indexed="81"/>
            <rFont val="宋体"/>
            <family val="3"/>
            <charset val="134"/>
          </rPr>
          <t xml:space="preserve">
王仕凤：</t>
        </r>
        <r>
          <rPr>
            <sz val="9"/>
            <color indexed="81"/>
            <rFont val="Tahoma"/>
            <family val="2"/>
          </rPr>
          <t xml:space="preserve">1551
</t>
        </r>
        <r>
          <rPr>
            <sz val="9"/>
            <color indexed="81"/>
            <rFont val="宋体"/>
            <family val="3"/>
            <charset val="134"/>
          </rPr>
          <t>李海建：</t>
        </r>
        <r>
          <rPr>
            <sz val="9"/>
            <color indexed="81"/>
            <rFont val="Tahoma"/>
            <family val="2"/>
          </rPr>
          <t>2646</t>
        </r>
      </text>
    </comment>
    <comment ref="T23" authorId="0">
      <text>
        <r>
          <rPr>
            <b/>
            <sz val="9"/>
            <color indexed="81"/>
            <rFont val="宋体"/>
            <family val="3"/>
            <charset val="134"/>
          </rPr>
          <t>admin:</t>
        </r>
        <r>
          <rPr>
            <sz val="9"/>
            <color indexed="81"/>
            <rFont val="宋体"/>
            <family val="3"/>
            <charset val="134"/>
          </rPr>
          <t xml:space="preserve">
续约
</t>
        </r>
      </text>
    </comment>
    <comment ref="AE23" authorId="0">
      <text>
        <r>
          <rPr>
            <b/>
            <sz val="9"/>
            <color indexed="81"/>
            <rFont val="宋体"/>
            <family val="3"/>
            <charset val="134"/>
          </rPr>
          <t>admin:</t>
        </r>
        <r>
          <rPr>
            <sz val="9"/>
            <color indexed="81"/>
            <rFont val="宋体"/>
            <family val="3"/>
            <charset val="134"/>
          </rPr>
          <t xml:space="preserve">
2017.8.25-2018.12.31</t>
        </r>
      </text>
    </comment>
    <comment ref="AQ23" authorId="0">
      <text>
        <r>
          <rPr>
            <b/>
            <sz val="9"/>
            <color indexed="81"/>
            <rFont val="宋体"/>
            <family val="3"/>
            <charset val="134"/>
          </rPr>
          <t>admin:</t>
        </r>
        <r>
          <rPr>
            <sz val="9"/>
            <color indexed="81"/>
            <rFont val="宋体"/>
            <family val="3"/>
            <charset val="134"/>
          </rPr>
          <t xml:space="preserve">
2017.8.25-2018.12.31  45元</t>
        </r>
      </text>
    </comment>
    <comment ref="G24" authorId="1">
      <text>
        <r>
          <rPr>
            <b/>
            <sz val="9"/>
            <color indexed="81"/>
            <rFont val="宋体"/>
            <family val="3"/>
            <charset val="134"/>
          </rPr>
          <t>作者:</t>
        </r>
        <r>
          <rPr>
            <sz val="9"/>
            <color indexed="81"/>
            <rFont val="宋体"/>
            <family val="3"/>
            <charset val="134"/>
          </rPr>
          <t xml:space="preserve">
变更前：张四平、牛秀娟
变更后：杜晓珍</t>
        </r>
      </text>
    </comment>
    <comment ref="G26" authorId="0">
      <text>
        <r>
          <rPr>
            <b/>
            <sz val="9"/>
            <color indexed="81"/>
            <rFont val="宋体"/>
            <family val="3"/>
            <charset val="134"/>
          </rPr>
          <t>admin:</t>
        </r>
        <r>
          <rPr>
            <sz val="9"/>
            <color indexed="81"/>
            <rFont val="宋体"/>
            <family val="3"/>
            <charset val="134"/>
          </rPr>
          <t xml:space="preserve">
变更前：张婷婷；
变更后：段海凤
自2017.8.1执行</t>
        </r>
      </text>
    </comment>
    <comment ref="J26" authorId="0">
      <text>
        <r>
          <rPr>
            <b/>
            <sz val="9"/>
            <color indexed="81"/>
            <rFont val="宋体"/>
            <family val="3"/>
            <charset val="134"/>
          </rPr>
          <t>admin:</t>
        </r>
        <r>
          <rPr>
            <sz val="9"/>
            <color indexed="81"/>
            <rFont val="宋体"/>
            <family val="3"/>
            <charset val="134"/>
          </rPr>
          <t xml:space="preserve">
变更前：张婷婷；
变更后：段海凤
自2017.8.1执行</t>
        </r>
      </text>
    </comment>
    <comment ref="AD26" authorId="0">
      <text>
        <r>
          <rPr>
            <b/>
            <sz val="9"/>
            <color indexed="81"/>
            <rFont val="宋体"/>
            <family val="3"/>
            <charset val="134"/>
          </rPr>
          <t>admin:</t>
        </r>
        <r>
          <rPr>
            <sz val="9"/>
            <color indexed="81"/>
            <rFont val="宋体"/>
            <family val="3"/>
            <charset val="134"/>
          </rPr>
          <t xml:space="preserve">
2017.10.1-2012.31</t>
        </r>
      </text>
    </comment>
    <comment ref="AE26" authorId="0">
      <text>
        <r>
          <rPr>
            <b/>
            <sz val="9"/>
            <color indexed="81"/>
            <rFont val="宋体"/>
            <family val="3"/>
            <charset val="134"/>
          </rPr>
          <t>admin:</t>
        </r>
        <r>
          <rPr>
            <sz val="9"/>
            <color indexed="81"/>
            <rFont val="宋体"/>
            <family val="3"/>
            <charset val="134"/>
          </rPr>
          <t xml:space="preserve">
2018.1.1-2018.13.31</t>
        </r>
      </text>
    </comment>
    <comment ref="AQ26" authorId="0">
      <text>
        <r>
          <rPr>
            <b/>
            <sz val="9"/>
            <color indexed="81"/>
            <rFont val="宋体"/>
            <family val="3"/>
            <charset val="134"/>
          </rPr>
          <t>admin:</t>
        </r>
        <r>
          <rPr>
            <sz val="9"/>
            <color indexed="81"/>
            <rFont val="宋体"/>
            <family val="3"/>
            <charset val="134"/>
          </rPr>
          <t xml:space="preserve">
2018.1.1-2018.12.31   45元</t>
        </r>
      </text>
    </comment>
    <comment ref="AB27" authorId="0">
      <text>
        <r>
          <rPr>
            <b/>
            <sz val="9"/>
            <color indexed="81"/>
            <rFont val="宋体"/>
            <family val="3"/>
            <charset val="134"/>
          </rPr>
          <t>admin:</t>
        </r>
        <r>
          <rPr>
            <sz val="9"/>
            <color indexed="81"/>
            <rFont val="宋体"/>
            <family val="3"/>
            <charset val="134"/>
          </rPr>
          <t xml:space="preserve">
2017.4.25-2018.4.24
</t>
        </r>
      </text>
    </comment>
    <comment ref="AD27" authorId="0">
      <text>
        <r>
          <rPr>
            <b/>
            <sz val="9"/>
            <color indexed="81"/>
            <rFont val="宋体"/>
            <family val="3"/>
            <charset val="134"/>
          </rPr>
          <t>admin:</t>
        </r>
        <r>
          <rPr>
            <sz val="9"/>
            <color indexed="81"/>
            <rFont val="宋体"/>
            <family val="3"/>
            <charset val="134"/>
          </rPr>
          <t xml:space="preserve">
2018.4.25-2018.12.31</t>
        </r>
      </text>
    </comment>
    <comment ref="AP27" authorId="0">
      <text>
        <r>
          <rPr>
            <b/>
            <sz val="9"/>
            <color indexed="81"/>
            <rFont val="宋体"/>
            <family val="3"/>
            <charset val="134"/>
          </rPr>
          <t>admin:</t>
        </r>
        <r>
          <rPr>
            <sz val="9"/>
            <color indexed="81"/>
            <rFont val="宋体"/>
            <family val="3"/>
            <charset val="134"/>
          </rPr>
          <t xml:space="preserve">
2017.4.25-2018.4.24</t>
        </r>
      </text>
    </comment>
    <comment ref="AQ27" authorId="0">
      <text>
        <r>
          <rPr>
            <b/>
            <sz val="9"/>
            <color indexed="81"/>
            <rFont val="宋体"/>
            <family val="3"/>
            <charset val="134"/>
          </rPr>
          <t>admin:</t>
        </r>
        <r>
          <rPr>
            <sz val="9"/>
            <color indexed="81"/>
            <rFont val="宋体"/>
            <family val="3"/>
            <charset val="134"/>
          </rPr>
          <t xml:space="preserve">
2018.4.25-2018.12.31</t>
        </r>
      </text>
    </comment>
    <comment ref="G28" authorId="0">
      <text>
        <r>
          <rPr>
            <b/>
            <sz val="9"/>
            <color indexed="81"/>
            <rFont val="Tahoma"/>
            <family val="2"/>
          </rPr>
          <t>2017.04.01</t>
        </r>
        <r>
          <rPr>
            <b/>
            <sz val="9"/>
            <color indexed="81"/>
            <rFont val="宋体"/>
            <family val="3"/>
            <charset val="134"/>
          </rPr>
          <t>由原法人：李松锦变更为金京爱。</t>
        </r>
        <r>
          <rPr>
            <sz val="9"/>
            <color indexed="81"/>
            <rFont val="Tahoma"/>
            <family val="2"/>
          </rPr>
          <t xml:space="preserve">
</t>
        </r>
      </text>
    </comment>
    <comment ref="J28" authorId="0">
      <text>
        <r>
          <rPr>
            <b/>
            <sz val="9"/>
            <color indexed="81"/>
            <rFont val="Tahoma"/>
            <family val="2"/>
          </rPr>
          <t>2017.04.01</t>
        </r>
        <r>
          <rPr>
            <b/>
            <sz val="9"/>
            <color indexed="81"/>
            <rFont val="宋体"/>
            <family val="3"/>
            <charset val="134"/>
          </rPr>
          <t>由原法人：李松锦变更为金京爱。</t>
        </r>
        <r>
          <rPr>
            <sz val="9"/>
            <color indexed="81"/>
            <rFont val="Tahoma"/>
            <family val="2"/>
          </rPr>
          <t xml:space="preserve">
</t>
        </r>
      </text>
    </comment>
    <comment ref="N28" authorId="1">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FB2-44
</t>
        </r>
        <r>
          <rPr>
            <sz val="9"/>
            <color indexed="81"/>
            <rFont val="宋体"/>
            <family val="3"/>
            <charset val="134"/>
          </rPr>
          <t>变更为：</t>
        </r>
        <r>
          <rPr>
            <sz val="9"/>
            <color indexed="81"/>
            <rFont val="Tahoma"/>
            <family val="2"/>
          </rPr>
          <t>FB2-39</t>
        </r>
      </text>
    </comment>
    <comment ref="O28" authorId="1">
      <text>
        <r>
          <rPr>
            <b/>
            <sz val="9"/>
            <color indexed="81"/>
            <rFont val="宋体"/>
            <family val="3"/>
            <charset val="134"/>
          </rPr>
          <t>作者:</t>
        </r>
        <r>
          <rPr>
            <sz val="9"/>
            <color indexed="81"/>
            <rFont val="宋体"/>
            <family val="3"/>
            <charset val="134"/>
          </rPr>
          <t xml:space="preserve">
原面积</t>
        </r>
        <r>
          <rPr>
            <sz val="9"/>
            <color indexed="81"/>
            <rFont val="Tahoma"/>
            <family val="2"/>
          </rPr>
          <t>56</t>
        </r>
        <r>
          <rPr>
            <sz val="9"/>
            <color indexed="81"/>
            <rFont val="宋体"/>
            <family val="3"/>
            <charset val="134"/>
          </rPr>
          <t>，变更为</t>
        </r>
        <r>
          <rPr>
            <sz val="9"/>
            <color indexed="81"/>
            <rFont val="Tahoma"/>
            <family val="2"/>
          </rPr>
          <t>145</t>
        </r>
      </text>
    </comment>
    <comment ref="O29" authorId="1">
      <text>
        <r>
          <rPr>
            <b/>
            <sz val="9"/>
            <color indexed="81"/>
            <rFont val="宋体"/>
            <family val="3"/>
            <charset val="134"/>
          </rPr>
          <t>原面积：</t>
        </r>
        <r>
          <rPr>
            <b/>
            <sz val="9"/>
            <color indexed="81"/>
            <rFont val="Tahoma"/>
            <family val="2"/>
          </rPr>
          <t>52</t>
        </r>
        <r>
          <rPr>
            <b/>
            <sz val="9"/>
            <color indexed="81"/>
            <rFont val="宋体"/>
            <family val="3"/>
            <charset val="134"/>
          </rPr>
          <t>平米
现面积变更为：</t>
        </r>
        <r>
          <rPr>
            <b/>
            <sz val="9"/>
            <color indexed="81"/>
            <rFont val="Tahoma"/>
            <family val="2"/>
          </rPr>
          <t>28</t>
        </r>
        <r>
          <rPr>
            <b/>
            <sz val="9"/>
            <color indexed="81"/>
            <rFont val="宋体"/>
            <family val="3"/>
            <charset val="134"/>
          </rPr>
          <t>平米</t>
        </r>
        <r>
          <rPr>
            <b/>
            <sz val="9"/>
            <color indexed="81"/>
            <rFont val="Tahoma"/>
            <family val="2"/>
          </rPr>
          <t xml:space="preserve"> 
</t>
        </r>
        <r>
          <rPr>
            <b/>
            <sz val="9"/>
            <color indexed="81"/>
            <rFont val="宋体"/>
            <family val="3"/>
            <charset val="134"/>
          </rPr>
          <t>自</t>
        </r>
        <r>
          <rPr>
            <b/>
            <sz val="9"/>
            <color indexed="81"/>
            <rFont val="Tahoma"/>
            <family val="2"/>
          </rPr>
          <t>2015/6/1</t>
        </r>
        <r>
          <rPr>
            <b/>
            <sz val="9"/>
            <color indexed="81"/>
            <rFont val="宋体"/>
            <family val="3"/>
            <charset val="134"/>
          </rPr>
          <t xml:space="preserve">执行
</t>
        </r>
        <r>
          <rPr>
            <b/>
            <sz val="9"/>
            <color indexed="81"/>
            <rFont val="Tahoma"/>
            <family val="2"/>
          </rPr>
          <t>2015/9/1</t>
        </r>
        <r>
          <rPr>
            <b/>
            <sz val="9"/>
            <color indexed="81"/>
            <rFont val="宋体"/>
            <family val="3"/>
            <charset val="134"/>
          </rPr>
          <t>面积为：</t>
        </r>
        <r>
          <rPr>
            <b/>
            <sz val="9"/>
            <color indexed="81"/>
            <rFont val="Tahoma"/>
            <family val="2"/>
          </rPr>
          <t>42</t>
        </r>
        <r>
          <rPr>
            <b/>
            <sz val="9"/>
            <color indexed="81"/>
            <rFont val="宋体"/>
            <family val="3"/>
            <charset val="134"/>
          </rPr>
          <t xml:space="preserve">平米
</t>
        </r>
      </text>
    </comment>
    <comment ref="T30" authorId="1">
      <text>
        <r>
          <rPr>
            <b/>
            <sz val="9"/>
            <color indexed="81"/>
            <rFont val="宋体"/>
            <family val="3"/>
            <charset val="134"/>
          </rPr>
          <t>作者:</t>
        </r>
        <r>
          <rPr>
            <sz val="9"/>
            <color indexed="81"/>
            <rFont val="宋体"/>
            <family val="3"/>
            <charset val="134"/>
          </rPr>
          <t xml:space="preserve">
位置变更前：计租日</t>
        </r>
        <r>
          <rPr>
            <sz val="9"/>
            <color indexed="81"/>
            <rFont val="Tahoma"/>
            <family val="2"/>
          </rPr>
          <t>2016/7/1</t>
        </r>
      </text>
    </comment>
    <comment ref="N31" authorId="1">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FB2-40-4
</t>
        </r>
        <r>
          <rPr>
            <sz val="9"/>
            <color indexed="81"/>
            <rFont val="宋体"/>
            <family val="3"/>
            <charset val="134"/>
          </rPr>
          <t>变更后：</t>
        </r>
        <r>
          <rPr>
            <sz val="9"/>
            <color indexed="81"/>
            <rFont val="Tahoma"/>
            <family val="2"/>
          </rPr>
          <t>FB2-40-2</t>
        </r>
      </text>
    </comment>
    <comment ref="O31" authorId="1">
      <text>
        <r>
          <rPr>
            <b/>
            <sz val="9"/>
            <color indexed="81"/>
            <rFont val="宋体"/>
            <family val="3"/>
            <charset val="134"/>
          </rPr>
          <t>作者:</t>
        </r>
        <r>
          <rPr>
            <sz val="9"/>
            <color indexed="81"/>
            <rFont val="宋体"/>
            <family val="3"/>
            <charset val="134"/>
          </rPr>
          <t xml:space="preserve">
原面积：</t>
        </r>
        <r>
          <rPr>
            <sz val="9"/>
            <color indexed="81"/>
            <rFont val="Tahoma"/>
            <family val="2"/>
          </rPr>
          <t>67</t>
        </r>
        <r>
          <rPr>
            <sz val="9"/>
            <color indexed="81"/>
            <rFont val="宋体"/>
            <family val="3"/>
            <charset val="134"/>
          </rPr>
          <t>平
变更后：</t>
        </r>
        <r>
          <rPr>
            <sz val="9"/>
            <color indexed="81"/>
            <rFont val="Tahoma"/>
            <family val="2"/>
          </rPr>
          <t>75</t>
        </r>
        <r>
          <rPr>
            <sz val="9"/>
            <color indexed="81"/>
            <rFont val="宋体"/>
            <family val="3"/>
            <charset val="134"/>
          </rPr>
          <t>平</t>
        </r>
      </text>
    </comment>
    <comment ref="T31" authorId="1">
      <text>
        <r>
          <rPr>
            <b/>
            <sz val="9"/>
            <color indexed="81"/>
            <rFont val="宋体"/>
            <family val="3"/>
            <charset val="134"/>
          </rPr>
          <t>作者:</t>
        </r>
        <r>
          <rPr>
            <sz val="9"/>
            <color indexed="81"/>
            <rFont val="宋体"/>
            <family val="3"/>
            <charset val="134"/>
          </rPr>
          <t xml:space="preserve">
位置变更前：计租日</t>
        </r>
        <r>
          <rPr>
            <sz val="9"/>
            <color indexed="81"/>
            <rFont val="Tahoma"/>
            <family val="2"/>
          </rPr>
          <t>2016/7/1</t>
        </r>
      </text>
    </comment>
    <comment ref="AB31" authorId="0">
      <text>
        <r>
          <rPr>
            <b/>
            <sz val="9"/>
            <color indexed="81"/>
            <rFont val="宋体"/>
            <family val="3"/>
            <charset val="134"/>
          </rPr>
          <t xml:space="preserve">admin:                  2016.7.1-2017.6.30
</t>
        </r>
      </text>
    </comment>
    <comment ref="AD31" authorId="0">
      <text>
        <r>
          <rPr>
            <b/>
            <sz val="9"/>
            <color indexed="81"/>
            <rFont val="宋体"/>
            <family val="3"/>
            <charset val="134"/>
          </rPr>
          <t>admin:</t>
        </r>
        <r>
          <rPr>
            <sz val="9"/>
            <color indexed="81"/>
            <rFont val="宋体"/>
            <family val="3"/>
            <charset val="134"/>
          </rPr>
          <t xml:space="preserve">
2017.7.1-2018.6.30租金单价94.3</t>
        </r>
      </text>
    </comment>
    <comment ref="AO31" authorId="1">
      <text>
        <r>
          <rPr>
            <b/>
            <sz val="9"/>
            <color indexed="81"/>
            <rFont val="宋体"/>
            <family val="3"/>
            <charset val="134"/>
          </rPr>
          <t>作者:</t>
        </r>
        <r>
          <rPr>
            <sz val="9"/>
            <color indexed="81"/>
            <rFont val="宋体"/>
            <family val="3"/>
            <charset val="134"/>
          </rPr>
          <t xml:space="preserve">
位置变更前：</t>
        </r>
        <r>
          <rPr>
            <sz val="9"/>
            <color indexed="81"/>
            <rFont val="Tahoma"/>
            <family val="2"/>
          </rPr>
          <t>2010</t>
        </r>
      </text>
    </comment>
    <comment ref="N32"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FB2-48</t>
        </r>
      </text>
    </comment>
    <comment ref="O32" authorId="0">
      <text>
        <r>
          <rPr>
            <b/>
            <sz val="9"/>
            <color indexed="81"/>
            <rFont val="宋体"/>
            <family val="3"/>
            <charset val="134"/>
          </rPr>
          <t>原面积</t>
        </r>
        <r>
          <rPr>
            <b/>
            <sz val="9"/>
            <color indexed="81"/>
            <rFont val="Tahoma"/>
            <family val="2"/>
          </rPr>
          <t>35</t>
        </r>
        <r>
          <rPr>
            <b/>
            <sz val="9"/>
            <color indexed="81"/>
            <rFont val="宋体"/>
            <family val="3"/>
            <charset val="134"/>
          </rPr>
          <t>平米变更为</t>
        </r>
        <r>
          <rPr>
            <b/>
            <sz val="9"/>
            <color indexed="81"/>
            <rFont val="Tahoma"/>
            <family val="2"/>
          </rPr>
          <t>32.1</t>
        </r>
        <r>
          <rPr>
            <b/>
            <sz val="9"/>
            <color indexed="81"/>
            <rFont val="宋体"/>
            <family val="3"/>
            <charset val="134"/>
          </rPr>
          <t>平米</t>
        </r>
      </text>
    </comment>
    <comment ref="P32" authorId="0">
      <text>
        <r>
          <rPr>
            <b/>
            <sz val="9"/>
            <color indexed="81"/>
            <rFont val="宋体"/>
            <family val="3"/>
            <charset val="134"/>
          </rPr>
          <t>admin:</t>
        </r>
        <r>
          <rPr>
            <sz val="9"/>
            <color indexed="81"/>
            <rFont val="宋体"/>
            <family val="3"/>
            <charset val="134"/>
          </rPr>
          <t xml:space="preserve">
原保证金2905元；
2017.8.11续约后保证金变为10284.8</t>
        </r>
      </text>
    </comment>
    <comment ref="Q32" authorId="0">
      <text>
        <r>
          <rPr>
            <b/>
            <sz val="9"/>
            <color indexed="81"/>
            <rFont val="宋体"/>
            <family val="3"/>
            <charset val="134"/>
          </rPr>
          <t>admin:</t>
        </r>
        <r>
          <rPr>
            <sz val="9"/>
            <color indexed="81"/>
            <rFont val="宋体"/>
            <family val="3"/>
            <charset val="134"/>
          </rPr>
          <t xml:space="preserve">
原缴款日2015.8.5
补缴款日2017.8.31
</t>
        </r>
      </text>
    </comment>
    <comment ref="R32" authorId="0">
      <text>
        <r>
          <rPr>
            <b/>
            <sz val="9"/>
            <color indexed="81"/>
            <rFont val="宋体"/>
            <family val="3"/>
            <charset val="134"/>
          </rPr>
          <t>admin:</t>
        </r>
        <r>
          <rPr>
            <sz val="9"/>
            <color indexed="81"/>
            <rFont val="宋体"/>
            <family val="3"/>
            <charset val="134"/>
          </rPr>
          <t xml:space="preserve">
原保证金2905元；
续约后保证金变为10284.8</t>
        </r>
      </text>
    </comment>
    <comment ref="AB32" authorId="0">
      <text>
        <r>
          <rPr>
            <b/>
            <sz val="9"/>
            <color indexed="81"/>
            <rFont val="宋体"/>
            <family val="3"/>
            <charset val="134"/>
          </rPr>
          <t>admin:</t>
        </r>
        <r>
          <rPr>
            <sz val="9"/>
            <color indexed="81"/>
            <rFont val="宋体"/>
            <family val="3"/>
            <charset val="134"/>
          </rPr>
          <t xml:space="preserve">
2015.8.11-2016.8.10</t>
        </r>
      </text>
    </comment>
    <comment ref="AD32" authorId="0">
      <text>
        <r>
          <rPr>
            <b/>
            <sz val="9"/>
            <color indexed="81"/>
            <rFont val="宋体"/>
            <family val="3"/>
            <charset val="134"/>
          </rPr>
          <t>admin:</t>
        </r>
        <r>
          <rPr>
            <sz val="9"/>
            <color indexed="81"/>
            <rFont val="宋体"/>
            <family val="3"/>
            <charset val="134"/>
          </rPr>
          <t xml:space="preserve">
2016.8.11-2017.8.10</t>
        </r>
      </text>
    </comment>
    <comment ref="AF32" authorId="0">
      <text>
        <r>
          <rPr>
            <b/>
            <sz val="9"/>
            <color indexed="81"/>
            <rFont val="宋体"/>
            <family val="3"/>
            <charset val="134"/>
          </rPr>
          <t>admin:</t>
        </r>
        <r>
          <rPr>
            <sz val="9"/>
            <color indexed="81"/>
            <rFont val="宋体"/>
            <family val="3"/>
            <charset val="134"/>
          </rPr>
          <t xml:space="preserve">
2017.8.11-2018.8.10</t>
        </r>
      </text>
    </comment>
    <comment ref="AN32" authorId="0">
      <text>
        <r>
          <rPr>
            <b/>
            <sz val="9"/>
            <color indexed="81"/>
            <rFont val="宋体"/>
            <family val="3"/>
            <charset val="134"/>
          </rPr>
          <t>admin:
原押金1050元
2017.8.11续约后押金变为4333.5</t>
        </r>
      </text>
    </comment>
    <comment ref="AQ32" authorId="0">
      <text>
        <r>
          <rPr>
            <b/>
            <sz val="9"/>
            <color indexed="81"/>
            <rFont val="宋体"/>
            <family val="3"/>
            <charset val="134"/>
          </rPr>
          <t>admin:</t>
        </r>
        <r>
          <rPr>
            <sz val="9"/>
            <color indexed="81"/>
            <rFont val="宋体"/>
            <family val="3"/>
            <charset val="134"/>
          </rPr>
          <t xml:space="preserve">
原物业费30,2017.8.11之后变为45</t>
        </r>
      </text>
    </comment>
    <comment ref="N33"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FB2-47</t>
        </r>
      </text>
    </comment>
    <comment ref="O33" authorId="1">
      <text>
        <r>
          <rPr>
            <b/>
            <sz val="9"/>
            <color indexed="81"/>
            <rFont val="宋体"/>
            <family val="3"/>
            <charset val="134"/>
          </rPr>
          <t>作者:</t>
        </r>
        <r>
          <rPr>
            <sz val="9"/>
            <color indexed="81"/>
            <rFont val="宋体"/>
            <family val="3"/>
            <charset val="134"/>
          </rPr>
          <t xml:space="preserve">
原面积</t>
        </r>
        <r>
          <rPr>
            <sz val="9"/>
            <color indexed="81"/>
            <rFont val="Tahoma"/>
            <family val="2"/>
          </rPr>
          <t>36</t>
        </r>
        <r>
          <rPr>
            <sz val="9"/>
            <color indexed="81"/>
            <rFont val="宋体"/>
            <family val="3"/>
            <charset val="134"/>
          </rPr>
          <t>平米变更为</t>
        </r>
        <r>
          <rPr>
            <sz val="9"/>
            <color indexed="81"/>
            <rFont val="Tahoma"/>
            <family val="2"/>
          </rPr>
          <t>35.2</t>
        </r>
        <r>
          <rPr>
            <sz val="9"/>
            <color indexed="81"/>
            <rFont val="宋体"/>
            <family val="3"/>
            <charset val="134"/>
          </rPr>
          <t>平米，由</t>
        </r>
        <r>
          <rPr>
            <sz val="9"/>
            <color indexed="81"/>
            <rFont val="Tahoma"/>
            <family val="2"/>
          </rPr>
          <t>35.2</t>
        </r>
        <r>
          <rPr>
            <sz val="9"/>
            <color indexed="81"/>
            <rFont val="宋体"/>
            <family val="3"/>
            <charset val="134"/>
          </rPr>
          <t>平米变更为</t>
        </r>
        <r>
          <rPr>
            <sz val="9"/>
            <color indexed="81"/>
            <rFont val="Tahoma"/>
            <family val="2"/>
          </rPr>
          <t>33</t>
        </r>
        <r>
          <rPr>
            <sz val="9"/>
            <color indexed="81"/>
            <rFont val="宋体"/>
            <family val="3"/>
            <charset val="134"/>
          </rPr>
          <t>平米</t>
        </r>
      </text>
    </comment>
    <comment ref="N34"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FB2-52-4</t>
        </r>
      </text>
    </comment>
    <comment ref="O34" authorId="1">
      <text>
        <r>
          <rPr>
            <b/>
            <sz val="9"/>
            <color indexed="81"/>
            <rFont val="宋体"/>
            <family val="3"/>
            <charset val="134"/>
          </rPr>
          <t>作者:</t>
        </r>
        <r>
          <rPr>
            <sz val="9"/>
            <color indexed="81"/>
            <rFont val="宋体"/>
            <family val="3"/>
            <charset val="134"/>
          </rPr>
          <t xml:space="preserve">
原面积</t>
        </r>
        <r>
          <rPr>
            <sz val="9"/>
            <color indexed="81"/>
            <rFont val="Tahoma"/>
            <family val="2"/>
          </rPr>
          <t>35.4</t>
        </r>
        <r>
          <rPr>
            <sz val="9"/>
            <color indexed="81"/>
            <rFont val="宋体"/>
            <family val="3"/>
            <charset val="134"/>
          </rPr>
          <t>平米变更为</t>
        </r>
        <r>
          <rPr>
            <sz val="9"/>
            <color indexed="81"/>
            <rFont val="Tahoma"/>
            <family val="2"/>
          </rPr>
          <t>35</t>
        </r>
        <r>
          <rPr>
            <sz val="9"/>
            <color indexed="81"/>
            <rFont val="宋体"/>
            <family val="3"/>
            <charset val="134"/>
          </rPr>
          <t xml:space="preserve">平米
</t>
        </r>
        <r>
          <rPr>
            <sz val="9"/>
            <color indexed="81"/>
            <rFont val="宋体"/>
            <family val="3"/>
            <charset val="134"/>
          </rPr>
          <t>面积由</t>
        </r>
        <r>
          <rPr>
            <sz val="9"/>
            <color indexed="81"/>
            <rFont val="Tahoma"/>
            <family val="2"/>
          </rPr>
          <t>35</t>
        </r>
        <r>
          <rPr>
            <sz val="9"/>
            <color indexed="81"/>
            <rFont val="宋体"/>
            <family val="3"/>
            <charset val="134"/>
          </rPr>
          <t>平米变更为</t>
        </r>
        <r>
          <rPr>
            <sz val="9"/>
            <color indexed="81"/>
            <rFont val="Tahoma"/>
            <family val="2"/>
          </rPr>
          <t>33.4</t>
        </r>
        <r>
          <rPr>
            <sz val="9"/>
            <color indexed="81"/>
            <rFont val="宋体"/>
            <family val="3"/>
            <charset val="134"/>
          </rPr>
          <t>平米</t>
        </r>
      </text>
    </comment>
    <comment ref="AD34" authorId="0">
      <text>
        <r>
          <rPr>
            <b/>
            <sz val="9"/>
            <color indexed="81"/>
            <rFont val="宋体"/>
            <family val="3"/>
            <charset val="134"/>
          </rPr>
          <t>admin:</t>
        </r>
        <r>
          <rPr>
            <sz val="9"/>
            <color indexed="81"/>
            <rFont val="宋体"/>
            <family val="3"/>
            <charset val="134"/>
          </rPr>
          <t xml:space="preserve">
2017.1.1-2017.12.31</t>
        </r>
      </text>
    </comment>
    <comment ref="N35" authorId="1">
      <text>
        <r>
          <rPr>
            <b/>
            <sz val="9"/>
            <color indexed="81"/>
            <rFont val="Tahoma"/>
            <family val="2"/>
          </rPr>
          <t>作者:</t>
        </r>
        <r>
          <rPr>
            <sz val="9"/>
            <color indexed="81"/>
            <rFont val="Tahoma"/>
            <family val="2"/>
          </rPr>
          <t xml:space="preserve">
FB2-45</t>
        </r>
      </text>
    </comment>
    <comment ref="O35" authorId="1">
      <text>
        <r>
          <rPr>
            <b/>
            <sz val="9"/>
            <color indexed="81"/>
            <rFont val="宋体"/>
            <family val="3"/>
            <charset val="134"/>
          </rPr>
          <t>作者:</t>
        </r>
        <r>
          <rPr>
            <sz val="9"/>
            <color indexed="81"/>
            <rFont val="宋体"/>
            <family val="3"/>
            <charset val="134"/>
          </rPr>
          <t xml:space="preserve">
原面积</t>
        </r>
        <r>
          <rPr>
            <sz val="9"/>
            <color indexed="81"/>
            <rFont val="Tahoma"/>
            <family val="2"/>
          </rPr>
          <t>36</t>
        </r>
        <r>
          <rPr>
            <sz val="9"/>
            <color indexed="81"/>
            <rFont val="宋体"/>
            <family val="3"/>
            <charset val="134"/>
          </rPr>
          <t>平米变更为</t>
        </r>
        <r>
          <rPr>
            <sz val="9"/>
            <color indexed="81"/>
            <rFont val="Tahoma"/>
            <family val="2"/>
          </rPr>
          <t>35</t>
        </r>
        <r>
          <rPr>
            <sz val="9"/>
            <color indexed="81"/>
            <rFont val="宋体"/>
            <family val="3"/>
            <charset val="134"/>
          </rPr>
          <t>平米，</t>
        </r>
        <r>
          <rPr>
            <sz val="9"/>
            <color indexed="81"/>
            <rFont val="Tahoma"/>
            <family val="2"/>
          </rPr>
          <t>35</t>
        </r>
        <r>
          <rPr>
            <sz val="9"/>
            <color indexed="81"/>
            <rFont val="宋体"/>
            <family val="3"/>
            <charset val="134"/>
          </rPr>
          <t>平米变更为</t>
        </r>
        <r>
          <rPr>
            <sz val="9"/>
            <color indexed="81"/>
            <rFont val="Tahoma"/>
            <family val="2"/>
          </rPr>
          <t>32.9</t>
        </r>
        <r>
          <rPr>
            <sz val="9"/>
            <color indexed="81"/>
            <rFont val="宋体"/>
            <family val="3"/>
            <charset val="134"/>
          </rPr>
          <t>平米</t>
        </r>
      </text>
    </comment>
    <comment ref="AD35" authorId="0">
      <text>
        <r>
          <rPr>
            <b/>
            <sz val="9"/>
            <color indexed="81"/>
            <rFont val="宋体"/>
            <family val="3"/>
            <charset val="134"/>
          </rPr>
          <t>admin:</t>
        </r>
        <r>
          <rPr>
            <sz val="9"/>
            <color indexed="81"/>
            <rFont val="宋体"/>
            <family val="3"/>
            <charset val="134"/>
          </rPr>
          <t xml:space="preserve">
2017.1.1-2017.12.31
</t>
        </r>
      </text>
    </comment>
    <comment ref="G36" authorId="0">
      <text>
        <r>
          <rPr>
            <b/>
            <sz val="9"/>
            <color indexed="81"/>
            <rFont val="宋体"/>
            <family val="3"/>
            <charset val="134"/>
          </rPr>
          <t>admin:</t>
        </r>
        <r>
          <rPr>
            <sz val="9"/>
            <color indexed="81"/>
            <rFont val="宋体"/>
            <family val="3"/>
            <charset val="134"/>
          </rPr>
          <t xml:space="preserve">
原法人：杨树千，
变更后：石明明
2017.8.1开始执行</t>
        </r>
      </text>
    </comment>
    <comment ref="I36" authorId="0">
      <text>
        <r>
          <rPr>
            <b/>
            <sz val="9"/>
            <color indexed="81"/>
            <rFont val="宋体"/>
            <family val="3"/>
            <charset val="134"/>
          </rPr>
          <t>admin:原品牌：东田国际，变更后：达人美场美发中心.
2017.8.1开始执行</t>
        </r>
      </text>
    </comment>
    <comment ref="J36" authorId="0">
      <text>
        <r>
          <rPr>
            <b/>
            <sz val="9"/>
            <color indexed="81"/>
            <rFont val="宋体"/>
            <family val="3"/>
            <charset val="134"/>
          </rPr>
          <t>admin:</t>
        </r>
        <r>
          <rPr>
            <sz val="9"/>
            <color indexed="81"/>
            <rFont val="宋体"/>
            <family val="3"/>
            <charset val="134"/>
          </rPr>
          <t xml:space="preserve">
原法人：杨树千，
变更后：石明明
2017.8.1开始执行</t>
        </r>
      </text>
    </comment>
    <comment ref="K36" authorId="0">
      <text>
        <r>
          <rPr>
            <b/>
            <sz val="9"/>
            <color indexed="81"/>
            <rFont val="宋体"/>
            <family val="3"/>
            <charset val="134"/>
          </rPr>
          <t>admin:杨树千：13263259999
石明明：18230167827</t>
        </r>
      </text>
    </comment>
    <comment ref="P36" authorId="1">
      <text>
        <r>
          <rPr>
            <b/>
            <sz val="9"/>
            <color indexed="81"/>
            <rFont val="宋体"/>
            <family val="3"/>
            <charset val="134"/>
          </rPr>
          <t>作者:</t>
        </r>
        <r>
          <rPr>
            <sz val="9"/>
            <color indexed="81"/>
            <rFont val="宋体"/>
            <family val="3"/>
            <charset val="134"/>
          </rPr>
          <t xml:space="preserve">
原保证金：18939
变更之后保证金为：30000
需补交11061</t>
        </r>
      </text>
    </comment>
    <comment ref="Q36" authorId="0">
      <text>
        <r>
          <rPr>
            <b/>
            <sz val="9"/>
            <color indexed="81"/>
            <rFont val="宋体"/>
            <family val="3"/>
            <charset val="134"/>
          </rPr>
          <t>admin:</t>
        </r>
        <r>
          <rPr>
            <sz val="9"/>
            <color indexed="81"/>
            <rFont val="宋体"/>
            <family val="3"/>
            <charset val="134"/>
          </rPr>
          <t xml:space="preserve">
原交款日2017.3.1，
2017.8.7补足30000
</t>
        </r>
      </text>
    </comment>
    <comment ref="R36" authorId="0">
      <text>
        <r>
          <rPr>
            <b/>
            <sz val="9"/>
            <color indexed="81"/>
            <rFont val="宋体"/>
            <family val="3"/>
            <charset val="134"/>
          </rPr>
          <t>admin:</t>
        </r>
        <r>
          <rPr>
            <sz val="9"/>
            <color indexed="81"/>
            <rFont val="宋体"/>
            <family val="3"/>
            <charset val="134"/>
          </rPr>
          <t xml:space="preserve">
原保证金：18939
变更之后保证金为：30000</t>
        </r>
      </text>
    </comment>
    <comment ref="G37" authorId="1">
      <text>
        <r>
          <rPr>
            <b/>
            <sz val="9"/>
            <color indexed="81"/>
            <rFont val="宋体"/>
            <family val="3"/>
            <charset val="134"/>
          </rPr>
          <t>作者:</t>
        </r>
        <r>
          <rPr>
            <sz val="9"/>
            <color indexed="81"/>
            <rFont val="宋体"/>
            <family val="3"/>
            <charset val="134"/>
          </rPr>
          <t xml:space="preserve">
变更前：北京金象大药房医药连锁有限责任公司
变更后：三河市丽洋金象大药房有限公司
变更后：北京金象大药房医药连锁有限责任公司</t>
        </r>
      </text>
    </comment>
    <comment ref="N37" authorId="1">
      <text>
        <r>
          <rPr>
            <b/>
            <sz val="9"/>
            <color indexed="81"/>
            <rFont val="宋体"/>
            <family val="3"/>
            <charset val="134"/>
          </rPr>
          <t>原位置编号：</t>
        </r>
        <r>
          <rPr>
            <b/>
            <sz val="9"/>
            <color indexed="81"/>
            <rFont val="Tahoma"/>
            <family val="2"/>
          </rPr>
          <t xml:space="preserve">FB2-41
</t>
        </r>
        <r>
          <rPr>
            <b/>
            <sz val="9"/>
            <color indexed="81"/>
            <rFont val="宋体"/>
            <family val="3"/>
            <charset val="134"/>
          </rPr>
          <t>现位置编号：</t>
        </r>
        <r>
          <rPr>
            <b/>
            <sz val="9"/>
            <color indexed="81"/>
            <rFont val="Tahoma"/>
            <family val="2"/>
          </rPr>
          <t>FB2-42</t>
        </r>
      </text>
    </comment>
    <comment ref="T37" authorId="2">
      <text>
        <r>
          <rPr>
            <b/>
            <sz val="9"/>
            <color indexed="81"/>
            <rFont val="宋体"/>
            <family val="3"/>
            <charset val="134"/>
          </rPr>
          <t>TY:</t>
        </r>
        <r>
          <rPr>
            <sz val="9"/>
            <color indexed="81"/>
            <rFont val="宋体"/>
            <family val="3"/>
            <charset val="134"/>
          </rPr>
          <t xml:space="preserve">
变更前14.8.18
变更后2017.5.18</t>
        </r>
      </text>
    </comment>
    <comment ref="AH37" authorId="2">
      <text>
        <r>
          <rPr>
            <b/>
            <sz val="9"/>
            <color indexed="81"/>
            <rFont val="宋体"/>
            <family val="3"/>
            <charset val="134"/>
          </rPr>
          <t>TY:
2017.5.18-2018.5.17</t>
        </r>
      </text>
    </comment>
    <comment ref="AM37"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Q37" authorId="2">
      <text>
        <r>
          <rPr>
            <b/>
            <sz val="9"/>
            <color indexed="81"/>
            <rFont val="宋体"/>
            <family val="3"/>
            <charset val="134"/>
          </rPr>
          <t>TY:</t>
        </r>
        <r>
          <rPr>
            <sz val="9"/>
            <color indexed="81"/>
            <rFont val="宋体"/>
            <family val="3"/>
            <charset val="134"/>
          </rPr>
          <t xml:space="preserve">
变更前21
变更后45，17.5.18执行</t>
        </r>
      </text>
    </comment>
    <comment ref="AT37"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T38"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2015/12/19</t>
        </r>
      </text>
    </comment>
    <comment ref="AB38" authorId="0">
      <text>
        <r>
          <rPr>
            <b/>
            <sz val="9"/>
            <color indexed="81"/>
            <rFont val="宋体"/>
            <family val="3"/>
            <charset val="134"/>
          </rPr>
          <t>admin:</t>
        </r>
        <r>
          <rPr>
            <sz val="9"/>
            <color indexed="81"/>
            <rFont val="宋体"/>
            <family val="3"/>
            <charset val="134"/>
          </rPr>
          <t xml:space="preserve">
2015.11.19-2016.11.18</t>
        </r>
      </text>
    </comment>
    <comment ref="AD38" authorId="0">
      <text>
        <r>
          <rPr>
            <b/>
            <sz val="9"/>
            <color indexed="81"/>
            <rFont val="宋体"/>
            <family val="3"/>
            <charset val="134"/>
          </rPr>
          <t>admin:</t>
        </r>
        <r>
          <rPr>
            <sz val="9"/>
            <color indexed="81"/>
            <rFont val="宋体"/>
            <family val="3"/>
            <charset val="134"/>
          </rPr>
          <t xml:space="preserve">
2016.11.19-2017.4.18</t>
        </r>
      </text>
    </comment>
    <comment ref="AF38" authorId="0">
      <text>
        <r>
          <rPr>
            <b/>
            <sz val="9"/>
            <color indexed="81"/>
            <rFont val="宋体"/>
            <family val="3"/>
            <charset val="134"/>
          </rPr>
          <t>admin:</t>
        </r>
        <r>
          <rPr>
            <sz val="9"/>
            <color indexed="81"/>
            <rFont val="宋体"/>
            <family val="3"/>
            <charset val="134"/>
          </rPr>
          <t xml:space="preserve">
2017.4.19-2018.4.18
</t>
        </r>
      </text>
    </comment>
    <comment ref="O39" authorId="1">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12
</t>
        </r>
        <r>
          <rPr>
            <sz val="9"/>
            <color indexed="81"/>
            <rFont val="宋体"/>
            <family val="3"/>
            <charset val="134"/>
          </rPr>
          <t>变更后：</t>
        </r>
        <r>
          <rPr>
            <sz val="9"/>
            <color indexed="81"/>
            <rFont val="Tahoma"/>
            <family val="2"/>
          </rPr>
          <t>11
2016.7.16</t>
        </r>
        <r>
          <rPr>
            <sz val="9"/>
            <color indexed="81"/>
            <rFont val="宋体"/>
            <family val="3"/>
            <charset val="134"/>
          </rPr>
          <t>日执行</t>
        </r>
      </text>
    </comment>
    <comment ref="V39" authorId="0">
      <text>
        <r>
          <rPr>
            <b/>
            <sz val="9"/>
            <color indexed="81"/>
            <rFont val="宋体"/>
            <family val="3"/>
            <charset val="134"/>
          </rPr>
          <t>admin:</t>
        </r>
        <r>
          <rPr>
            <sz val="9"/>
            <color indexed="81"/>
            <rFont val="宋体"/>
            <family val="3"/>
            <charset val="134"/>
          </rPr>
          <t xml:space="preserve">
续约2017.7.16-2018
.8.15</t>
        </r>
      </text>
    </comment>
    <comment ref="AB39" authorId="0">
      <text>
        <r>
          <rPr>
            <b/>
            <sz val="9"/>
            <color indexed="81"/>
            <rFont val="宋体"/>
            <family val="3"/>
            <charset val="134"/>
          </rPr>
          <t>admin:</t>
        </r>
        <r>
          <rPr>
            <sz val="9"/>
            <color indexed="81"/>
            <rFont val="宋体"/>
            <family val="3"/>
            <charset val="134"/>
          </rPr>
          <t xml:space="preserve">
2017.7.16-2018.7.15单价为167.3元/月/平</t>
        </r>
      </text>
    </comment>
    <comment ref="AD39" authorId="0">
      <text>
        <r>
          <rPr>
            <b/>
            <sz val="9"/>
            <color indexed="81"/>
            <rFont val="宋体"/>
            <family val="3"/>
            <charset val="134"/>
          </rPr>
          <t>admin:</t>
        </r>
        <r>
          <rPr>
            <sz val="9"/>
            <color indexed="81"/>
            <rFont val="宋体"/>
            <family val="3"/>
            <charset val="134"/>
          </rPr>
          <t xml:space="preserve">
2017.7.16-2018.7.15</t>
        </r>
      </text>
    </comment>
    <comment ref="AQ39" authorId="0">
      <text>
        <r>
          <rPr>
            <b/>
            <sz val="9"/>
            <color indexed="81"/>
            <rFont val="宋体"/>
            <family val="3"/>
            <charset val="134"/>
          </rPr>
          <t>admin:2017.7.16-2018.7.15为45元/月/平</t>
        </r>
      </text>
    </comment>
    <comment ref="S40" authorId="1">
      <text>
        <r>
          <rPr>
            <sz val="9"/>
            <color indexed="81"/>
            <rFont val="宋体"/>
            <family val="3"/>
            <charset val="134"/>
          </rPr>
          <t>原进场日：</t>
        </r>
        <r>
          <rPr>
            <sz val="9"/>
            <color indexed="81"/>
            <rFont val="Tahoma"/>
            <family val="2"/>
          </rPr>
          <t xml:space="preserve">2015/9/5
</t>
        </r>
        <r>
          <rPr>
            <sz val="9"/>
            <color indexed="81"/>
            <rFont val="宋体"/>
            <family val="3"/>
            <charset val="134"/>
          </rPr>
          <t>现进场日：</t>
        </r>
        <r>
          <rPr>
            <sz val="9"/>
            <color indexed="81"/>
            <rFont val="Tahoma"/>
            <family val="2"/>
          </rPr>
          <t xml:space="preserve">2015/12/7
</t>
        </r>
      </text>
    </comment>
    <comment ref="T40"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 xml:space="preserve">2015/9/11
</t>
        </r>
        <r>
          <rPr>
            <sz val="9"/>
            <color indexed="81"/>
            <rFont val="宋体"/>
            <family val="3"/>
            <charset val="134"/>
          </rPr>
          <t>现变更为：</t>
        </r>
        <r>
          <rPr>
            <sz val="9"/>
            <color indexed="81"/>
            <rFont val="Tahoma"/>
            <family val="2"/>
          </rPr>
          <t xml:space="preserve">2015/12/13
</t>
        </r>
        <r>
          <rPr>
            <sz val="9"/>
            <color indexed="81"/>
            <rFont val="宋体"/>
            <family val="3"/>
            <charset val="134"/>
          </rPr>
          <t>再变更为：</t>
        </r>
        <r>
          <rPr>
            <sz val="9"/>
            <color indexed="81"/>
            <rFont val="Tahoma"/>
            <family val="2"/>
          </rPr>
          <t xml:space="preserve">2016/12/13
</t>
        </r>
        <r>
          <rPr>
            <sz val="9"/>
            <color indexed="81"/>
            <rFont val="宋体"/>
            <family val="3"/>
            <charset val="134"/>
          </rPr>
          <t>再变更为：</t>
        </r>
        <r>
          <rPr>
            <sz val="9"/>
            <color indexed="81"/>
            <rFont val="Tahoma"/>
            <family val="2"/>
          </rPr>
          <t>2017/6/13</t>
        </r>
      </text>
    </comment>
    <comment ref="Z40"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 xml:space="preserve">2015/9/11
</t>
        </r>
        <r>
          <rPr>
            <sz val="9"/>
            <color indexed="81"/>
            <rFont val="宋体"/>
            <family val="3"/>
            <charset val="134"/>
          </rPr>
          <t>现变更为：</t>
        </r>
        <r>
          <rPr>
            <sz val="9"/>
            <color indexed="81"/>
            <rFont val="Tahoma"/>
            <family val="2"/>
          </rPr>
          <t>2015/12/13</t>
        </r>
      </text>
    </comment>
    <comment ref="AB40" authorId="0">
      <text>
        <r>
          <rPr>
            <b/>
            <sz val="9"/>
            <color indexed="81"/>
            <rFont val="宋体"/>
            <family val="3"/>
            <charset val="134"/>
          </rPr>
          <t>admin:</t>
        </r>
        <r>
          <rPr>
            <sz val="9"/>
            <color indexed="81"/>
            <rFont val="宋体"/>
            <family val="3"/>
            <charset val="134"/>
          </rPr>
          <t xml:space="preserve">
15.9.11-16.12.11单价77；
16.12.13-17.6.12单价86.24；
17.6.13-18.6.12单价98</t>
        </r>
      </text>
    </comment>
    <comment ref="AQ40" authorId="0">
      <text>
        <r>
          <rPr>
            <b/>
            <sz val="9"/>
            <color indexed="81"/>
            <rFont val="宋体"/>
            <family val="3"/>
            <charset val="134"/>
          </rPr>
          <t>admin:</t>
        </r>
        <r>
          <rPr>
            <sz val="9"/>
            <color indexed="81"/>
            <rFont val="宋体"/>
            <family val="3"/>
            <charset val="134"/>
          </rPr>
          <t xml:space="preserve">
15.9.11-17.6.12单价30；
17.6.13-18.6.12单价45</t>
        </r>
      </text>
    </comment>
    <comment ref="AB41" authorId="0">
      <text>
        <r>
          <rPr>
            <b/>
            <sz val="9"/>
            <color indexed="81"/>
            <rFont val="宋体"/>
            <family val="3"/>
            <charset val="134"/>
          </rPr>
          <t>admin:</t>
        </r>
        <r>
          <rPr>
            <sz val="9"/>
            <color indexed="81"/>
            <rFont val="宋体"/>
            <family val="3"/>
            <charset val="134"/>
          </rPr>
          <t xml:space="preserve">
2015.10.15-2016.10.14</t>
        </r>
      </text>
    </comment>
    <comment ref="AD41" authorId="0">
      <text>
        <r>
          <rPr>
            <b/>
            <sz val="9"/>
            <color indexed="81"/>
            <rFont val="宋体"/>
            <family val="3"/>
            <charset val="134"/>
          </rPr>
          <t>admin:</t>
        </r>
        <r>
          <rPr>
            <sz val="9"/>
            <color indexed="81"/>
            <rFont val="宋体"/>
            <family val="3"/>
            <charset val="134"/>
          </rPr>
          <t xml:space="preserve">
2016.10.15-2017.10.14</t>
        </r>
      </text>
    </comment>
    <comment ref="AF41" authorId="0">
      <text>
        <r>
          <rPr>
            <b/>
            <sz val="9"/>
            <color indexed="81"/>
            <rFont val="宋体"/>
            <family val="3"/>
            <charset val="134"/>
          </rPr>
          <t>admin:</t>
        </r>
        <r>
          <rPr>
            <sz val="9"/>
            <color indexed="81"/>
            <rFont val="宋体"/>
            <family val="3"/>
            <charset val="134"/>
          </rPr>
          <t xml:space="preserve">
2017.10.15-2018.12.31</t>
        </r>
      </text>
    </comment>
    <comment ref="AQ41" authorId="0">
      <text>
        <r>
          <rPr>
            <b/>
            <sz val="9"/>
            <color indexed="81"/>
            <rFont val="宋体"/>
            <family val="3"/>
            <charset val="134"/>
          </rPr>
          <t>admin:</t>
        </r>
        <r>
          <rPr>
            <sz val="9"/>
            <color indexed="81"/>
            <rFont val="宋体"/>
            <family val="3"/>
            <charset val="134"/>
          </rPr>
          <t xml:space="preserve">
2017.10.15-2018.12.31  45元；
2017.10.15之前30元</t>
        </r>
      </text>
    </comment>
    <comment ref="I43" authorId="1">
      <text>
        <r>
          <rPr>
            <sz val="9"/>
            <color indexed="81"/>
            <rFont val="宋体"/>
            <family val="3"/>
            <charset val="134"/>
          </rPr>
          <t>原品牌：野马茶行
现品牌：茶语。花语</t>
        </r>
        <r>
          <rPr>
            <sz val="9"/>
            <color indexed="81"/>
            <rFont val="Tahoma"/>
            <family val="2"/>
          </rPr>
          <t xml:space="preserve">
</t>
        </r>
      </text>
    </comment>
    <comment ref="N43"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FB2-28</t>
        </r>
      </text>
    </comment>
    <comment ref="Z43" authorId="1">
      <text>
        <r>
          <rPr>
            <b/>
            <sz val="9"/>
            <color indexed="81"/>
            <rFont val="宋体"/>
            <family val="3"/>
            <charset val="134"/>
          </rPr>
          <t>作者:</t>
        </r>
        <r>
          <rPr>
            <sz val="9"/>
            <color indexed="81"/>
            <rFont val="宋体"/>
            <family val="3"/>
            <charset val="134"/>
          </rPr>
          <t xml:space="preserve">
每月固定</t>
        </r>
        <r>
          <rPr>
            <sz val="9"/>
            <color indexed="81"/>
            <rFont val="Tahoma"/>
            <family val="2"/>
          </rPr>
          <t>3000</t>
        </r>
        <r>
          <rPr>
            <sz val="9"/>
            <color indexed="81"/>
            <rFont val="宋体"/>
            <family val="3"/>
            <charset val="134"/>
          </rPr>
          <t>元</t>
        </r>
      </text>
    </comment>
    <comment ref="AB43" authorId="1">
      <text>
        <r>
          <rPr>
            <b/>
            <sz val="9"/>
            <color indexed="81"/>
            <rFont val="宋体"/>
            <family val="3"/>
            <charset val="134"/>
          </rPr>
          <t>作者:</t>
        </r>
        <r>
          <rPr>
            <sz val="9"/>
            <color indexed="81"/>
            <rFont val="宋体"/>
            <family val="3"/>
            <charset val="134"/>
          </rPr>
          <t xml:space="preserve">
原租金</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月</t>
        </r>
      </text>
    </comment>
    <comment ref="C44" authorId="0">
      <text>
        <r>
          <rPr>
            <b/>
            <sz val="9"/>
            <color indexed="81"/>
            <rFont val="宋体"/>
            <family val="3"/>
            <charset val="134"/>
          </rPr>
          <t>admin:</t>
        </r>
        <r>
          <rPr>
            <sz val="9"/>
            <color indexed="81"/>
            <rFont val="宋体"/>
            <family val="3"/>
            <charset val="134"/>
          </rPr>
          <t xml:space="preserve">
新合同17.06.21-18.06.20</t>
        </r>
      </text>
    </comment>
    <comment ref="E44" authorId="0">
      <text>
        <r>
          <rPr>
            <b/>
            <sz val="9"/>
            <color indexed="81"/>
            <rFont val="宋体"/>
            <family val="3"/>
            <charset val="134"/>
          </rPr>
          <t>admin:</t>
        </r>
        <r>
          <rPr>
            <sz val="9"/>
            <color indexed="81"/>
            <rFont val="宋体"/>
            <family val="3"/>
            <charset val="134"/>
          </rPr>
          <t xml:space="preserve">
新合同洽谈人  刘云飞</t>
        </r>
      </text>
    </comment>
    <comment ref="I44" authorId="1">
      <text>
        <r>
          <rPr>
            <b/>
            <sz val="9"/>
            <color indexed="81"/>
            <rFont val="宋体"/>
            <family val="3"/>
            <charset val="134"/>
          </rPr>
          <t>作者:</t>
        </r>
        <r>
          <rPr>
            <sz val="9"/>
            <color indexed="81"/>
            <rFont val="宋体"/>
            <family val="3"/>
            <charset val="134"/>
          </rPr>
          <t xml:space="preserve">
原品牌：北京老布鞋</t>
        </r>
        <r>
          <rPr>
            <sz val="9"/>
            <color indexed="81"/>
            <rFont val="Tahoma"/>
            <family val="2"/>
          </rPr>
          <t xml:space="preserve">
</t>
        </r>
        <r>
          <rPr>
            <sz val="9"/>
            <color indexed="81"/>
            <rFont val="宋体"/>
            <family val="3"/>
            <charset val="134"/>
          </rPr>
          <t>变更后：老北京布鞋、福泰欣</t>
        </r>
      </text>
    </comment>
    <comment ref="N44" authorId="0">
      <text>
        <r>
          <rPr>
            <b/>
            <sz val="9"/>
            <color indexed="81"/>
            <rFont val="宋体"/>
            <family val="3"/>
            <charset val="134"/>
          </rPr>
          <t>admin:</t>
        </r>
        <r>
          <rPr>
            <sz val="9"/>
            <color indexed="81"/>
            <rFont val="宋体"/>
            <family val="3"/>
            <charset val="134"/>
          </rPr>
          <t xml:space="preserve">
原位置F3C-26</t>
        </r>
      </text>
    </comment>
    <comment ref="O44" authorId="0">
      <text>
        <r>
          <rPr>
            <b/>
            <sz val="9"/>
            <color indexed="81"/>
            <rFont val="宋体"/>
            <family val="3"/>
            <charset val="134"/>
          </rPr>
          <t>admin:</t>
        </r>
        <r>
          <rPr>
            <sz val="9"/>
            <color indexed="81"/>
            <rFont val="宋体"/>
            <family val="3"/>
            <charset val="134"/>
          </rPr>
          <t xml:space="preserve">
原面积：36
变更之后：27
自2017.7.1执行</t>
        </r>
      </text>
    </comment>
    <comment ref="AK44" authorId="0">
      <text>
        <r>
          <rPr>
            <b/>
            <sz val="9"/>
            <color indexed="81"/>
            <rFont val="宋体"/>
            <family val="3"/>
            <charset val="134"/>
          </rPr>
          <t>admin:</t>
        </r>
        <r>
          <rPr>
            <sz val="9"/>
            <color indexed="81"/>
            <rFont val="宋体"/>
            <family val="3"/>
            <charset val="134"/>
          </rPr>
          <t xml:space="preserve">
原2016-6-1</t>
        </r>
      </text>
    </comment>
    <comment ref="AM44"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T44"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45" authorId="0">
      <text>
        <r>
          <rPr>
            <sz val="9"/>
            <color indexed="81"/>
            <rFont val="Tahoma"/>
            <family val="2"/>
          </rPr>
          <t>2017/4/1-2018/3/31</t>
        </r>
        <r>
          <rPr>
            <sz val="9"/>
            <color indexed="81"/>
            <rFont val="宋体"/>
            <family val="3"/>
            <charset val="134"/>
          </rPr>
          <t>新续约租金按原合同上涨</t>
        </r>
        <r>
          <rPr>
            <sz val="9"/>
            <color indexed="81"/>
            <rFont val="Tahoma"/>
            <family val="2"/>
          </rPr>
          <t>12%</t>
        </r>
        <r>
          <rPr>
            <sz val="9"/>
            <color indexed="81"/>
            <rFont val="宋体"/>
            <family val="3"/>
            <charset val="134"/>
          </rPr>
          <t>，由</t>
        </r>
        <r>
          <rPr>
            <sz val="9"/>
            <color indexed="81"/>
            <rFont val="Tahoma"/>
            <family val="2"/>
          </rPr>
          <t>83.65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平方米变为</t>
        </r>
        <r>
          <rPr>
            <sz val="9"/>
            <color indexed="81"/>
            <rFont val="Tahoma"/>
            <family val="2"/>
          </rPr>
          <t>93.69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平方米。</t>
        </r>
        <r>
          <rPr>
            <sz val="9"/>
            <color indexed="81"/>
            <rFont val="Tahoma"/>
            <family val="2"/>
          </rPr>
          <t xml:space="preserve">
</t>
        </r>
      </text>
    </comment>
    <comment ref="AQ45" authorId="0">
      <text>
        <r>
          <rPr>
            <b/>
            <sz val="9"/>
            <color indexed="81"/>
            <rFont val="Tahoma"/>
            <family val="2"/>
          </rPr>
          <t>2017/4/1-2018/3/31</t>
        </r>
        <r>
          <rPr>
            <b/>
            <sz val="9"/>
            <color indexed="81"/>
            <rFont val="宋体"/>
            <family val="3"/>
            <charset val="134"/>
          </rPr>
          <t>新续约物业费由原来</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平方米变为</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平方米。</t>
        </r>
      </text>
    </comment>
    <comment ref="AA46" authorId="0">
      <text>
        <r>
          <rPr>
            <b/>
            <sz val="9"/>
            <color indexed="81"/>
            <rFont val="宋体"/>
            <family val="3"/>
            <charset val="134"/>
          </rPr>
          <t>admin:</t>
        </r>
        <r>
          <rPr>
            <sz val="9"/>
            <color indexed="81"/>
            <rFont val="宋体"/>
            <family val="3"/>
            <charset val="134"/>
          </rPr>
          <t xml:space="preserve">
2017.9.29-2018.9.28</t>
        </r>
      </text>
    </comment>
    <comment ref="AC46" authorId="0">
      <text>
        <r>
          <rPr>
            <b/>
            <sz val="9"/>
            <color indexed="81"/>
            <rFont val="宋体"/>
            <family val="3"/>
            <charset val="134"/>
          </rPr>
          <t>admin:</t>
        </r>
        <r>
          <rPr>
            <sz val="9"/>
            <color indexed="81"/>
            <rFont val="宋体"/>
            <family val="3"/>
            <charset val="134"/>
          </rPr>
          <t xml:space="preserve">
2018.9.29-2019.9.28</t>
        </r>
      </text>
    </comment>
    <comment ref="AE46" authorId="0">
      <text>
        <r>
          <rPr>
            <b/>
            <sz val="9"/>
            <color indexed="81"/>
            <rFont val="宋体"/>
            <family val="3"/>
            <charset val="134"/>
          </rPr>
          <t>admin:</t>
        </r>
        <r>
          <rPr>
            <sz val="9"/>
            <color indexed="81"/>
            <rFont val="宋体"/>
            <family val="3"/>
            <charset val="134"/>
          </rPr>
          <t xml:space="preserve">
2019.9.29-2021.9.28</t>
        </r>
      </text>
    </comment>
    <comment ref="AG46" authorId="0">
      <text>
        <r>
          <rPr>
            <b/>
            <sz val="9"/>
            <color indexed="81"/>
            <rFont val="宋体"/>
            <family val="3"/>
            <charset val="134"/>
          </rPr>
          <t>admin:</t>
        </r>
        <r>
          <rPr>
            <sz val="9"/>
            <color indexed="81"/>
            <rFont val="宋体"/>
            <family val="3"/>
            <charset val="134"/>
          </rPr>
          <t xml:space="preserve">
2021.9.29-2023.9.28
</t>
        </r>
      </text>
    </comment>
    <comment ref="O48" authorId="0">
      <text>
        <r>
          <rPr>
            <b/>
            <sz val="9"/>
            <color indexed="81"/>
            <rFont val="宋体"/>
            <family val="3"/>
            <charset val="134"/>
          </rPr>
          <t>原面积为1050平米，2017.04.19变更为932平米。</t>
        </r>
      </text>
    </comment>
  </commentList>
</comments>
</file>

<file path=xl/comments24.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5.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<sst xmlns="http://schemas.openxmlformats.org/spreadsheetml/2006/main" count="10060" uniqueCount="4290">
  <si>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</si>
  <si>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</si>
  <si>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</si>
  <si>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</si>
  <si>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</si>
  <si>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</si>
  <si>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</si>
  <si>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</si>
  <si>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</si>
  <si>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</si>
  <si>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</si>
  <si>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</si>
  <si>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</si>
  <si>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</si>
  <si>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</si>
  <si>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</si>
  <si>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</si>
  <si>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</si>
  <si>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</si>
  <si>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</si>
  <si>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</si>
  <si>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</si>
  <si>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</si>
  <si>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</si>
  <si>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</si>
  <si>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</si>
  <si>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</si>
  <si>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</si>
  <si>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</si>
  <si>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</si>
  <si>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</si>
  <si>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</si>
  <si>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</si>
  <si>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</si>
  <si>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</si>
  <si>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</si>
  <si>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</si>
  <si>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</si>
  <si>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</si>
  <si>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</si>
  <si>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</si>
  <si>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</si>
  <si>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</si>
  <si>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</si>
  <si>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</si>
  <si>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</si>
  <si>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</si>
  <si>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</si>
  <si>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</si>
  <si>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</si>
  <si>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</si>
  <si>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</si>
  <si>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</si>
  <si>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</si>
  <si>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</si>
  <si>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</si>
  <si>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</si>
  <si>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</si>
  <si>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</si>
  <si>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</si>
  <si>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</si>
  <si>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</si>
  <si>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</si>
  <si>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</si>
  <si>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</si>
  <si>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</si>
  <si>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</si>
  <si>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</si>
  <si>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</si>
  <si>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</si>
  <si>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</si>
  <si>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</si>
  <si>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</si>
  <si>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</si>
  <si>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</si>
  <si>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</si>
  <si>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</si>
  <si>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</si>
  <si>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</si>
  <si>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</si>
  <si>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</si>
  <si>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</si>
  <si>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</si>
  <si>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</si>
  <si>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</si>
  <si>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</si>
  <si>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</si>
  <si>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</si>
  <si>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</si>
  <si>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</si>
  <si>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</si>
  <si>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</si>
  <si>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</si>
  <si>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</si>
  <si>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</si>
  <si>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</si>
  <si>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</si>
  <si>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</si>
  <si>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</si>
  <si>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</si>
  <si>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</si>
  <si>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</si>
  <si>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</si>
  <si>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</si>
  <si>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</si>
  <si>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</si>
  <si>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</si>
  <si>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</si>
  <si>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</si>
  <si>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</si>
  <si>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</si>
  <si>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</si>
  <si>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</si>
  <si>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</si>
  <si>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</si>
  <si>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</si>
  <si>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</si>
  <si>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</si>
  <si>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</si>
  <si>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</si>
  <si>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</si>
  <si>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</si>
  <si>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</si>
  <si>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</si>
  <si>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</si>
  <si>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</si>
  <si>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</si>
  <si>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</si>
  <si>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</si>
  <si>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</si>
  <si>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</si>
  <si>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</si>
  <si>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</si>
  <si>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</si>
  <si>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</si>
  <si>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</si>
  <si>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</si>
  <si>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</si>
  <si>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</si>
  <si>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</si>
  <si>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</si>
  <si>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</si>
  <si>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</si>
  <si>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</si>
  <si>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</si>
  <si>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</si>
  <si>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</si>
  <si>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</si>
  <si>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</si>
  <si>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</si>
  <si>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</si>
  <si>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</si>
  <si>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</si>
  <si>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</si>
  <si>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</si>
  <si>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</si>
  <si>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</si>
  <si>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</si>
  <si>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</si>
  <si>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</si>
  <si>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</si>
  <si>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</si>
  <si>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</si>
  <si>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</si>
  <si>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</si>
  <si>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</si>
  <si>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</si>
  <si>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</si>
  <si>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</si>
  <si>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</si>
  <si>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</si>
  <si>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</si>
  <si>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</si>
  <si>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</si>
  <si>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</si>
  <si>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</si>
  <si>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</si>
  <si>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</si>
  <si>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</si>
  <si>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</si>
  <si>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</si>
  <si>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</si>
  <si>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</si>
  <si>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</si>
  <si>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</si>
  <si>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</si>
  <si>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</si>
  <si>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</si>
  <si>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</si>
  <si>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</si>
  <si>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</si>
  <si>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</si>
  <si>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</si>
  <si>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</si>
  <si>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</si>
  <si>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</si>
  <si>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</si>
  <si>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</si>
  <si>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</si>
  <si>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</si>
  <si>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</si>
  <si>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</si>
  <si>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</si>
  <si>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</si>
  <si>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</si>
  <si>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</si>
  <si>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</si>
  <si>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</si>
  <si>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</si>
  <si>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</si>
  <si>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</si>
  <si>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</si>
  <si>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</si>
  <si>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</si>
  <si>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</si>
  <si>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</si>
  <si>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</si>
  <si>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</si>
  <si>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</si>
  <si>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</si>
  <si>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</si>
  <si>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</si>
  <si>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</si>
  <si>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</si>
  <si>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</si>
  <si>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</si>
  <si>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</si>
  <si>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</si>
  <si>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</si>
  <si>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</si>
  <si>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</si>
  <si>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</si>
  <si>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</si>
  <si>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</si>
  <si>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</si>
  <si>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</si>
  <si>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</si>
  <si>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</si>
  <si>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</si>
  <si>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</si>
  <si>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</si>
  <si>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</si>
  <si>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</si>
  <si>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</si>
  <si>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</si>
  <si>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</si>
  <si>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</si>
  <si>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</si>
  <si>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</si>
  <si>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</si>
  <si>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</si>
  <si>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</si>
  <si>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</si>
  <si>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</si>
  <si>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</si>
  <si>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</si>
  <si>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</si>
  <si>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</si>
  <si>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</si>
  <si>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</si>
  <si>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</si>
  <si>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</si>
  <si>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</si>
  <si>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</si>
  <si>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</si>
  <si>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</si>
  <si>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</si>
  <si>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</si>
  <si>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</si>
  <si>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</si>
  <si>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</si>
  <si>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</si>
  <si>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</si>
  <si>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</si>
  <si>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</si>
  <si>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</si>
  <si>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</si>
  <si>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</si>
  <si>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</si>
  <si>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</si>
  <si>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</si>
  <si>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</si>
  <si>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</si>
  <si>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</si>
  <si>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</si>
  <si>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</si>
  <si>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</si>
  <si>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</si>
  <si>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</si>
  <si>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</si>
  <si>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</si>
  <si>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</si>
  <si>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</si>
  <si>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</si>
  <si>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</si>
  <si>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</si>
  <si>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</si>
  <si>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</si>
  <si>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</si>
  <si>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</si>
  <si>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</si>
  <si>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</si>
  <si>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</si>
  <si>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</si>
  <si>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</si>
  <si>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</si>
  <si>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</si>
  <si>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</si>
  <si>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</si>
  <si>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</si>
  <si>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</si>
  <si>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</si>
  <si>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</si>
  <si>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</si>
  <si>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</si>
  <si>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</si>
  <si>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</si>
  <si>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</si>
  <si>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</si>
  <si>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</si>
  <si>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</si>
  <si>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</si>
  <si>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</si>
  <si>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</si>
  <si>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</si>
  <si>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</si>
  <si>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</si>
  <si>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</si>
  <si>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</si>
  <si>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</si>
  <si>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</si>
  <si>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</si>
  <si>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</si>
  <si>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</si>
  <si>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</si>
  <si>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</si>
  <si>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</si>
  <si>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</si>
  <si>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</si>
  <si>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</si>
  <si>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</si>
  <si>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</si>
  <si>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</si>
  <si>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</si>
  <si>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</si>
  <si>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</si>
  <si>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</si>
  <si>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</si>
  <si>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</si>
  <si>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</si>
  <si>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</si>
  <si>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</si>
  <si>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</si>
  <si>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</si>
  <si>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</si>
  <si>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</si>
  <si>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</si>
  <si>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</si>
  <si>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</si>
  <si>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</si>
  <si>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</si>
  <si>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</si>
  <si>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</si>
  <si>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</si>
  <si>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</si>
  <si>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</si>
  <si>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</si>
  <si>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</si>
  <si>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</si>
  <si>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</si>
  <si>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</si>
  <si>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</si>
  <si>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</si>
  <si>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</si>
  <si>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</si>
  <si>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</si>
  <si>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</si>
  <si>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</si>
  <si>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</si>
  <si>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</si>
  <si>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</si>
  <si>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</si>
  <si>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</si>
  <si>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</si>
  <si>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</si>
  <si>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</si>
  <si>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</si>
  <si>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</si>
  <si>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</si>
  <si>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</si>
  <si>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</si>
  <si>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</si>
  <si>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</si>
  <si>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</si>
  <si>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</si>
  <si>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</si>
  <si>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</si>
  <si>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</si>
  <si>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</si>
  <si>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</si>
  <si>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</si>
  <si>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</si>
  <si>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</si>
  <si>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</si>
  <si>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</si>
  <si>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</si>
  <si>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</si>
  <si>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</si>
  <si>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</si>
  <si>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</si>
  <si>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</si>
  <si>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</si>
  <si>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</si>
  <si>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</si>
  <si>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</si>
  <si>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</si>
  <si>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</si>
  <si>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</si>
  <si>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</si>
  <si>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</si>
  <si>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</si>
  <si>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</si>
  <si>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</si>
  <si>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</si>
  <si>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</si>
  <si>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</si>
  <si>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</si>
  <si>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</si>
  <si>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</si>
  <si>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</si>
  <si>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</si>
  <si>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</si>
  <si>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</si>
  <si>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</si>
  <si>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</si>
  <si>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</si>
  <si>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</si>
  <si>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</si>
  <si>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</si>
  <si>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</si>
  <si>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</si>
  <si>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</si>
  <si>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</si>
  <si>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</si>
  <si>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</si>
  <si>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</si>
  <si>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</si>
  <si>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</si>
  <si>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</si>
  <si>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</si>
  <si>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</si>
  <si>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</si>
  <si>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</si>
  <si>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</si>
  <si>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</si>
  <si>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</si>
  <si>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</si>
  <si>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</si>
  <si>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</si>
  <si>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</si>
  <si>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</si>
  <si>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</si>
  <si>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</si>
  <si>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</si>
  <si>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</si>
  <si>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</si>
  <si>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</si>
  <si>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</si>
  <si>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</si>
  <si>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</si>
  <si>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</si>
  <si>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</si>
  <si>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</si>
  <si>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</si>
  <si>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</si>
  <si>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</si>
  <si>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</si>
  <si>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</si>
  <si>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</si>
  <si>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</si>
  <si>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</si>
  <si>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</si>
  <si>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</si>
  <si>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</si>
  <si>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</si>
  <si>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</si>
  <si>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</si>
  <si>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</si>
  <si>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</si>
  <si>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</si>
  <si>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</si>
  <si>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</si>
  <si>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</si>
  <si>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</si>
  <si>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</si>
  <si>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</si>
  <si>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</si>
  <si>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</si>
  <si>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</si>
  <si>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</si>
  <si>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</si>
  <si>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</si>
  <si>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</si>
  <si>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</si>
  <si>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</si>
  <si>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</si>
  <si>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</si>
  <si>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</si>
  <si>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</si>
  <si>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</si>
  <si>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</si>
  <si>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</si>
  <si>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</si>
  <si>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</si>
  <si>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</si>
  <si>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</si>
  <si>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</si>
  <si>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</si>
  <si>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</si>
  <si>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</si>
  <si>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</si>
  <si>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</si>
  <si>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</si>
  <si>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</si>
  <si>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</si>
  <si>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</si>
  <si>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</si>
  <si>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</si>
  <si>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</si>
  <si>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</si>
  <si>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</si>
  <si>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</si>
  <si>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</si>
  <si>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</si>
  <si>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</si>
  <si>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</si>
  <si>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</si>
  <si>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</si>
  <si>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</si>
  <si>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</si>
  <si>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</si>
  <si>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</si>
  <si>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</si>
  <si>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</si>
  <si>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</si>
  <si>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</si>
  <si>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</si>
  <si>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</si>
  <si>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</si>
  <si>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</si>
  <si>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</si>
  <si>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</si>
  <si>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</si>
  <si>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</si>
  <si>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</si>
  <si>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</si>
  <si>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</si>
  <si>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</si>
  <si>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</si>
  <si>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</si>
  <si>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</si>
  <si>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</si>
  <si>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</si>
  <si>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</si>
  <si>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</si>
  <si>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</si>
  <si>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</si>
  <si>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</si>
  <si>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</si>
  <si>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</si>
  <si>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</si>
  <si>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</si>
  <si>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</si>
  <si>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</si>
  <si>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</si>
  <si>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</si>
  <si>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</si>
  <si>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</si>
  <si>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</si>
  <si>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</si>
  <si>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</si>
  <si>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</si>
  <si>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</si>
  <si>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</si>
  <si>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</si>
  <si>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</si>
  <si>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</si>
  <si>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</si>
  <si>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</si>
  <si>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</si>
  <si>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</si>
  <si>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</si>
  <si>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</si>
  <si>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</si>
  <si>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</si>
  <si>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</si>
  <si>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</si>
  <si>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</si>
  <si>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</si>
  <si>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</si>
  <si>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</si>
  <si>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</si>
  <si>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</si>
  <si>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</si>
  <si>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</si>
  <si>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</si>
  <si>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</si>
  <si>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</si>
  <si>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</si>
  <si>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</si>
  <si>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</si>
  <si>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</si>
  <si>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</si>
  <si>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</si>
  <si>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</si>
  <si>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</si>
  <si>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</si>
  <si>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</si>
  <si>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</si>
  <si>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</si>
  <si>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</si>
  <si>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</si>
  <si>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</si>
  <si>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</si>
  <si>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</si>
  <si>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</si>
  <si>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</si>
  <si>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</si>
  <si>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</si>
  <si>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</si>
  <si>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</si>
  <si>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</si>
  <si>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</si>
  <si>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</si>
  <si>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</si>
  <si>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</si>
  <si>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</si>
  <si>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</si>
  <si>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</si>
  <si>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</si>
  <si>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</si>
  <si>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</si>
  <si>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</si>
  <si>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</si>
  <si>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</si>
  <si>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</si>
  <si>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</si>
  <si>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</si>
  <si>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</si>
  <si>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</si>
  <si>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</si>
  <si>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</si>
  <si>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</si>
  <si>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</si>
  <si>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</si>
  <si>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</si>
  <si>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</si>
  <si>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</si>
  <si>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</si>
  <si>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</si>
  <si>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</si>
  <si>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</si>
  <si>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</si>
  <si>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</si>
  <si>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</si>
  <si>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</si>
  <si>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</si>
  <si>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</si>
  <si>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</si>
  <si>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</si>
  <si>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</si>
  <si>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</si>
  <si>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</si>
  <si>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</si>
  <si>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</si>
  <si>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</si>
  <si>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</si>
  <si>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</si>
  <si>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</si>
  <si>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</si>
  <si>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</si>
  <si>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</si>
  <si>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</si>
  <si>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</si>
  <si>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</si>
  <si>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</si>
  <si>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</si>
  <si>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</si>
  <si>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</si>
  <si>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</si>
  <si>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</si>
  <si>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</si>
  <si>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</si>
  <si>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</si>
  <si>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</si>
  <si>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</si>
  <si>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</si>
  <si>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</si>
  <si>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</si>
  <si>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</si>
  <si>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</si>
  <si>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</si>
  <si>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</si>
  <si>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</si>
  <si>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</si>
  <si>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</si>
  <si>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</si>
  <si>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</si>
  <si>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</si>
  <si>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</si>
  <si>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</si>
  <si>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</si>
  <si>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</si>
  <si>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</si>
  <si>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</si>
  <si>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</si>
  <si>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</si>
  <si>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</si>
  <si>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</si>
  <si>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</si>
  <si>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</si>
  <si>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</si>
  <si>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</si>
  <si>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</si>
  <si>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</si>
  <si>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</si>
  <si>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</si>
  <si>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</si>
  <si>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</si>
  <si>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</si>
  <si>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</si>
  <si>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</si>
  <si>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</si>
  <si>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</si>
  <si>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</si>
  <si>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</si>
  <si>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</si>
  <si>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</si>
  <si>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</si>
  <si>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</si>
  <si>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</si>
  <si>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</si>
  <si>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</si>
  <si>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</si>
  <si>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</si>
  <si>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</si>
  <si>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</si>
  <si>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</si>
  <si>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</si>
  <si>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</si>
  <si>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</si>
  <si>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</si>
  <si>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</si>
  <si>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</si>
  <si>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</si>
  <si>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</si>
  <si>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</si>
  <si>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</si>
  <si>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</si>
  <si>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</si>
  <si>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</si>
  <si>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</si>
  <si>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</si>
  <si>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</si>
  <si>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</si>
  <si>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</si>
  <si>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</si>
  <si>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</si>
  <si>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</si>
  <si>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</si>
  <si>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</si>
  <si>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</si>
  <si>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</si>
  <si>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</si>
  <si>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</si>
  <si>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</si>
  <si>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</si>
  <si>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</si>
  <si>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</si>
  <si>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</si>
  <si>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</si>
  <si>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</si>
  <si>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</si>
  <si>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</si>
  <si>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</si>
  <si>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</si>
  <si>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</si>
  <si>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</si>
  <si>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</si>
  <si>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</si>
  <si>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</si>
  <si>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</si>
  <si>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</si>
  <si>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</si>
  <si>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</si>
  <si>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</si>
  <si>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</si>
  <si>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</si>
  <si>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</si>
  <si>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</si>
  <si>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</si>
  <si>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</si>
  <si>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</si>
  <si>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</si>
  <si>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</si>
  <si>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</si>
  <si>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</si>
  <si>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</si>
  <si>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</si>
  <si>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</si>
  <si>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</si>
  <si>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</si>
  <si>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</si>
  <si>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</si>
  <si>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</si>
  <si>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</si>
  <si>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</si>
  <si>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</si>
  <si>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</si>
  <si>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</si>
  <si>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</si>
  <si>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</si>
  <si>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</si>
  <si>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</si>
  <si>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</si>
  <si>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</si>
  <si>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</si>
  <si>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</si>
  <si>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</si>
  <si>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</si>
  <si>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</si>
  <si>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</si>
  <si>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</si>
  <si>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</si>
  <si>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</si>
  <si>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</si>
  <si>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</si>
  <si>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</si>
  <si>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</si>
  <si>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</si>
  <si>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</si>
  <si>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</si>
  <si>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</si>
  <si>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</si>
  <si>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</si>
  <si>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</si>
  <si>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</si>
  <si>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</si>
  <si>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</si>
  <si>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</si>
  <si>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</si>
  <si>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</si>
  <si>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</si>
  <si>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</si>
  <si>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</si>
  <si>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</si>
  <si>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</si>
  <si>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</si>
  <si>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</si>
  <si>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</si>
  <si>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</si>
  <si>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</si>
  <si>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</si>
  <si>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</si>
  <si>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</si>
  <si>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</si>
  <si>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</si>
  <si>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</si>
  <si>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</si>
  <si>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</si>
  <si>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</si>
  <si>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</si>
  <si>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</si>
  <si>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</si>
  <si>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</si>
  <si>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</si>
  <si>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</si>
  <si>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</si>
  <si>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</si>
  <si>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</si>
  <si>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</si>
  <si>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</si>
  <si>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</si>
  <si>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</si>
  <si>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</si>
  <si>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</si>
  <si>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</si>
  <si>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</si>
  <si>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</si>
  <si>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</si>
  <si>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</si>
  <si>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</si>
  <si>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</si>
  <si>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</si>
  <si>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</si>
  <si>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</si>
  <si>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</si>
  <si>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</si>
  <si>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</si>
  <si>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</si>
  <si>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</si>
  <si>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</si>
  <si>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</si>
  <si>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</si>
  <si>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</si>
  <si>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</si>
  <si>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</si>
  <si>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</si>
  <si>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</si>
  <si>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</si>
  <si>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</si>
  <si>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</si>
  <si>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</si>
  <si>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</si>
  <si>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</si>
  <si>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</si>
  <si>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</si>
  <si>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</si>
  <si>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</si>
  <si>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</si>
  <si>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</si>
  <si>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</si>
  <si>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</si>
  <si>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</si>
  <si>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</si>
  <si>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</si>
  <si>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</si>
  <si>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</si>
  <si>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</si>
  <si>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</si>
  <si>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</si>
  <si>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</si>
  <si>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</si>
  <si>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</si>
  <si>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</si>
  <si>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</si>
  <si>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</si>
  <si>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</si>
  <si>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</si>
  <si>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</si>
  <si>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</si>
  <si>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</si>
  <si>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</si>
  <si>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</si>
  <si>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</si>
  <si>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</si>
  <si>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</si>
  <si>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</si>
  <si>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</si>
  <si>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</si>
  <si>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</si>
  <si>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</si>
  <si>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</si>
  <si>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</si>
  <si>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</si>
  <si>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</si>
  <si>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</si>
  <si>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</si>
  <si>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</si>
  <si>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</si>
  <si>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</si>
  <si>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</si>
  <si>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</si>
  <si>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</si>
  <si>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</si>
  <si>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</si>
  <si>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</si>
  <si>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</si>
  <si>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</si>
  <si>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</si>
  <si>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</si>
  <si>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</si>
  <si>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</si>
  <si>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</si>
  <si>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</si>
  <si>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</si>
  <si>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</si>
  <si>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</si>
  <si>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</si>
  <si>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</si>
  <si>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</si>
  <si>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</si>
  <si>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</si>
  <si>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</si>
  <si>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</si>
  <si>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</si>
  <si>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</si>
  <si>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</si>
  <si>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</si>
  <si>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</si>
  <si>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</si>
  <si>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</si>
  <si>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</si>
  <si>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</si>
  <si>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</si>
  <si>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</si>
  <si>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</si>
  <si>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</si>
  <si>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</si>
  <si>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</si>
  <si>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</si>
  <si>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</si>
  <si>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</si>
  <si>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</si>
  <si>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</si>
  <si>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</si>
  <si>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</si>
  <si>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</si>
  <si>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</si>
  <si>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</si>
  <si>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</si>
  <si>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</si>
  <si>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</si>
  <si>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</si>
  <si>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</si>
  <si>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</si>
  <si>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</si>
  <si>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</si>
  <si>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</si>
  <si>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</si>
  <si>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</si>
  <si>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</si>
  <si>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</si>
  <si>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</si>
  <si>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</si>
  <si>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</si>
  <si>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</si>
  <si>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</si>
  <si>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</si>
  <si>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</si>
  <si>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</si>
  <si>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</si>
  <si>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</si>
  <si>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</si>
  <si>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</si>
  <si>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</si>
  <si>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</si>
  <si>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</si>
  <si>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</si>
  <si>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</si>
  <si>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</si>
  <si>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</si>
  <si>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</si>
  <si>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</si>
  <si>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</si>
  <si>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</si>
  <si>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</si>
  <si>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</si>
  <si>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</si>
  <si>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</si>
  <si>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</si>
  <si>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</si>
  <si>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</si>
  <si>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</si>
  <si>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</si>
  <si>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</si>
  <si>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</si>
  <si>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</si>
  <si>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</si>
  <si>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</si>
  <si>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</si>
  <si>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</si>
  <si>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</si>
  <si>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</si>
  <si>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</si>
  <si>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</si>
  <si>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</si>
  <si>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</si>
  <si>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</si>
  <si>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</si>
  <si>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</si>
  <si>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</si>
  <si>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</si>
  <si>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</si>
  <si>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</si>
  <si>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</si>
  <si>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</si>
  <si>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</si>
  <si>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</si>
  <si>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</si>
  <si>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</si>
  <si>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</si>
  <si>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</si>
  <si>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</si>
  <si>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</si>
  <si>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</si>
  <si>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</si>
  <si>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</si>
  <si>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</si>
  <si>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</si>
  <si>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</si>
  <si>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</si>
  <si>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</si>
  <si>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</si>
  <si>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</si>
  <si>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</si>
  <si>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</si>
  <si>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</si>
  <si>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</si>
  <si>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</si>
  <si>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</si>
  <si>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</si>
  <si>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</si>
  <si>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</si>
  <si>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</si>
  <si>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</si>
  <si>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</si>
  <si>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</si>
  <si>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</si>
  <si>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</si>
  <si>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</si>
  <si>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</si>
  <si>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</si>
  <si>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</si>
  <si>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</si>
  <si>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</si>
  <si>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</si>
  <si>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</si>
  <si>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</si>
  <si>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</si>
  <si>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</si>
  <si>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</si>
  <si>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</si>
  <si>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</si>
  <si>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</si>
  <si>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</si>
  <si>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</si>
  <si>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</si>
  <si>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</si>
  <si>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</si>
  <si>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</si>
  <si>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</si>
  <si>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</si>
  <si>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</si>
  <si>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</si>
  <si>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</si>
  <si>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</si>
  <si>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</si>
  <si>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</si>
  <si>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</si>
  <si>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</si>
  <si>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</si>
  <si>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</si>
  <si>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</si>
  <si>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</si>
  <si>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</si>
  <si>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</si>
  <si>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</si>
  <si>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</si>
  <si>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</si>
  <si>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</si>
  <si>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</si>
  <si>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</si>
  <si>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</si>
  <si>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</si>
  <si>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</si>
  <si>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</si>
  <si>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</si>
  <si>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</si>
  <si>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</si>
  <si>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</si>
  <si>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</si>
  <si>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</si>
  <si>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</si>
  <si>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</si>
  <si>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</si>
  <si>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</si>
  <si>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</si>
  <si>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</si>
  <si>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</si>
  <si>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</si>
  <si>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</si>
  <si>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</si>
  <si>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</si>
  <si>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</si>
  <si>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</si>
  <si>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</si>
  <si>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</si>
  <si>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</si>
  <si>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</si>
  <si>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</si>
  <si>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</si>
  <si>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</si>
  <si>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</si>
  <si>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</si>
  <si>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</si>
  <si>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</si>
  <si>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</si>
  <si>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</si>
  <si>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</si>
  <si>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</si>
  <si>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</si>
  <si>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</si>
  <si>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</si>
  <si>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</si>
  <si>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</si>
  <si>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</si>
  <si>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</si>
  <si>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</si>
  <si>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</si>
  <si>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</si>
  <si>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</si>
  <si>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</si>
  <si>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</si>
  <si>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</si>
  <si>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</si>
  <si>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</si>
  <si>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</si>
  <si>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</si>
  <si>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</si>
  <si>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</si>
  <si>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</si>
  <si>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</si>
  <si>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</si>
  <si>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</si>
  <si>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</si>
  <si>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</si>
  <si>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</si>
  <si>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</si>
  <si>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</si>
  <si>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</si>
  <si>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</si>
  <si>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</si>
  <si>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</si>
  <si>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</si>
  <si>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</si>
  <si>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</si>
  <si>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</si>
  <si>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</si>
  <si>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</si>
  <si>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</si>
  <si>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</si>
  <si>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</si>
  <si>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</si>
  <si>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</si>
  <si>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</si>
  <si>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</si>
  <si>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</si>
  <si>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</si>
  <si>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</si>
  <si>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</si>
  <si>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</si>
  <si>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</si>
  <si>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</si>
  <si>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</si>
  <si>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</si>
  <si>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</si>
  <si>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</si>
  <si>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</si>
  <si>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</si>
  <si>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</si>
  <si>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</si>
  <si>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</si>
  <si>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</si>
  <si>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</si>
  <si>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</si>
  <si>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</si>
  <si>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</si>
  <si>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</si>
  <si>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</si>
  <si>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</si>
  <si>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</si>
  <si>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</si>
  <si>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</si>
  <si>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</si>
  <si>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</si>
  <si>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</si>
  <si>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</si>
  <si>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</si>
  <si>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</si>
  <si>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</si>
  <si>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</si>
  <si>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</si>
  <si>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</si>
  <si>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</si>
  <si>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</si>
  <si>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</si>
  <si>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</si>
  <si>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</si>
  <si>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</si>
  <si>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</si>
  <si>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</si>
  <si>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</si>
  <si>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</si>
  <si>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</si>
  <si>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</si>
  <si>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</si>
  <si>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</si>
  <si>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</si>
  <si>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</si>
  <si>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</si>
  <si>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</si>
  <si>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</si>
  <si>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</si>
  <si>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</si>
  <si>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</si>
  <si>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</si>
  <si>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</si>
  <si>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</si>
  <si>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</si>
  <si>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</si>
  <si>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</si>
  <si>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</si>
  <si>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</si>
  <si>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</si>
  <si>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</si>
  <si>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</si>
  <si>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</si>
  <si>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</si>
  <si>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</si>
  <si>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</si>
  <si>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</si>
  <si>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</si>
  <si>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</si>
  <si>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</si>
  <si>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</si>
  <si>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</si>
  <si>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</si>
  <si>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</si>
  <si>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</si>
  <si>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</si>
  <si>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</si>
  <si>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</si>
  <si>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</si>
  <si>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</si>
  <si>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</si>
  <si>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</si>
  <si>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</si>
  <si>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</si>
  <si>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</si>
  <si>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</si>
  <si>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</si>
  <si>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</si>
  <si>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</si>
  <si>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</si>
  <si>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</si>
  <si>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</si>
  <si>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</si>
  <si>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</si>
  <si>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</si>
  <si>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</si>
  <si>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</si>
  <si>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</si>
  <si>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</si>
  <si>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</si>
  <si>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</si>
  <si>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</si>
  <si>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</si>
  <si>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</si>
  <si>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</si>
  <si>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</si>
  <si>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</si>
  <si>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</si>
  <si>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</si>
  <si>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</si>
  <si>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</si>
  <si>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</si>
  <si>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</si>
  <si>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</si>
  <si>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</si>
  <si>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</si>
  <si>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</si>
  <si>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</si>
  <si>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</si>
  <si>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</si>
  <si>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</si>
  <si>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</si>
  <si>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</si>
  <si>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</si>
  <si>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</si>
  <si>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</si>
  <si>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</si>
  <si>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</si>
  <si>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</si>
  <si>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</si>
  <si>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</si>
  <si>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</si>
  <si>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</si>
  <si>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</si>
  <si>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</si>
  <si>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</si>
  <si>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</si>
  <si>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</si>
  <si>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</si>
  <si>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</si>
  <si>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</si>
  <si>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</si>
  <si>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</si>
  <si>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</si>
  <si>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</si>
  <si>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</si>
  <si>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</si>
  <si>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</si>
  <si>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</si>
  <si>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</si>
  <si>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</si>
  <si>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</si>
  <si>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</si>
  <si>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</si>
  <si>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</si>
  <si>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</si>
  <si>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</si>
  <si>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</si>
  <si>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</si>
  <si>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</si>
  <si>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</si>
  <si>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</si>
  <si>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</si>
  <si>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</si>
  <si>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</si>
  <si>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</si>
  <si>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</si>
  <si>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</si>
  <si>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</si>
  <si>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</si>
  <si>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</si>
  <si>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</si>
  <si>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</si>
  <si>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</si>
  <si>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</si>
  <si>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</si>
  <si>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</si>
  <si>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</si>
  <si>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</si>
  <si>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</si>
  <si>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</si>
  <si>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</si>
  <si>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</si>
  <si>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</si>
  <si>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</si>
  <si>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</si>
  <si>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</si>
  <si>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</si>
  <si>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</si>
  <si>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</si>
  <si>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</si>
  <si>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</si>
  <si>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</si>
  <si>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</si>
  <si>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</si>
  <si>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</si>
  <si>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</si>
  <si>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</si>
  <si>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</si>
  <si>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</si>
  <si>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</si>
  <si>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</si>
  <si>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</si>
  <si>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</si>
  <si>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</si>
  <si>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</si>
  <si>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</si>
  <si>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</si>
  <si>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</si>
  <si>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</si>
  <si>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</si>
  <si>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</si>
  <si>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</si>
  <si>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</si>
  <si>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</si>
  <si>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</si>
  <si>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</si>
  <si>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</si>
  <si>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</si>
  <si>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</si>
  <si>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</si>
  <si>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</si>
  <si>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</si>
  <si>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</si>
  <si>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</si>
  <si>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</si>
  <si>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</si>
  <si>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</si>
  <si>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</si>
  <si>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</si>
  <si>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</si>
  <si>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</si>
  <si>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</si>
  <si>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</si>
  <si>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</si>
  <si>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</si>
  <si>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</si>
  <si>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</si>
  <si>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</si>
  <si>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</si>
  <si>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</si>
  <si>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</si>
  <si>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</si>
  <si>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</si>
  <si>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</si>
  <si>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</si>
  <si>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</si>
  <si>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</si>
  <si>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</si>
  <si>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</si>
  <si>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</si>
  <si>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</si>
  <si>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</si>
  <si>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</si>
  <si>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</si>
  <si>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</si>
  <si>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</si>
  <si>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</si>
  <si>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</si>
  <si>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</si>
  <si>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</si>
  <si>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</si>
  <si>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</si>
  <si>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</si>
  <si>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</si>
  <si>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</si>
  <si>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</si>
  <si>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</si>
  <si>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</si>
  <si>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</si>
  <si>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</si>
  <si>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</si>
  <si>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</si>
  <si>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</si>
  <si>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</si>
  <si>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</si>
  <si>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</si>
  <si>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</si>
  <si>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</si>
  <si>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</si>
  <si>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</si>
  <si>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</si>
  <si>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</si>
  <si>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</si>
  <si>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</si>
  <si>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</si>
  <si>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</si>
  <si>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</si>
  <si>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</si>
  <si>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</si>
  <si>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</si>
  <si>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</si>
  <si>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</si>
  <si>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</si>
  <si>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</si>
  <si>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</si>
  <si>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</si>
  <si>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</si>
  <si>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</si>
  <si>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</si>
  <si>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</si>
  <si>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</si>
  <si>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</si>
  <si>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</si>
  <si>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</si>
  <si>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</si>
  <si>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</si>
  <si>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</si>
  <si>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</si>
  <si>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</si>
  <si>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</si>
  <si>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</si>
  <si>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</si>
  <si>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</si>
  <si>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</si>
  <si>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</si>
  <si>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</si>
  <si>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</si>
  <si>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</si>
  <si>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</si>
  <si>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</si>
  <si>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</si>
  <si>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</si>
  <si>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</si>
  <si>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</si>
  <si>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</si>
  <si>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</si>
  <si>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</si>
  <si>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</si>
  <si>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</si>
  <si>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</si>
  <si>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</si>
  <si>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</si>
  <si>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</si>
  <si>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</si>
  <si>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</si>
  <si>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</si>
  <si>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</si>
  <si>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</si>
  <si>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</si>
  <si>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</si>
  <si>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</si>
  <si>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</si>
  <si>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</si>
  <si>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</si>
  <si>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</si>
  <si>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</si>
  <si>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</si>
  <si>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</si>
  <si>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</si>
  <si>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</si>
  <si>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</si>
  <si>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</si>
  <si>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</si>
  <si>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</si>
  <si>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</si>
  <si>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</si>
  <si>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</si>
  <si>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</si>
  <si>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</si>
  <si>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</si>
  <si>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</si>
  <si>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</si>
  <si>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</si>
  <si>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</si>
  <si>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</si>
  <si>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</si>
  <si>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</si>
  <si>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</si>
  <si>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</si>
  <si>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</si>
  <si>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</si>
  <si>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</si>
  <si>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</si>
  <si>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</si>
  <si>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</si>
  <si>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</si>
  <si>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</si>
  <si>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</si>
  <si>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</si>
  <si>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</si>
  <si>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</si>
  <si>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</si>
  <si>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</si>
  <si>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</si>
  <si>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</si>
  <si>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</si>
  <si>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</si>
  <si>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</si>
  <si>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</si>
  <si>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</si>
  <si>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</si>
  <si>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</si>
  <si>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</si>
  <si>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</si>
  <si>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</si>
  <si>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</si>
  <si>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</si>
  <si>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</si>
  <si>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</si>
  <si>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</si>
  <si>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</si>
  <si>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</si>
  <si>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</si>
  <si>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</si>
  <si>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</si>
  <si>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</si>
  <si>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</si>
  <si>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</si>
  <si>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</si>
  <si>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</si>
  <si>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</si>
  <si>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</si>
  <si>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</si>
  <si>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</si>
  <si>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</si>
  <si>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</si>
  <si>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</si>
  <si>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</si>
  <si>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</si>
  <si>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</si>
  <si>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</si>
  <si>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</si>
  <si>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</si>
  <si>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</si>
  <si>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</si>
  <si>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</si>
  <si>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</si>
  <si>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</si>
  <si>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</si>
  <si>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</si>
  <si>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</si>
  <si>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</si>
  <si>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</si>
  <si>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</si>
  <si>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</si>
  <si>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</si>
  <si>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</si>
  <si>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</si>
  <si>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</si>
  <si>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</si>
  <si>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</si>
  <si>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</si>
  <si>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</si>
  <si>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</si>
  <si>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</si>
  <si>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</si>
  <si>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</si>
  <si>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</si>
  <si>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</si>
  <si>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</si>
  <si>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</si>
  <si>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</si>
  <si>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</si>
  <si>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</si>
  <si>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</si>
  <si>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</si>
  <si>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</si>
  <si>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</si>
  <si>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</si>
  <si>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</si>
  <si>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</si>
  <si>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</si>
  <si>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</si>
  <si>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</si>
  <si>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</si>
  <si>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</si>
  <si>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</si>
  <si>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</si>
  <si>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</si>
  <si>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</si>
  <si>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</si>
  <si>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</si>
  <si>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</si>
  <si>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</si>
  <si>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</si>
  <si>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</si>
  <si>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</si>
  <si>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</si>
  <si>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</si>
  <si>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</si>
  <si>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</si>
  <si>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</si>
  <si>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</si>
  <si>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</si>
  <si>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</si>
  <si>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</si>
  <si>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</si>
  <si>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</si>
  <si>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</si>
  <si>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</si>
  <si>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</si>
  <si>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</si>
  <si>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</si>
  <si>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</si>
  <si>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</si>
  <si>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</si>
  <si>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</si>
  <si>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</si>
  <si>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</si>
  <si>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</si>
  <si>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</si>
  <si>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</si>
  <si>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</si>
  <si>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</si>
  <si>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</si>
  <si>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</si>
  <si>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</si>
  <si>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</si>
  <si>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</si>
  <si>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</si>
  <si>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</si>
  <si>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</si>
  <si>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</si>
  <si>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</si>
  <si>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</si>
  <si>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</si>
  <si>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</si>
  <si>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</si>
  <si>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</si>
  <si>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</si>
  <si>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</si>
  <si>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</si>
  <si>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</si>
  <si>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</si>
  <si>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</si>
  <si>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</si>
  <si>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</si>
  <si>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</si>
  <si>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</si>
  <si>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</si>
  <si>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</si>
  <si>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</si>
  <si>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</si>
  <si>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</si>
  <si>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</si>
  <si>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</si>
  <si>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</si>
  <si>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</si>
  <si>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</si>
  <si>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</si>
  <si>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</si>
  <si>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</si>
  <si>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</si>
  <si>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</si>
  <si>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</si>
  <si>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</si>
  <si>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</si>
  <si>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</si>
  <si>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</si>
  <si>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</si>
  <si>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</si>
  <si>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</si>
  <si>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</si>
  <si>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</si>
  <si>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</si>
  <si>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</si>
  <si>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</si>
  <si>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</si>
  <si>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</si>
  <si>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</si>
  <si>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</si>
  <si>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</si>
  <si>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</si>
  <si>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</si>
  <si>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</si>
  <si>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</si>
  <si>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</si>
  <si>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</si>
  <si>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</si>
  <si>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</si>
  <si>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</si>
  <si>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</si>
  <si>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</si>
  <si>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</si>
  <si>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</si>
  <si>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</si>
  <si>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</si>
  <si>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</si>
  <si>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</si>
  <si>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</si>
  <si>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</si>
  <si>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</si>
  <si>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</si>
  <si>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</si>
  <si>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</si>
  <si>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</si>
  <si>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</si>
  <si>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</si>
  <si>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</si>
  <si>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</si>
  <si>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</si>
  <si>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</si>
  <si>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</si>
  <si>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</si>
  <si>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</si>
  <si>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</si>
  <si>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</si>
  <si>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</si>
  <si>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</si>
  <si>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</si>
  <si>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</si>
  <si>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</si>
  <si>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</si>
  <si>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</si>
  <si>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</si>
  <si>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</si>
  <si>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</si>
  <si>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</si>
  <si>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</si>
  <si>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</si>
  <si>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</si>
  <si>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</si>
  <si>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</si>
  <si>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</si>
  <si>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</si>
  <si>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</si>
  <si>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</si>
  <si>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</si>
  <si>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</si>
  <si>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</si>
  <si>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</si>
  <si>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</si>
  <si>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</si>
  <si>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</si>
  <si>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</si>
  <si>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</si>
  <si>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</si>
  <si>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</si>
  <si>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</si>
  <si>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</si>
  <si>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</si>
  <si>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</si>
  <si>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</si>
  <si>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</si>
  <si>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</si>
  <si>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</si>
  <si>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</si>
  <si>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</si>
  <si>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</si>
  <si>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</si>
  <si>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</si>
  <si>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</si>
  <si>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</si>
  <si>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</si>
  <si>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</si>
  <si>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</si>
  <si>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</si>
  <si>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</si>
  <si>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</si>
  <si>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</si>
  <si>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</si>
  <si>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</si>
  <si>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</si>
  <si>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</si>
  <si>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</si>
  <si>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</si>
  <si>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</si>
  <si>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</si>
  <si>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</si>
  <si>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</si>
  <si>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</si>
  <si>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</si>
  <si>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</si>
  <si>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</si>
  <si>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</si>
  <si>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</si>
  <si>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</si>
  <si>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</si>
  <si>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</si>
  <si>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</si>
  <si>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</si>
  <si>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</si>
  <si>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</si>
  <si>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</si>
  <si>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</si>
  <si>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</si>
  <si>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</si>
  <si>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</si>
  <si>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</si>
  <si>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</si>
  <si>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</si>
  <si>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</si>
  <si>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</si>
  <si>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</si>
  <si>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</si>
  <si>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</si>
  <si>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</si>
  <si>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</si>
  <si>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</si>
  <si>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</si>
  <si>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</si>
  <si>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</si>
  <si>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</si>
  <si>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</si>
  <si>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</si>
  <si>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</si>
  <si>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</si>
  <si>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</si>
  <si>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</si>
  <si>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</si>
  <si>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</si>
  <si>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</si>
  <si>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</si>
  <si>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</si>
  <si>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</si>
  <si>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</si>
  <si>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</si>
  <si>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</si>
  <si>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</si>
  <si>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</si>
  <si>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</si>
  <si>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</si>
  <si>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</si>
  <si>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</si>
  <si>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</si>
  <si>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</si>
  <si>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</si>
  <si>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</si>
  <si>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</si>
  <si>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</si>
  <si>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</si>
  <si>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</si>
  <si>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</si>
  <si>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</si>
  <si>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</si>
  <si>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</si>
  <si>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</si>
  <si>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</si>
  <si>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</si>
  <si>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</si>
  <si>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</si>
  <si>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</si>
  <si>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</si>
  <si>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</si>
  <si>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</si>
  <si>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</si>
  <si>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</si>
  <si>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</si>
  <si>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</si>
  <si>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</si>
  <si>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</si>
  <si>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</si>
  <si>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</si>
  <si>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</si>
  <si>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</si>
  <si>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</si>
  <si>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</si>
  <si>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</si>
  <si>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</si>
  <si>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</si>
  <si>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</si>
  <si>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</si>
  <si>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</si>
  <si>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</si>
  <si>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</si>
  <si>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</si>
  <si>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</si>
  <si>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</si>
  <si>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</si>
  <si>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</si>
  <si>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</si>
  <si>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</si>
  <si>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</si>
  <si>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</si>
  <si>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</si>
  <si>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</si>
  <si>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</si>
  <si>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</si>
  <si>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</si>
  <si>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</si>
  <si>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</si>
  <si>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</si>
  <si>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</si>
  <si>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</si>
  <si>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</si>
  <si>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</si>
  <si>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</si>
  <si>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</si>
  <si>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</si>
  <si>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</si>
  <si>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</si>
  <si>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</si>
  <si>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</si>
  <si>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</si>
  <si>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</si>
  <si>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</si>
  <si>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</si>
  <si>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</si>
  <si>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</si>
  <si>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</si>
  <si>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</si>
  <si>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</si>
  <si>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</si>
  <si>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</si>
  <si>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</si>
  <si>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</si>
  <si>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</si>
  <si>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</si>
  <si>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</si>
  <si>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</si>
  <si>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</si>
  <si>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</si>
  <si>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</si>
  <si>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</si>
  <si>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</si>
  <si>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</si>
  <si>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</si>
  <si>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</si>
  <si>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</si>
  <si>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</si>
  <si>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</si>
  <si>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</si>
  <si>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</si>
  <si>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</si>
  <si>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</si>
  <si>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</si>
  <si>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</si>
  <si>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</si>
  <si>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</si>
  <si>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</si>
  <si>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</si>
  <si>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</si>
  <si>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</si>
  <si>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</si>
  <si>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</si>
  <si>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</si>
  <si>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</si>
  <si>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</si>
  <si>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</si>
  <si>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</si>
  <si>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</si>
  <si>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</si>
  <si>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</si>
  <si>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</si>
  <si>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</si>
  <si>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</si>
  <si>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</si>
  <si>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</si>
  <si>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</si>
  <si>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</si>
  <si>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</si>
  <si>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</si>
  <si>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</si>
  <si>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</si>
  <si>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</si>
  <si>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</si>
  <si>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</si>
  <si>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</si>
  <si>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</si>
  <si>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</si>
  <si>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</si>
  <si>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</si>
  <si>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</si>
  <si>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</si>
  <si>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</si>
  <si>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</si>
  <si>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</si>
  <si>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</si>
  <si>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</si>
  <si>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</si>
  <si>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</si>
  <si>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</si>
  <si>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</si>
  <si>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</si>
  <si>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</si>
  <si>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</si>
  <si>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</si>
  <si>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</si>
  <si>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</si>
  <si>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</si>
  <si>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</si>
  <si>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</si>
  <si>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</si>
  <si>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</si>
  <si>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</si>
  <si>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</si>
  <si>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</si>
  <si>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</si>
  <si>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</si>
  <si>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</si>
  <si>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</si>
  <si>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</si>
  <si>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</si>
  <si>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</si>
  <si>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</si>
  <si>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</si>
  <si>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</si>
  <si>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</si>
  <si>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</si>
  <si>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</si>
  <si>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</si>
  <si>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</si>
  <si>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</si>
  <si>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</si>
  <si>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</si>
  <si>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</si>
  <si>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</si>
  <si>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</si>
  <si>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</si>
  <si>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</si>
  <si>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</si>
  <si>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</si>
  <si>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</si>
  <si>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</si>
  <si>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</si>
  <si>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</si>
  <si>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</si>
  <si>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</si>
  <si>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</si>
  <si>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</si>
  <si>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</si>
  <si>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</si>
  <si>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</si>
  <si>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</si>
  <si>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</si>
  <si>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</si>
  <si>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</si>
  <si>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</si>
  <si>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</si>
  <si>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</si>
  <si>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</si>
  <si>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</si>
  <si>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</si>
  <si>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</si>
  <si>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</si>
  <si>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</si>
  <si>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</si>
  <si>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</si>
  <si>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</si>
  <si>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</si>
  <si>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</si>
  <si>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</si>
  <si>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</si>
  <si>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</si>
  <si>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</si>
  <si>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</si>
  <si>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</si>
  <si>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</si>
  <si>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</si>
  <si>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</si>
  <si>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</si>
  <si>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</si>
  <si>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</si>
  <si>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</si>
  <si>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</si>
  <si>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</si>
  <si>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</si>
  <si>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</si>
  <si>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</si>
  <si>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</si>
  <si>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</si>
  <si>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</si>
  <si>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</si>
  <si>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</si>
  <si>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</si>
  <si>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</si>
  <si>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</si>
  <si>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</si>
  <si>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</si>
  <si>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</si>
  <si>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</si>
  <si>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</si>
  <si>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</si>
  <si>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</si>
  <si>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</si>
  <si>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</si>
  <si>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</si>
  <si>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</si>
  <si>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</si>
  <si>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</si>
  <si>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</si>
  <si>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</si>
  <si>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</si>
  <si>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</si>
  <si>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</si>
  <si>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</si>
  <si>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</si>
  <si>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</si>
  <si>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</si>
  <si>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</si>
  <si>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</si>
  <si>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</si>
  <si>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</si>
  <si>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</si>
  <si>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</si>
  <si>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</si>
  <si>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</si>
  <si>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</si>
  <si>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</si>
  <si>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</si>
  <si>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</si>
  <si>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</si>
  <si>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</si>
  <si>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</si>
  <si>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</si>
  <si>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</si>
  <si>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</si>
  <si>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</si>
  <si>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</si>
  <si>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</si>
  <si>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</si>
  <si>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</si>
  <si>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</si>
  <si>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</si>
  <si>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</si>
  <si>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</si>
  <si>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</si>
  <si>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</si>
  <si>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</si>
  <si>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</si>
  <si>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</si>
  <si>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</si>
  <si>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</si>
  <si>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</si>
  <si>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</si>
  <si>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</si>
  <si>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</si>
  <si>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</si>
  <si>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</si>
  <si>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</si>
  <si>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</si>
  <si>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</si>
  <si>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</si>
  <si>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</si>
  <si>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</si>
  <si>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</si>
  <si>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</si>
  <si>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</si>
  <si>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</si>
  <si>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</si>
  <si>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</si>
  <si>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</si>
  <si>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</si>
  <si>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</si>
  <si>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</si>
  <si>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</si>
  <si>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</si>
  <si>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</si>
  <si>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</si>
  <si>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</si>
  <si>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</si>
  <si>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</si>
  <si>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</si>
  <si>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</si>
  <si>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</si>
  <si>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</si>
  <si>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</si>
  <si>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</si>
  <si>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</si>
  <si>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</si>
  <si>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</si>
  <si>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</si>
  <si>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</si>
  <si>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</si>
  <si>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</si>
  <si>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</si>
  <si>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</si>
  <si>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</si>
  <si>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</si>
  <si>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</si>
  <si>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</si>
  <si>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</si>
  <si>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</si>
  <si>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</si>
  <si>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</si>
  <si>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</si>
  <si>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</si>
  <si>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</si>
  <si>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</si>
  <si>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</si>
  <si>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</si>
  <si>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</si>
  <si>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</si>
  <si>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</si>
  <si>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</si>
  <si>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</si>
  <si>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</si>
  <si>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</si>
  <si>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</si>
  <si>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</si>
  <si>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</si>
  <si>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</si>
  <si>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</si>
  <si>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</si>
  <si>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</si>
  <si>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</si>
  <si>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</si>
  <si>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</si>
  <si>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</si>
  <si>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</si>
  <si>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</si>
  <si>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</si>
  <si>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</si>
  <si>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</si>
  <si>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</si>
  <si>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</si>
  <si>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</si>
  <si>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</si>
  <si>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</si>
  <si>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</si>
  <si>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</si>
  <si>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</si>
  <si>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</si>
  <si>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</si>
  <si>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</si>
  <si>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</si>
  <si>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</si>
  <si>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</si>
  <si>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</si>
  <si>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</si>
  <si>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</si>
  <si>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</si>
  <si>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</si>
  <si>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</si>
  <si>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</si>
  <si>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</si>
  <si>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</si>
  <si>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</si>
  <si>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</si>
  <si>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</si>
  <si>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</si>
  <si>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</si>
  <si>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</si>
  <si>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</si>
  <si>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</si>
  <si>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</si>
  <si>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</si>
  <si>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</si>
  <si>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</si>
  <si>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</si>
  <si>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</si>
  <si>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</si>
  <si>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</si>
  <si>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</si>
  <si>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</si>
  <si>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</si>
  <si>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</si>
  <si>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</si>
  <si>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</si>
  <si>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</si>
  <si>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</si>
  <si>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</si>
  <si>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</si>
  <si>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</si>
  <si>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</si>
  <si>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</si>
  <si>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</si>
  <si>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</si>
  <si>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</si>
  <si>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</si>
  <si>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</si>
  <si>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</si>
  <si>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</si>
  <si>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</si>
  <si>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</si>
  <si>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</si>
  <si>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</si>
  <si>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</si>
  <si>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</si>
  <si>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</si>
  <si>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</si>
  <si>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</si>
  <si>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</si>
  <si>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</si>
  <si>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</si>
  <si>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</si>
  <si>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</si>
  <si>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</si>
  <si>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</si>
  <si>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</si>
  <si>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</si>
  <si>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</si>
  <si>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</si>
  <si>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</si>
  <si>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</si>
  <si>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</si>
  <si>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</si>
  <si>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</si>
  <si>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</si>
  <si>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</si>
  <si>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</si>
  <si>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</si>
  <si>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</si>
  <si>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</si>
  <si>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</si>
  <si>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</si>
  <si>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</si>
  <si>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</si>
  <si>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</si>
  <si>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</si>
  <si>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</si>
  <si>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</si>
  <si>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</si>
  <si>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</si>
  <si>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</si>
  <si>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</si>
  <si>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</si>
  <si>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</si>
  <si>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</si>
  <si>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</si>
  <si>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</si>
  <si>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</si>
  <si>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</si>
  <si>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</si>
  <si>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</si>
  <si>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</si>
  <si>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</si>
  <si>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</si>
  <si>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</si>
  <si>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</si>
  <si>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</si>
  <si>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</si>
  <si>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</si>
  <si>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</si>
  <si>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</si>
  <si>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</si>
  <si>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</si>
  <si>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</si>
  <si>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</si>
  <si>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</si>
  <si>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</si>
  <si>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</si>
  <si>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</si>
  <si>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</si>
  <si>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</si>
  <si>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</si>
  <si>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</si>
  <si>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</si>
  <si>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</si>
  <si>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</si>
  <si>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</si>
  <si>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</si>
  <si>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</si>
  <si>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</si>
  <si>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</si>
  <si>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</si>
  <si>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</si>
  <si>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</si>
  <si>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</si>
  <si>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</si>
  <si>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</si>
  <si>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</si>
  <si>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</si>
  <si>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</si>
  <si>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</si>
  <si>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</si>
  <si>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</si>
  <si>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</si>
  <si>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</si>
  <si>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</si>
  <si>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</si>
  <si>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</si>
  <si>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</si>
  <si>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</si>
  <si>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</si>
  <si>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</si>
  <si>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</si>
  <si>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</si>
  <si>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</si>
  <si>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</si>
  <si>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</si>
  <si>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</si>
  <si>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</si>
  <si>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</si>
  <si>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</si>
  <si>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</si>
  <si>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</si>
  <si>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</si>
  <si>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</si>
  <si>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</si>
  <si>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</si>
  <si>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</si>
  <si>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</si>
  <si>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</si>
  <si>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</si>
  <si>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</si>
  <si>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</si>
  <si>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</si>
  <si>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</si>
  <si>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</si>
  <si>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</si>
  <si>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</si>
  <si>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</si>
  <si>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</si>
  <si>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</si>
  <si>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</si>
  <si>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</si>
  <si>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</si>
  <si>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</si>
  <si>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</si>
  <si>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</si>
  <si>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</si>
  <si>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</si>
  <si>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</si>
  <si>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</si>
  <si>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</si>
  <si>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</si>
  <si>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</si>
  <si>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</si>
  <si>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</si>
  <si>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</si>
  <si>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</si>
  <si>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</si>
  <si>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</si>
  <si>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</si>
  <si>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</si>
  <si>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</si>
  <si>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</si>
  <si>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</si>
  <si>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</si>
  <si>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</si>
  <si>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</si>
  <si>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</si>
  <si>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</si>
  <si>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</si>
  <si>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</si>
  <si>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</si>
  <si>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</si>
  <si>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</si>
  <si>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</si>
  <si>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</si>
  <si>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</si>
  <si>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</si>
  <si>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</si>
  <si>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</si>
  <si>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</si>
  <si>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</si>
  <si>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</si>
  <si>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</si>
  <si>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</si>
  <si>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</si>
  <si>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</si>
  <si>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</si>
  <si>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</si>
  <si>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</si>
  <si>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</si>
  <si>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</si>
  <si>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</si>
  <si>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</si>
  <si>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</si>
  <si>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</si>
  <si>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</si>
  <si>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</si>
  <si>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</si>
  <si>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</si>
  <si>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</si>
  <si>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</si>
  <si>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</si>
  <si>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</si>
  <si>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</si>
  <si>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</si>
  <si>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</si>
  <si>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</si>
  <si>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</si>
  <si>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</si>
  <si>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</si>
  <si>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</si>
  <si>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</si>
  <si>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</si>
  <si>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</si>
  <si>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</si>
  <si>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</si>
  <si>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</si>
  <si>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</si>
  <si>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</si>
  <si>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</si>
  <si>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</si>
  <si>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</si>
  <si>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</si>
  <si>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</si>
  <si>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</si>
  <si>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</si>
  <si>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</si>
  <si>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</si>
  <si>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</si>
  <si>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</si>
  <si>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</si>
  <si>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</si>
  <si>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</si>
  <si>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</si>
  <si>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</si>
  <si>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</si>
  <si>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</si>
  <si>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</si>
  <si>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</si>
  <si>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</si>
  <si>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</si>
  <si>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</si>
  <si>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</si>
  <si>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</si>
  <si>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</si>
  <si>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</si>
  <si>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</si>
  <si>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</si>
  <si>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</si>
  <si>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</si>
  <si>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</si>
  <si>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</si>
  <si>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</si>
  <si>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</si>
  <si>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</si>
  <si>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</si>
  <si>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</si>
  <si>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</si>
  <si>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</si>
  <si>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</si>
  <si>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</si>
  <si>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</si>
  <si>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</si>
  <si>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</si>
  <si>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</si>
  <si>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</si>
  <si>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</si>
  <si>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</si>
  <si>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</si>
  <si>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</si>
  <si>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</si>
  <si>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</si>
  <si>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</si>
  <si>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</si>
  <si>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</si>
  <si>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</si>
  <si>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</si>
  <si>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</si>
  <si>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</si>
  <si>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</si>
  <si>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</si>
  <si>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</si>
  <si>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</si>
  <si>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</si>
  <si>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</si>
  <si>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</si>
  <si>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</si>
  <si>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</si>
  <si>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</si>
  <si>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</si>
  <si>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</si>
  <si>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</si>
  <si>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</si>
  <si>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</si>
  <si>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</si>
  <si>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</si>
  <si>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</si>
  <si>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</si>
  <si>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</si>
  <si>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</si>
  <si>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</si>
  <si>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</si>
  <si>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</si>
  <si>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</si>
  <si>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</si>
  <si>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</si>
  <si>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</si>
  <si>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</si>
  <si>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</si>
  <si>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</si>
  <si>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</si>
  <si>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</si>
  <si>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</si>
  <si>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</si>
  <si>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</si>
  <si>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</si>
  <si>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</si>
  <si>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</si>
  <si>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</si>
  <si>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</si>
  <si>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</si>
  <si>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</si>
  <si>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</si>
  <si>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</si>
  <si>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</si>
  <si>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</si>
  <si>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</si>
  <si>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</si>
  <si>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</si>
  <si>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</si>
  <si>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</si>
  <si>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</si>
  <si>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</si>
  <si>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</si>
  <si>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</si>
  <si>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</si>
  <si>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</si>
  <si>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</si>
  <si>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</si>
  <si>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</si>
  <si>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</si>
  <si>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</si>
  <si>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</si>
  <si>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</si>
  <si>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</si>
  <si>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</si>
  <si>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</si>
  <si>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</si>
  <si>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</si>
  <si>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</si>
  <si>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</si>
  <si>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</si>
  <si>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</si>
  <si>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</si>
  <si>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</si>
  <si>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</si>
  <si>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</si>
  <si>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</si>
  <si>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</si>
  <si>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</si>
  <si>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</si>
  <si>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</si>
  <si>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</si>
  <si>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</si>
  <si>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</si>
  <si>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</si>
  <si>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</si>
  <si>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</si>
  <si>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</si>
  <si>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</si>
  <si>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</si>
  <si>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</si>
  <si>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</si>
  <si>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</si>
  <si>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</si>
  <si>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</si>
  <si>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</si>
  <si>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</si>
  <si>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</si>
  <si>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</si>
  <si>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</si>
  <si>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</si>
  <si>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</si>
  <si>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</si>
  <si>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</si>
  <si>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</si>
  <si>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</si>
  <si>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</si>
  <si>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</si>
  <si>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</si>
  <si>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</si>
  <si>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</si>
  <si>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</si>
  <si>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</si>
  <si>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</si>
  <si>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</si>
  <si>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</si>
  <si>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</si>
  <si>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</si>
  <si>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</si>
  <si>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</si>
  <si>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</si>
  <si>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</si>
  <si>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</si>
  <si>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</si>
  <si>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</si>
  <si>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</si>
  <si>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</si>
  <si>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</si>
  <si>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</si>
  <si>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</si>
  <si>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</si>
  <si>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</si>
  <si>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</si>
  <si>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</si>
  <si>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</si>
  <si>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</si>
  <si>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</si>
  <si>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</si>
  <si>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</si>
  <si>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</si>
  <si>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</si>
  <si>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</si>
  <si>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</si>
  <si>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</si>
  <si>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</si>
  <si>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</si>
  <si>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</si>
  <si>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</si>
  <si>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</si>
  <si>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</si>
  <si>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</si>
  <si>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</si>
  <si>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</si>
  <si>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</si>
  <si>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</si>
  <si>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</si>
  <si>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</si>
  <si>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</si>
  <si>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</si>
  <si>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</si>
  <si>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</si>
  <si>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</si>
  <si>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</si>
  <si>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</si>
  <si>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</si>
  <si>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</si>
  <si>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</si>
  <si>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</si>
  <si>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</si>
  <si>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</si>
  <si>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</si>
  <si>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</si>
  <si>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</si>
  <si>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</si>
  <si>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</si>
  <si>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</si>
  <si>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</si>
  <si>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</si>
  <si>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</si>
  <si>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</si>
  <si>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</si>
  <si>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</si>
  <si>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</si>
  <si>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</si>
  <si>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</si>
  <si>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</si>
  <si>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</si>
  <si>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</si>
  <si>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</si>
  <si>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</si>
  <si>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</si>
  <si>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</si>
  <si>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</si>
  <si>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</si>
  <si>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</si>
  <si>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</si>
  <si>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</si>
  <si>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</si>
  <si>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</si>
  <si>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</si>
  <si>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</si>
  <si>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</si>
  <si>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</si>
  <si>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</si>
  <si>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</si>
  <si>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</si>
  <si>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</si>
  <si>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</si>
  <si>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</si>
  <si>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</si>
  <si>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</si>
  <si>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</si>
  <si>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</si>
  <si>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</si>
  <si>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</si>
  <si>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</si>
  <si>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</si>
  <si>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</si>
  <si>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</si>
  <si>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</si>
  <si>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</si>
  <si>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</si>
  <si>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</si>
  <si>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</si>
  <si>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</si>
  <si>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</si>
  <si>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</si>
  <si>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</si>
  <si>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</si>
  <si>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</si>
  <si>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</si>
  <si>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</si>
  <si>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</si>
  <si>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</si>
  <si>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</si>
  <si>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</si>
  <si>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</si>
  <si>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</si>
  <si>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</si>
  <si>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</si>
  <si>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</si>
  <si>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</si>
  <si>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</si>
  <si>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</si>
  <si>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</si>
  <si>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</si>
  <si>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</si>
  <si>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</si>
  <si>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</si>
  <si>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</si>
  <si>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</si>
  <si>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</si>
  <si>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</si>
  <si>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</si>
  <si>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</si>
  <si>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</si>
  <si>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</si>
  <si>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</si>
  <si>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</si>
  <si>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</si>
  <si>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</si>
  <si>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</si>
  <si>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</si>
  <si>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</si>
  <si>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</si>
  <si>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</si>
  <si>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</si>
  <si>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</si>
  <si>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</si>
  <si>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</si>
  <si>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</si>
  <si>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</si>
  <si>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</si>
  <si>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</si>
  <si>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</si>
  <si>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</si>
  <si>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</si>
  <si>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</si>
  <si>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</si>
  <si>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</si>
  <si>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</si>
  <si>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</si>
  <si>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</si>
  <si>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</si>
  <si>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</si>
  <si>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</si>
  <si>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</si>
  <si>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</si>
  <si>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</si>
  <si>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</si>
  <si>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</si>
  <si>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</si>
  <si>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</si>
  <si>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</si>
  <si>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</si>
  <si>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</si>
  <si>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</si>
  <si>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</si>
  <si>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</si>
  <si>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</si>
  <si>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</si>
  <si>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</si>
  <si>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</si>
  <si>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</si>
  <si>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</si>
  <si>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</si>
  <si>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</si>
  <si>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</si>
  <si>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</si>
  <si>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</si>
  <si>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</si>
  <si>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</si>
  <si>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</si>
  <si>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</si>
  <si>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</si>
  <si>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</si>
  <si>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</si>
  <si>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</si>
  <si>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</si>
  <si>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</si>
  <si>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</si>
  <si>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</si>
  <si>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</si>
  <si>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</si>
  <si>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</si>
  <si>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</si>
  <si>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</si>
  <si>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</si>
  <si>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</si>
  <si>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</si>
  <si>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</si>
  <si>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</si>
  <si>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</si>
  <si>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</si>
  <si>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</si>
  <si>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</si>
  <si>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</si>
  <si>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</si>
  <si>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</si>
  <si>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</si>
  <si>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</si>
  <si>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</si>
  <si>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</si>
  <si>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</si>
  <si>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</si>
  <si>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</si>
  <si>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</si>
  <si>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</si>
  <si>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</si>
  <si>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</si>
  <si>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</si>
  <si>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</si>
  <si>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</si>
  <si>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</si>
  <si>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</si>
  <si>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</si>
  <si>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</si>
  <si>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</si>
  <si>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无</t>
  </si>
  <si>
    <t>现房</t>
  </si>
  <si>
    <t>通路</t>
  </si>
  <si>
    <t>通电</t>
  </si>
  <si>
    <t>通讯</t>
  </si>
  <si>
    <t>通上水</t>
  </si>
  <si>
    <t>通下水</t>
  </si>
  <si>
    <t>通热</t>
  </si>
  <si>
    <t>燃气</t>
  </si>
  <si>
    <t>是</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</si>
  <si>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</si>
  <si>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</si>
  <si>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</si>
  <si>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</si>
  <si>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</si>
  <si>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</si>
  <si>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</si>
  <si>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</si>
  <si>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</si>
  <si>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</si>
  <si>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</si>
  <si>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</si>
  <si>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</si>
  <si>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</si>
  <si>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</si>
  <si>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</si>
  <si>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</si>
  <si>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</si>
  <si>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</si>
  <si>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</si>
  <si>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</si>
  <si>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</si>
  <si>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</si>
  <si>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</si>
  <si>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</si>
  <si>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</si>
  <si>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</si>
  <si>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</si>
  <si>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</si>
  <si>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</si>
  <si>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</si>
  <si>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</si>
  <si>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</si>
  <si>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</si>
  <si>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</si>
  <si>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</si>
  <si>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</si>
  <si>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</si>
  <si>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</si>
  <si>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</si>
  <si>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</si>
  <si>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</si>
  <si>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</si>
  <si>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</si>
  <si>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</si>
  <si>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</si>
  <si>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</si>
  <si>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有</t>
    <phoneticPr fontId="6" type="noConversion"/>
  </si>
  <si>
    <t>商业项目</t>
  </si>
  <si>
    <t>美林湾</t>
    <phoneticPr fontId="3" type="noConversion"/>
  </si>
  <si>
    <t>较好</t>
    <phoneticPr fontId="31" type="noConversion"/>
  </si>
  <si>
    <t>1-2</t>
  </si>
  <si>
    <t>1-2</t>
    <phoneticPr fontId="31" type="noConversion"/>
  </si>
  <si>
    <t>独栋商业</t>
    <phoneticPr fontId="31" type="noConversion"/>
  </si>
  <si>
    <t>商业街商铺</t>
  </si>
  <si>
    <t>商业街商铺</t>
    <phoneticPr fontId="31" type="noConversion"/>
  </si>
  <si>
    <t>住宅底商</t>
  </si>
  <si>
    <t>住宅底商</t>
    <phoneticPr fontId="31" type="noConversion"/>
  </si>
  <si>
    <t>钢混</t>
    <phoneticPr fontId="31" type="noConversion"/>
  </si>
  <si>
    <t>精装</t>
  </si>
  <si>
    <t>精装</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</si>
  <si>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</si>
  <si>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</si>
  <si>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</si>
  <si>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</si>
  <si>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</si>
  <si>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</si>
  <si>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</si>
  <si>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</si>
  <si>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</si>
  <si>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</si>
  <si>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</si>
  <si>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</si>
  <si>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</si>
  <si>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</si>
  <si>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</si>
  <si>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</si>
  <si>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</si>
  <si>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</si>
  <si>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</si>
  <si>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</si>
  <si>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</si>
  <si>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</si>
  <si>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</si>
  <si>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</si>
  <si>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</si>
  <si>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</si>
  <si>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</si>
  <si>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</si>
  <si>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</si>
  <si>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</si>
  <si>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</si>
  <si>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</si>
  <si>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</si>
  <si>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</si>
  <si>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</si>
  <si>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</si>
  <si>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</si>
  <si>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</si>
  <si>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天洋置地有限公司</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</si>
  <si>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</si>
  <si>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</si>
  <si>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</si>
  <si>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</si>
  <si>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</si>
  <si>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</si>
  <si>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</si>
  <si>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</si>
  <si>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</si>
  <si>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</si>
  <si>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</si>
  <si>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</si>
  <si>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</si>
  <si>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</si>
  <si>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</si>
  <si>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</si>
  <si>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</si>
  <si>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</si>
  <si>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</si>
  <si>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</si>
  <si>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</si>
  <si>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</si>
  <si>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</si>
  <si>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</si>
  <si>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</si>
  <si>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</si>
  <si>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</si>
  <si>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</si>
  <si>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</si>
  <si>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</si>
  <si>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</si>
  <si>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</si>
  <si>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</si>
  <si>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</si>
  <si>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</si>
  <si>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</si>
  <si>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</si>
  <si>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</si>
  <si>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</si>
  <si>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</si>
  <si>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</si>
  <si>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</si>
  <si>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</si>
  <si>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</si>
  <si>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</si>
  <si>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</si>
  <si>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</si>
  <si>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</si>
  <si>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</si>
  <si>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</si>
  <si>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</si>
  <si>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</si>
  <si>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</si>
  <si>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</si>
  <si>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</si>
  <si>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</si>
  <si>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</si>
  <si>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</si>
  <si>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</si>
  <si>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</si>
  <si>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</si>
  <si>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</si>
  <si>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</si>
  <si>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</si>
  <si>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</si>
  <si>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</si>
  <si>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</si>
  <si>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</si>
  <si>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</si>
  <si>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</si>
  <si>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</si>
  <si>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</si>
  <si>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</si>
  <si>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</si>
  <si>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</si>
  <si>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</si>
  <si>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</si>
  <si>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</si>
  <si>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</si>
  <si>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</si>
  <si>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</si>
  <si>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</si>
  <si>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</si>
  <si>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</si>
  <si>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</si>
  <si>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</si>
  <si>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</si>
  <si>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</si>
  <si>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</si>
  <si>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</si>
  <si>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</si>
  <si>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</si>
  <si>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</si>
  <si>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</si>
  <si>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</si>
  <si>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</si>
  <si>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</si>
  <si>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</si>
  <si>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</si>
  <si>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</si>
  <si>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</si>
  <si>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</si>
  <si>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</si>
  <si>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</si>
  <si>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</si>
  <si>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</si>
  <si>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</si>
  <si>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</si>
  <si>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</si>
  <si>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</si>
  <si>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</si>
  <si>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</si>
  <si>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</si>
  <si>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</si>
  <si>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</si>
  <si>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</si>
  <si>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</si>
  <si>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</si>
  <si>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</si>
  <si>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</si>
  <si>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</si>
  <si>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</si>
  <si>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</si>
  <si>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</si>
  <si>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</si>
  <si>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</si>
  <si>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</si>
  <si>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</si>
  <si>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</si>
  <si>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</si>
  <si>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</si>
  <si>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</si>
  <si>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</si>
  <si>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</si>
  <si>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</si>
  <si>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</si>
  <si>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</si>
  <si>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</si>
  <si>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</si>
  <si>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</si>
  <si>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</si>
  <si>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</si>
  <si>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</si>
  <si>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</si>
  <si>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</si>
  <si>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</si>
  <si>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</si>
  <si>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</si>
  <si>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</si>
  <si>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</si>
  <si>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</si>
  <si>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</si>
  <si>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</si>
  <si>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</si>
  <si>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</si>
  <si>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</si>
  <si>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</si>
  <si>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</si>
  <si>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</si>
  <si>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</si>
  <si>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</si>
  <si>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</si>
  <si>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</si>
  <si>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</si>
  <si>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</si>
  <si>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</si>
  <si>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</si>
  <si>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</si>
  <si>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</si>
  <si>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</si>
  <si>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</si>
  <si>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</si>
  <si>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</si>
  <si>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</si>
  <si>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</si>
  <si>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</si>
  <si>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</si>
  <si>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</si>
  <si>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</si>
  <si>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</si>
  <si>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</si>
  <si>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</si>
  <si>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</si>
  <si>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</si>
  <si>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</si>
  <si>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</si>
  <si>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</si>
  <si>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</si>
  <si>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</si>
  <si>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</si>
  <si>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</si>
  <si>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</si>
  <si>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</si>
  <si>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</si>
  <si>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</si>
  <si>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</si>
  <si>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</si>
  <si>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</si>
  <si>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</si>
  <si>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</si>
  <si>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</si>
  <si>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</si>
  <si>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</si>
  <si>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</si>
  <si>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</si>
  <si>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</si>
  <si>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</si>
  <si>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</si>
  <si>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</si>
  <si>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</si>
  <si>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</si>
  <si>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</si>
  <si>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</si>
  <si>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</si>
  <si>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</si>
  <si>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</si>
  <si>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</si>
  <si>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</si>
  <si>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</si>
  <si>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</si>
  <si>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</si>
  <si>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</si>
  <si>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</si>
  <si>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</si>
  <si>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</si>
  <si>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</si>
  <si>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</si>
  <si>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</si>
  <si>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</si>
  <si>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</si>
  <si>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</si>
  <si>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</si>
  <si>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</si>
  <si>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</si>
  <si>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</si>
  <si>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</si>
  <si>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</si>
  <si>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</si>
  <si>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</si>
  <si>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</si>
  <si>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</si>
  <si>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</si>
  <si>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</si>
  <si>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</si>
  <si>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</si>
  <si>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</si>
  <si>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</si>
  <si>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</si>
  <si>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</si>
  <si>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</si>
  <si>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</si>
  <si>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</si>
  <si>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</si>
  <si>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</si>
  <si>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</si>
  <si>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</si>
  <si>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</si>
  <si>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</si>
  <si>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</si>
  <si>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</si>
  <si>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</si>
  <si>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</si>
  <si>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</si>
  <si>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</si>
  <si>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</si>
  <si>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</si>
  <si>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</si>
  <si>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</si>
  <si>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</si>
  <si>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</si>
  <si>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</si>
  <si>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</si>
  <si>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</si>
  <si>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</si>
  <si>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</si>
  <si>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</si>
  <si>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</si>
  <si>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</si>
  <si>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</si>
  <si>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</si>
  <si>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</si>
  <si>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</si>
  <si>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</si>
  <si>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</si>
  <si>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</si>
  <si>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</si>
  <si>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</si>
  <si>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</si>
  <si>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</si>
  <si>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</si>
  <si>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</si>
  <si>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</si>
  <si>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</si>
  <si>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</si>
  <si>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</si>
  <si>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</si>
  <si>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</si>
  <si>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</si>
  <si>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</si>
  <si>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</si>
  <si>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</si>
  <si>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</si>
  <si>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</si>
  <si>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</si>
  <si>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</si>
  <si>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</si>
  <si>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</si>
  <si>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</si>
  <si>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</si>
  <si>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</si>
  <si>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</si>
  <si>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</si>
  <si>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</si>
  <si>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</si>
  <si>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</si>
  <si>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</si>
  <si>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</si>
  <si>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</si>
  <si>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</si>
  <si>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</si>
  <si>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</si>
  <si>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</si>
  <si>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</si>
  <si>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</si>
  <si>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</si>
  <si>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</si>
  <si>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</si>
  <si>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</si>
  <si>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</si>
  <si>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</si>
  <si>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</si>
  <si>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</si>
  <si>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</si>
  <si>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</si>
  <si>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</si>
  <si>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</si>
  <si>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</si>
  <si>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</si>
  <si>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</si>
  <si>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</si>
  <si>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</si>
  <si>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</si>
  <si>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</si>
  <si>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</si>
  <si>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</si>
  <si>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</si>
  <si>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</si>
  <si>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</si>
  <si>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</si>
  <si>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</si>
  <si>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</si>
  <si>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</si>
  <si>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</si>
  <si>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</si>
  <si>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</si>
  <si>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</si>
  <si>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</si>
  <si>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</si>
  <si>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</si>
  <si>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</si>
  <si>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</si>
  <si>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</si>
  <si>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</si>
  <si>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</si>
  <si>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</si>
  <si>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</si>
  <si>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</si>
  <si>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</si>
  <si>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</si>
  <si>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</si>
  <si>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</si>
  <si>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</si>
  <si>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</si>
  <si>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</si>
  <si>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</si>
  <si>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</si>
  <si>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</si>
  <si>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</si>
  <si>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</si>
  <si>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</si>
  <si>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</si>
  <si>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</si>
  <si>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</si>
  <si>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</si>
  <si>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</si>
  <si>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</si>
  <si>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</si>
  <si>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</si>
  <si>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</si>
  <si>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</si>
  <si>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</si>
  <si>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</si>
  <si>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</si>
  <si>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</si>
  <si>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</si>
  <si>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</si>
  <si>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</si>
  <si>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</si>
  <si>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</si>
  <si>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</si>
  <si>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</si>
  <si>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</si>
  <si>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</si>
  <si>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</si>
  <si>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</si>
  <si>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</si>
  <si>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</si>
  <si>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</si>
  <si>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</si>
  <si>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</si>
  <si>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</si>
  <si>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</si>
  <si>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</si>
  <si>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</si>
  <si>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</si>
  <si>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</si>
  <si>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</si>
  <si>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</si>
  <si>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</si>
  <si>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</si>
  <si>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</si>
  <si>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</si>
  <si>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</si>
  <si>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</si>
  <si>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</si>
  <si>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</si>
  <si>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</si>
  <si>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</si>
  <si>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</si>
  <si>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</si>
  <si>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</si>
  <si>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</si>
  <si>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</si>
  <si>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</si>
  <si>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</si>
  <si>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</si>
  <si>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</si>
  <si>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</si>
  <si>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</si>
  <si>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</si>
  <si>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</si>
  <si>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</si>
  <si>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</si>
  <si>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</si>
  <si>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</si>
  <si>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</si>
  <si>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</si>
  <si>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</si>
  <si>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</si>
  <si>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</si>
  <si>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</si>
  <si>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</si>
  <si>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</si>
  <si>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</si>
  <si>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</si>
  <si>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</si>
  <si>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</si>
  <si>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</si>
  <si>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</si>
  <si>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</si>
  <si>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</si>
  <si>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</si>
  <si>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</si>
  <si>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</si>
  <si>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</si>
  <si>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</si>
  <si>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</si>
  <si>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</si>
  <si>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</si>
  <si>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</si>
  <si>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</si>
  <si>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</si>
  <si>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</si>
  <si>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</si>
  <si>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</si>
  <si>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</si>
  <si>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</si>
  <si>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</si>
  <si>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</si>
  <si>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</si>
  <si>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</si>
  <si>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</si>
  <si>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</si>
  <si>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</si>
  <si>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</si>
  <si>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</si>
  <si>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</si>
  <si>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</si>
  <si>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</si>
  <si>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</si>
  <si>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</si>
  <si>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</si>
  <si>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</si>
  <si>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</si>
  <si>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</si>
  <si>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</si>
  <si>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</si>
  <si>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</si>
  <si>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</si>
  <si>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</si>
  <si>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</si>
  <si>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</si>
  <si>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</si>
  <si>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</si>
  <si>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</si>
  <si>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</si>
  <si>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</si>
  <si>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</si>
  <si>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</si>
  <si>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</si>
  <si>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</si>
  <si>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</si>
  <si>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</si>
  <si>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</si>
  <si>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</si>
  <si>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</si>
  <si>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</si>
  <si>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</si>
  <si>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</si>
  <si>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</si>
  <si>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</si>
  <si>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</si>
  <si>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</si>
  <si>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</si>
  <si>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</si>
  <si>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</si>
  <si>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</si>
  <si>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</si>
  <si>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</si>
  <si>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</si>
  <si>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</si>
  <si>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</si>
  <si>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</si>
  <si>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</si>
  <si>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</si>
  <si>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</si>
  <si>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</si>
  <si>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</si>
  <si>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</si>
  <si>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</si>
  <si>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</si>
  <si>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</si>
  <si>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</si>
  <si>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</si>
  <si>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</si>
  <si>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</si>
  <si>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</si>
  <si>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</si>
  <si>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</si>
  <si>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</si>
  <si>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</si>
  <si>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</si>
  <si>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</si>
  <si>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</si>
  <si>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</si>
  <si>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</si>
  <si>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</si>
  <si>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</si>
  <si>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</si>
  <si>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</si>
  <si>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</si>
  <si>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</si>
  <si>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</si>
  <si>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</si>
  <si>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</si>
  <si>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</si>
  <si>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</si>
  <si>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</si>
  <si>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</si>
  <si>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</si>
  <si>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</si>
  <si>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</si>
  <si>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</si>
  <si>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</si>
  <si>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</si>
  <si>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</si>
  <si>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</si>
  <si>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</si>
  <si>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</si>
  <si>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</si>
  <si>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</si>
  <si>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</si>
  <si>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</si>
  <si>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</si>
  <si>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</si>
  <si>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</si>
  <si>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</si>
  <si>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</si>
  <si>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</si>
  <si>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</si>
  <si>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</si>
  <si>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</si>
  <si>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</si>
  <si>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</si>
  <si>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</si>
  <si>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</si>
  <si>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</si>
  <si>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</si>
  <si>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</si>
  <si>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</si>
  <si>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</si>
  <si>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</si>
  <si>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</si>
  <si>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</si>
  <si>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</si>
  <si>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</si>
  <si>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</si>
  <si>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</si>
  <si>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</si>
  <si>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</si>
  <si>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</si>
  <si>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</si>
  <si>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</si>
  <si>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</si>
  <si>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</si>
  <si>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</si>
  <si>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</si>
  <si>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</si>
  <si>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</si>
  <si>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</si>
  <si>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</si>
  <si>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</si>
  <si>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</si>
  <si>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</si>
  <si>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</si>
  <si>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</si>
  <si>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</si>
  <si>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</si>
  <si>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</si>
  <si>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</si>
  <si>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</si>
  <si>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</si>
  <si>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</si>
  <si>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</si>
  <si>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</si>
  <si>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</si>
  <si>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</si>
  <si>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</si>
  <si>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</si>
  <si>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</si>
  <si>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</si>
  <si>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</si>
  <si>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</si>
  <si>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</si>
  <si>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</si>
  <si>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</si>
  <si>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</si>
  <si>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</si>
  <si>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</si>
  <si>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</si>
  <si>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</si>
  <si>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</si>
  <si>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</si>
  <si>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</si>
  <si>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</si>
  <si>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</si>
  <si>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</si>
  <si>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</si>
  <si>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</si>
  <si>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</si>
  <si>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</si>
  <si>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</si>
  <si>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</si>
  <si>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</si>
  <si>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</si>
  <si>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</si>
  <si>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</si>
  <si>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</si>
  <si>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</si>
  <si>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</si>
  <si>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</si>
  <si>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</si>
  <si>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</si>
  <si>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</si>
  <si>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</si>
  <si>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</si>
  <si>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</si>
  <si>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</si>
  <si>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</si>
  <si>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</si>
  <si>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</si>
  <si>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</si>
  <si>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</si>
  <si>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</si>
  <si>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</si>
  <si>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</si>
  <si>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</si>
  <si>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</si>
  <si>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</si>
  <si>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</si>
  <si>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</si>
  <si>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</si>
  <si>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</si>
  <si>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</si>
  <si>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</si>
  <si>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</si>
  <si>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</si>
  <si>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</si>
  <si>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</si>
  <si>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</si>
  <si>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</si>
  <si>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</si>
  <si>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</si>
  <si>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</si>
  <si>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</si>
  <si>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</si>
  <si>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</si>
  <si>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</si>
  <si>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</si>
  <si>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</si>
  <si>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</si>
  <si>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</si>
  <si>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</si>
  <si>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</si>
  <si>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</si>
  <si>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</si>
  <si>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</si>
  <si>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</si>
  <si>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</si>
  <si>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</si>
  <si>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</si>
  <si>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</si>
  <si>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</si>
  <si>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</si>
  <si>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</si>
  <si>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</si>
  <si>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</si>
  <si>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</si>
  <si>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</si>
  <si>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</si>
  <si>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</si>
  <si>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</si>
  <si>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</si>
  <si>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</si>
  <si>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</si>
  <si>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</si>
  <si>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</si>
  <si>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</si>
  <si>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</si>
  <si>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</si>
  <si>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</si>
  <si>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</si>
  <si>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</si>
  <si>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</si>
  <si>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</si>
  <si>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B馆一层</t>
  </si>
  <si>
    <t>B馆二层</t>
  </si>
  <si>
    <t>B馆三层</t>
  </si>
  <si>
    <t>B馆四层</t>
  </si>
  <si>
    <t>年租金</t>
    <phoneticPr fontId="143" type="noConversion"/>
  </si>
  <si>
    <t xml:space="preserve"> </t>
    <phoneticPr fontId="143" type="noConversion"/>
  </si>
  <si>
    <t>面积合计</t>
    <phoneticPr fontId="143" type="noConversion"/>
  </si>
  <si>
    <t>年租金合计</t>
    <phoneticPr fontId="143" type="noConversion"/>
  </si>
  <si>
    <t>日租金</t>
    <phoneticPr fontId="143" type="noConversion"/>
  </si>
  <si>
    <t>一层</t>
    <phoneticPr fontId="143" type="noConversion"/>
  </si>
  <si>
    <t>二层</t>
    <phoneticPr fontId="143" type="noConversion"/>
  </si>
  <si>
    <t>三层</t>
    <phoneticPr fontId="143" type="noConversion"/>
  </si>
  <si>
    <t>四层</t>
    <phoneticPr fontId="143" type="noConversion"/>
  </si>
  <si>
    <t xml:space="preserve"> </t>
    <phoneticPr fontId="3" type="noConversion"/>
  </si>
  <si>
    <t>好</t>
  </si>
  <si>
    <t>购物中心</t>
  </si>
  <si>
    <t>购物中心</t>
    <phoneticPr fontId="31" type="noConversion"/>
  </si>
  <si>
    <r>
      <t>29.71</t>
    </r>
    <r>
      <rPr>
        <sz val="12"/>
        <color theme="9" tint="-0.249977111117893"/>
        <rFont val="宋体"/>
        <family val="3"/>
        <charset val="134"/>
      </rPr>
      <t>年</t>
    </r>
    <phoneticPr fontId="6" type="noConversion"/>
  </si>
  <si>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</si>
  <si>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</si>
  <si>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20-30（含）</t>
  </si>
  <si>
    <t xml:space="preserve"> </t>
    <phoneticPr fontId="31" type="noConversion"/>
  </si>
  <si>
    <t>写字楼底商</t>
    <phoneticPr fontId="31" type="noConversion"/>
  </si>
  <si>
    <t>已注销</t>
  </si>
  <si>
    <t>普通装修</t>
  </si>
  <si>
    <t>自定义</t>
  </si>
  <si>
    <t>http://www.010lf.com/news/2017/07/27/191900.html</t>
    <phoneticPr fontId="143" type="noConversion"/>
  </si>
  <si>
    <t>2017-1-1008-P01DYGJ1</t>
    <phoneticPr fontId="3" type="noConversion"/>
  </si>
  <si>
    <t>廊坊市三河市燕郊开发区规划路南北两侧天洋城天洋广场地下商业</t>
    <phoneticPr fontId="3" type="noConversion"/>
  </si>
  <si>
    <t>《房屋所有权证》[三河市房权证燕字第183316号]</t>
    <phoneticPr fontId="3" type="noConversion"/>
  </si>
  <si>
    <t>《国有土地使用权》[三国用（燕开）第2010-026、029号]</t>
    <phoneticPr fontId="3" type="noConversion"/>
  </si>
  <si>
    <t>测绘报告面积表</t>
  </si>
  <si>
    <t>层次</t>
  </si>
  <si>
    <t>楼号</t>
  </si>
  <si>
    <t>房屋用途</t>
  </si>
  <si>
    <t>规划建筑面积</t>
  </si>
  <si>
    <t>-03、-01</t>
  </si>
  <si>
    <t>地下停车场</t>
  </si>
  <si>
    <t>-02、-01</t>
  </si>
  <si>
    <t>地下商业</t>
  </si>
  <si>
    <t>01-04</t>
  </si>
  <si>
    <t>南侧</t>
  </si>
  <si>
    <t>北侧</t>
  </si>
  <si>
    <t>总套数</t>
  </si>
  <si>
    <t>总建筑面积</t>
  </si>
  <si>
    <t>07</t>
  </si>
  <si>
    <t>2#</t>
  </si>
  <si>
    <t>公寓</t>
  </si>
  <si>
    <t>08-11</t>
  </si>
  <si>
    <t>12-24</t>
  </si>
  <si>
    <t>25-29</t>
  </si>
  <si>
    <t>30-31</t>
  </si>
  <si>
    <t>05</t>
  </si>
  <si>
    <t>3#</t>
  </si>
  <si>
    <t>06-14</t>
  </si>
  <si>
    <t>15-31</t>
  </si>
  <si>
    <t>南区公寓小计</t>
  </si>
  <si>
    <t>1#</t>
  </si>
  <si>
    <t>06-09</t>
  </si>
  <si>
    <t>10-29</t>
  </si>
  <si>
    <t>4#</t>
  </si>
  <si>
    <t>06-29</t>
  </si>
  <si>
    <t>北区公寓小计</t>
  </si>
  <si>
    <t>南区地上建面合计</t>
  </si>
  <si>
    <t>北区地上建面合计</t>
  </si>
  <si>
    <t>天洋地下商业</t>
  </si>
  <si>
    <t>容积率</t>
  </si>
  <si>
    <t>总土地面积</t>
  </si>
  <si>
    <t>建成年代</t>
  </si>
  <si>
    <t>价值时点</t>
  </si>
  <si>
    <t>地类/规划</t>
  </si>
  <si>
    <t>终止日期</t>
  </si>
  <si>
    <t>剩余土地年限</t>
  </si>
  <si>
    <t>直线折旧</t>
  </si>
  <si>
    <t>层数</t>
  </si>
  <si>
    <t>南区分摊地下停车场建面</t>
  </si>
  <si>
    <t>住宅/商业</t>
  </si>
  <si>
    <t>地下1-2</t>
  </si>
  <si>
    <t>北区分摊地下停车场建面</t>
  </si>
  <si>
    <t>南区分摊地下商业建面</t>
  </si>
  <si>
    <t>北区分摊地下商业建面</t>
  </si>
  <si>
    <t>南区建筑面积合计</t>
  </si>
  <si>
    <t>北区建筑面积合计</t>
  </si>
  <si>
    <t>三河天洋广场商业管理有限公司　</t>
    <phoneticPr fontId="256" type="noConversion"/>
  </si>
  <si>
    <t xml:space="preserve">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</si>
  <si>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</si>
  <si>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</si>
  <si>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</si>
  <si>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</si>
  <si>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</si>
  <si>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</si>
  <si>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</si>
  <si>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</si>
  <si>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</si>
  <si>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</si>
  <si>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</si>
  <si>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</si>
  <si>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进场日</t>
    <phoneticPr fontId="256" type="noConversion"/>
  </si>
  <si>
    <t>计租日</t>
    <phoneticPr fontId="256" type="noConversion"/>
  </si>
  <si>
    <t>租金单价</t>
  </si>
  <si>
    <t>合计</t>
    <phoneticPr fontId="3" type="noConversion"/>
  </si>
  <si>
    <t>装修期物业费</t>
    <phoneticPr fontId="256" type="noConversion"/>
  </si>
  <si>
    <t>租金</t>
    <phoneticPr fontId="256" type="noConversion"/>
  </si>
  <si>
    <t>物业费</t>
    <phoneticPr fontId="256" type="noConversion"/>
  </si>
  <si>
    <t>服装、服饰</t>
    <phoneticPr fontId="3" type="noConversion"/>
  </si>
  <si>
    <t>朱晓强</t>
    <phoneticPr fontId="3" type="noConversion"/>
  </si>
  <si>
    <t>陈思</t>
    <phoneticPr fontId="3" type="noConversion"/>
  </si>
  <si>
    <t>租赁-固定租金</t>
    <phoneticPr fontId="3" type="noConversion"/>
  </si>
  <si>
    <t>T.N.N</t>
    <phoneticPr fontId="3" type="noConversion"/>
  </si>
  <si>
    <t>17718470729</t>
    <phoneticPr fontId="3" type="noConversion"/>
  </si>
  <si>
    <t>C馆地下</t>
    <phoneticPr fontId="3" type="noConversion"/>
  </si>
  <si>
    <t>C馆地下一层</t>
    <phoneticPr fontId="3" type="noConversion"/>
  </si>
  <si>
    <t>FB1-01</t>
    <phoneticPr fontId="3" type="noConversion"/>
  </si>
  <si>
    <t>1</t>
    <phoneticPr fontId="3" type="noConversion"/>
  </si>
  <si>
    <t>按季支付</t>
    <phoneticPr fontId="3" type="noConversion"/>
  </si>
  <si>
    <t>饰品、配饰</t>
    <phoneticPr fontId="3" type="noConversion"/>
  </si>
  <si>
    <t>井文超</t>
    <phoneticPr fontId="3" type="noConversion"/>
  </si>
  <si>
    <t>可莱玛</t>
    <phoneticPr fontId="3" type="noConversion"/>
  </si>
  <si>
    <t>18232693682</t>
    <phoneticPr fontId="3" type="noConversion"/>
  </si>
  <si>
    <t>FB1-02</t>
    <phoneticPr fontId="3" type="noConversion"/>
  </si>
  <si>
    <t>男装</t>
    <phoneticPr fontId="3" type="noConversion"/>
  </si>
  <si>
    <t>李遵敬</t>
    <phoneticPr fontId="3" type="noConversion"/>
  </si>
  <si>
    <t>宝马</t>
    <phoneticPr fontId="3" type="noConversion"/>
  </si>
  <si>
    <t>李遵敬</t>
    <phoneticPr fontId="3" type="noConversion"/>
  </si>
  <si>
    <t>13611277989</t>
    <phoneticPr fontId="3" type="noConversion"/>
  </si>
  <si>
    <t>C馆地下</t>
    <phoneticPr fontId="3" type="noConversion"/>
  </si>
  <si>
    <t>C馆地下一层</t>
    <phoneticPr fontId="3" type="noConversion"/>
  </si>
  <si>
    <t>FB1-04</t>
    <phoneticPr fontId="3" type="noConversion"/>
  </si>
  <si>
    <t>1</t>
    <phoneticPr fontId="3" type="noConversion"/>
  </si>
  <si>
    <t>按季支付</t>
    <phoneticPr fontId="3" type="noConversion"/>
  </si>
  <si>
    <t>男装</t>
    <phoneticPr fontId="3" type="noConversion"/>
  </si>
  <si>
    <t>朱晓强</t>
    <phoneticPr fontId="3" type="noConversion"/>
  </si>
  <si>
    <t>赵凤连</t>
    <phoneticPr fontId="3" type="noConversion"/>
  </si>
  <si>
    <t>租赁-固定租金</t>
    <phoneticPr fontId="3" type="noConversion"/>
  </si>
  <si>
    <t>霸主</t>
    <phoneticPr fontId="3" type="noConversion"/>
  </si>
  <si>
    <t>FB1-05</t>
    <phoneticPr fontId="3" type="noConversion"/>
  </si>
  <si>
    <t>2</t>
    <phoneticPr fontId="3" type="noConversion"/>
  </si>
  <si>
    <t>内衣</t>
    <phoneticPr fontId="3" type="noConversion"/>
  </si>
  <si>
    <t>王子斌</t>
    <phoneticPr fontId="3" type="noConversion"/>
  </si>
  <si>
    <t>张立伟</t>
    <phoneticPr fontId="3" type="noConversion"/>
  </si>
  <si>
    <t>爱戴</t>
    <phoneticPr fontId="3" type="noConversion"/>
  </si>
  <si>
    <t>13522282635</t>
    <phoneticPr fontId="3" type="noConversion"/>
  </si>
  <si>
    <t>FB1-08</t>
    <phoneticPr fontId="3" type="noConversion"/>
  </si>
  <si>
    <t>内衣家居</t>
    <phoneticPr fontId="3" type="noConversion"/>
  </si>
  <si>
    <t>刘侠</t>
    <phoneticPr fontId="3" type="noConversion"/>
  </si>
  <si>
    <t>诗曼芬</t>
    <phoneticPr fontId="3" type="noConversion"/>
  </si>
  <si>
    <t>13393261900</t>
    <phoneticPr fontId="3" type="noConversion"/>
  </si>
  <si>
    <t>FB1-09</t>
    <phoneticPr fontId="3" type="noConversion"/>
  </si>
  <si>
    <t>张娟</t>
    <phoneticPr fontId="3" type="noConversion"/>
  </si>
  <si>
    <t>安丽丝</t>
    <phoneticPr fontId="3" type="noConversion"/>
  </si>
  <si>
    <t>18831665553</t>
    <phoneticPr fontId="3" type="noConversion"/>
  </si>
  <si>
    <t>FB1-10</t>
    <phoneticPr fontId="3" type="noConversion"/>
  </si>
  <si>
    <t>服装服饰</t>
    <phoneticPr fontId="3" type="noConversion"/>
  </si>
  <si>
    <t>孙慧娟</t>
    <phoneticPr fontId="3" type="noConversion"/>
  </si>
  <si>
    <t>幽炫</t>
    <phoneticPr fontId="3" type="noConversion"/>
  </si>
  <si>
    <t>15100613690</t>
    <phoneticPr fontId="3" type="noConversion"/>
  </si>
  <si>
    <t>FB1-11</t>
    <phoneticPr fontId="3" type="noConversion"/>
  </si>
  <si>
    <t>林燕柯</t>
    <phoneticPr fontId="3" type="noConversion"/>
  </si>
  <si>
    <t>相约四季</t>
    <phoneticPr fontId="3" type="noConversion"/>
  </si>
  <si>
    <t>13513376083</t>
    <phoneticPr fontId="3" type="noConversion"/>
  </si>
  <si>
    <t>FB1-12</t>
    <phoneticPr fontId="3" type="noConversion"/>
  </si>
  <si>
    <t>李榕</t>
    <phoneticPr fontId="3" type="noConversion"/>
  </si>
  <si>
    <t>寻依</t>
    <phoneticPr fontId="3" type="noConversion"/>
  </si>
  <si>
    <t>18333605025</t>
    <phoneticPr fontId="3" type="noConversion"/>
  </si>
  <si>
    <t>FB1-13</t>
    <phoneticPr fontId="3" type="noConversion"/>
  </si>
  <si>
    <t>王润娥</t>
    <phoneticPr fontId="3" type="noConversion"/>
  </si>
  <si>
    <t>水之恋/NIKEWEI</t>
    <phoneticPr fontId="3" type="noConversion"/>
  </si>
  <si>
    <t>15600170400</t>
    <phoneticPr fontId="3" type="noConversion"/>
  </si>
  <si>
    <t>FB1-15</t>
    <phoneticPr fontId="3" type="noConversion"/>
  </si>
  <si>
    <t>张玉杰</t>
    <phoneticPr fontId="3" type="noConversion"/>
  </si>
  <si>
    <t>耐尔</t>
    <phoneticPr fontId="3" type="noConversion"/>
  </si>
  <si>
    <t>13520273585</t>
    <phoneticPr fontId="3" type="noConversion"/>
  </si>
  <si>
    <t>FB1-16</t>
  </si>
  <si>
    <t>商业连锁经营活动</t>
    <phoneticPr fontId="3" type="noConversion"/>
  </si>
  <si>
    <t>天洋置地</t>
    <phoneticPr fontId="3" type="noConversion"/>
  </si>
  <si>
    <t>三河物美商业有限公司</t>
    <phoneticPr fontId="3" type="noConversion"/>
  </si>
  <si>
    <t>物美超市</t>
    <phoneticPr fontId="3" type="noConversion"/>
  </si>
  <si>
    <t>许万明/吴坚忠</t>
    <phoneticPr fontId="3" type="noConversion"/>
  </si>
  <si>
    <t>010-88259488/13832647365财务</t>
    <phoneticPr fontId="3" type="noConversion"/>
  </si>
  <si>
    <t>C馆地下二层</t>
    <phoneticPr fontId="3" type="noConversion"/>
  </si>
  <si>
    <t>FB2</t>
    <phoneticPr fontId="3" type="noConversion"/>
  </si>
  <si>
    <t>12年</t>
    <phoneticPr fontId="3" type="noConversion"/>
  </si>
  <si>
    <t>每三年</t>
    <phoneticPr fontId="3" type="noConversion"/>
  </si>
  <si>
    <t>台球娱乐</t>
    <phoneticPr fontId="3" type="noConversion"/>
  </si>
  <si>
    <t>李宇峰</t>
    <phoneticPr fontId="3" type="noConversion"/>
  </si>
  <si>
    <t>劳伦斯台球</t>
    <phoneticPr fontId="3" type="noConversion"/>
  </si>
  <si>
    <t>13911888468</t>
    <phoneticPr fontId="3" type="noConversion"/>
  </si>
  <si>
    <t>FB2-01-02-03-04-05/FB2-52-01-02-03-04/FB2-15/14/FB2-12</t>
    <phoneticPr fontId="3" type="noConversion"/>
  </si>
  <si>
    <t>8</t>
    <phoneticPr fontId="3" type="noConversion"/>
  </si>
  <si>
    <t>每两年</t>
    <phoneticPr fontId="3" type="noConversion"/>
  </si>
  <si>
    <t>美手、指甲护理、配饰</t>
    <phoneticPr fontId="3" type="noConversion"/>
  </si>
  <si>
    <t>西奇</t>
    <phoneticPr fontId="3" type="noConversion"/>
  </si>
  <si>
    <t>王英</t>
    <phoneticPr fontId="3" type="noConversion"/>
  </si>
  <si>
    <t>LOVE尚</t>
    <phoneticPr fontId="3" type="noConversion"/>
  </si>
  <si>
    <t>韩东旭</t>
    <phoneticPr fontId="3" type="noConversion"/>
  </si>
  <si>
    <t>15350683248/18631619252</t>
    <phoneticPr fontId="3" type="noConversion"/>
  </si>
  <si>
    <t>FB2-20</t>
    <phoneticPr fontId="3" type="noConversion"/>
  </si>
  <si>
    <t>2年4个月11天</t>
    <phoneticPr fontId="3" type="noConversion"/>
  </si>
  <si>
    <t>手机电脑配件</t>
    <phoneticPr fontId="3" type="noConversion"/>
  </si>
  <si>
    <t>冯杰</t>
    <phoneticPr fontId="3" type="noConversion"/>
  </si>
  <si>
    <t>赵海洋</t>
    <phoneticPr fontId="3" type="noConversion"/>
  </si>
  <si>
    <t>潮洋易站</t>
    <phoneticPr fontId="3" type="noConversion"/>
  </si>
  <si>
    <t>15600221116</t>
    <phoneticPr fontId="3" type="noConversion"/>
  </si>
  <si>
    <t>FB2-21-1</t>
    <phoneticPr fontId="3" type="noConversion"/>
  </si>
  <si>
    <t>2年5个月</t>
    <phoneticPr fontId="3" type="noConversion"/>
  </si>
  <si>
    <t>美甲、美饰</t>
    <phoneticPr fontId="3" type="noConversion"/>
  </si>
  <si>
    <t>王晨</t>
    <phoneticPr fontId="3" type="noConversion"/>
  </si>
  <si>
    <t>李海健</t>
    <phoneticPr fontId="3" type="noConversion"/>
  </si>
  <si>
    <t>甲如爱</t>
    <phoneticPr fontId="3" type="noConversion"/>
  </si>
  <si>
    <t>李海建</t>
    <phoneticPr fontId="3" type="noConversion"/>
  </si>
  <si>
    <t>15100716019</t>
    <phoneticPr fontId="3" type="noConversion"/>
  </si>
  <si>
    <t>FB2-33</t>
    <phoneticPr fontId="3" type="noConversion"/>
  </si>
  <si>
    <t>2</t>
    <phoneticPr fontId="3" type="noConversion"/>
  </si>
  <si>
    <t>俏丽美甲美睫</t>
    <phoneticPr fontId="3" type="noConversion"/>
  </si>
  <si>
    <t>张朋</t>
    <phoneticPr fontId="3" type="noConversion"/>
  </si>
  <si>
    <t>赵丽丽</t>
    <phoneticPr fontId="3" type="noConversion"/>
  </si>
  <si>
    <t>13146023151</t>
    <phoneticPr fontId="3" type="noConversion"/>
  </si>
  <si>
    <t>FB2-34</t>
    <phoneticPr fontId="3" type="noConversion"/>
  </si>
  <si>
    <t>王雅男</t>
    <phoneticPr fontId="3" type="noConversion"/>
  </si>
  <si>
    <t>杜晓珍</t>
    <phoneticPr fontId="3" type="noConversion"/>
  </si>
  <si>
    <t>魅甲美饰</t>
    <phoneticPr fontId="3" type="noConversion"/>
  </si>
  <si>
    <t>15030608246</t>
    <phoneticPr fontId="3" type="noConversion"/>
  </si>
  <si>
    <t>FB2-35</t>
    <phoneticPr fontId="3" type="noConversion"/>
  </si>
  <si>
    <t>李超</t>
    <phoneticPr fontId="3" type="noConversion"/>
  </si>
  <si>
    <t>王青</t>
    <phoneticPr fontId="3" type="noConversion"/>
  </si>
  <si>
    <t>韩国服饰</t>
    <phoneticPr fontId="3" type="noConversion"/>
  </si>
  <si>
    <t>18810590283</t>
    <phoneticPr fontId="3" type="noConversion"/>
  </si>
  <si>
    <t>FB2-36</t>
  </si>
  <si>
    <t>美甲</t>
    <phoneticPr fontId="3" type="noConversion"/>
  </si>
  <si>
    <t>段海凤</t>
    <phoneticPr fontId="3" type="noConversion"/>
  </si>
  <si>
    <t>甲之梦（爱吾指境）</t>
    <phoneticPr fontId="3" type="noConversion"/>
  </si>
  <si>
    <t>18691112727</t>
    <phoneticPr fontId="3" type="noConversion"/>
  </si>
  <si>
    <t>FB2-37</t>
    <phoneticPr fontId="3" type="noConversion"/>
  </si>
  <si>
    <t>2年8个月</t>
    <phoneticPr fontId="3" type="noConversion"/>
  </si>
  <si>
    <t>陈雨</t>
    <phoneticPr fontId="3" type="noConversion"/>
  </si>
  <si>
    <t>Y&amp;R</t>
    <phoneticPr fontId="3" type="noConversion"/>
  </si>
  <si>
    <t>13731626213</t>
    <phoneticPr fontId="3" type="noConversion"/>
  </si>
  <si>
    <t>FB2-38</t>
    <phoneticPr fontId="3" type="noConversion"/>
  </si>
  <si>
    <t>日用百货、食品、化妆品</t>
    <phoneticPr fontId="3" type="noConversion"/>
  </si>
  <si>
    <t>金京爱</t>
    <phoneticPr fontId="3" type="noConversion"/>
  </si>
  <si>
    <t>三河市乐之惠商店</t>
    <phoneticPr fontId="3" type="noConversion"/>
  </si>
  <si>
    <t>18618120265/20267</t>
    <phoneticPr fontId="3" type="noConversion"/>
  </si>
  <si>
    <t>FB2-39</t>
    <phoneticPr fontId="3" type="noConversion"/>
  </si>
  <si>
    <t>化妆品、服装、家居、童装、玩具</t>
    <phoneticPr fontId="3" type="noConversion"/>
  </si>
  <si>
    <t>嘉亿引领</t>
    <phoneticPr fontId="3" type="noConversion"/>
  </si>
  <si>
    <t>金爱珍</t>
    <phoneticPr fontId="3" type="noConversion"/>
  </si>
  <si>
    <t>美燕韩国中国用品店</t>
    <phoneticPr fontId="3" type="noConversion"/>
  </si>
  <si>
    <t>13311033392</t>
    <phoneticPr fontId="3" type="noConversion"/>
  </si>
  <si>
    <t>C馆地下二层</t>
    <phoneticPr fontId="3" type="noConversion"/>
  </si>
  <si>
    <t>FB2-40</t>
    <phoneticPr fontId="3" type="noConversion"/>
  </si>
  <si>
    <t>2年8个月</t>
    <phoneticPr fontId="3" type="noConversion"/>
  </si>
  <si>
    <t>陈静</t>
    <phoneticPr fontId="3" type="noConversion"/>
  </si>
  <si>
    <t>周厚春</t>
    <phoneticPr fontId="3" type="noConversion"/>
  </si>
  <si>
    <t>韩城新动力</t>
    <phoneticPr fontId="3" type="noConversion"/>
  </si>
  <si>
    <t>13403162840</t>
    <phoneticPr fontId="3" type="noConversion"/>
  </si>
  <si>
    <t>FB2-40-1</t>
    <phoneticPr fontId="3" type="noConversion"/>
  </si>
  <si>
    <t>1+1+1</t>
    <phoneticPr fontId="3" type="noConversion"/>
  </si>
  <si>
    <t>床品</t>
    <phoneticPr fontId="3" type="noConversion"/>
  </si>
  <si>
    <t>陈静</t>
    <phoneticPr fontId="3" type="noConversion"/>
  </si>
  <si>
    <t>林晓飞</t>
    <phoneticPr fontId="3" type="noConversion"/>
  </si>
  <si>
    <t>心愿家纺</t>
    <phoneticPr fontId="3" type="noConversion"/>
  </si>
  <si>
    <t>林晓飞</t>
    <phoneticPr fontId="3" type="noConversion"/>
  </si>
  <si>
    <t>15832610951</t>
    <phoneticPr fontId="3" type="noConversion"/>
  </si>
  <si>
    <t>C馆地下</t>
    <phoneticPr fontId="3" type="noConversion"/>
  </si>
  <si>
    <t>C馆地下二层</t>
    <phoneticPr fontId="3" type="noConversion"/>
  </si>
  <si>
    <t>FB2-40-2</t>
    <phoneticPr fontId="3" type="noConversion"/>
  </si>
  <si>
    <t>1+1+1</t>
    <phoneticPr fontId="3" type="noConversion"/>
  </si>
  <si>
    <t>按季支付</t>
    <phoneticPr fontId="3" type="noConversion"/>
  </si>
  <si>
    <t>服装服饰</t>
    <phoneticPr fontId="3" type="noConversion"/>
  </si>
  <si>
    <t>王子斌</t>
    <phoneticPr fontId="3" type="noConversion"/>
  </si>
  <si>
    <t>焦夏夏</t>
    <phoneticPr fontId="3" type="noConversion"/>
  </si>
  <si>
    <t>租赁-固定租金</t>
    <phoneticPr fontId="3" type="noConversion"/>
  </si>
  <si>
    <t>派丽佳人</t>
    <phoneticPr fontId="3" type="noConversion"/>
  </si>
  <si>
    <t>18611726780</t>
    <phoneticPr fontId="3" type="noConversion"/>
  </si>
  <si>
    <t>FB2-40-3</t>
    <phoneticPr fontId="3" type="noConversion"/>
  </si>
  <si>
    <t>1年+1年+1年</t>
    <phoneticPr fontId="3" type="noConversion"/>
  </si>
  <si>
    <t>服装</t>
    <phoneticPr fontId="3" type="noConversion"/>
  </si>
  <si>
    <t>徐阳</t>
    <phoneticPr fontId="3" type="noConversion"/>
  </si>
  <si>
    <t>魏春伶</t>
    <phoneticPr fontId="3" type="noConversion"/>
  </si>
  <si>
    <t>小柒家</t>
    <phoneticPr fontId="3" type="noConversion"/>
  </si>
  <si>
    <t>魏春伶</t>
    <phoneticPr fontId="3" type="noConversion"/>
  </si>
  <si>
    <t>18731556246</t>
    <phoneticPr fontId="3" type="noConversion"/>
  </si>
  <si>
    <t>C馆地下</t>
    <phoneticPr fontId="3" type="noConversion"/>
  </si>
  <si>
    <t>C馆地下二层</t>
    <phoneticPr fontId="3" type="noConversion"/>
  </si>
  <si>
    <t>FB2-40-4</t>
    <phoneticPr fontId="3" type="noConversion"/>
  </si>
  <si>
    <t>邓小新</t>
    <phoneticPr fontId="3" type="noConversion"/>
  </si>
  <si>
    <t>韩小猫</t>
    <phoneticPr fontId="3" type="noConversion"/>
  </si>
  <si>
    <t>18032605546</t>
    <phoneticPr fontId="3" type="noConversion"/>
  </si>
  <si>
    <t>FB2-40-5</t>
    <phoneticPr fontId="3" type="noConversion"/>
  </si>
  <si>
    <t>孕婴、女装、鞋、箱包</t>
    <phoneticPr fontId="3" type="noConversion"/>
  </si>
  <si>
    <t>石志伟</t>
    <phoneticPr fontId="3" type="noConversion"/>
  </si>
  <si>
    <t>杨占秋</t>
    <phoneticPr fontId="3" type="noConversion"/>
  </si>
  <si>
    <t>时尚异族</t>
    <phoneticPr fontId="3" type="noConversion"/>
  </si>
  <si>
    <t>13663260676</t>
    <phoneticPr fontId="3" type="noConversion"/>
  </si>
  <si>
    <t>FB2-40-6</t>
    <phoneticPr fontId="3" type="noConversion"/>
  </si>
  <si>
    <t>美容美发</t>
    <phoneticPr fontId="3" type="noConversion"/>
  </si>
  <si>
    <t>石明明</t>
    <phoneticPr fontId="3" type="noConversion"/>
  </si>
  <si>
    <t>达人美场美发中心</t>
  </si>
  <si>
    <t>18230167827</t>
    <phoneticPr fontId="3" type="noConversion"/>
  </si>
  <si>
    <t>FB2-41</t>
    <phoneticPr fontId="3" type="noConversion"/>
  </si>
  <si>
    <t>每一年</t>
    <phoneticPr fontId="3" type="noConversion"/>
  </si>
  <si>
    <t>药店</t>
    <phoneticPr fontId="3" type="noConversion"/>
  </si>
  <si>
    <t>刘惠萍</t>
    <phoneticPr fontId="3" type="noConversion"/>
  </si>
  <si>
    <t>北京金象大药房医药连锁有限责任公司</t>
    <phoneticPr fontId="3" type="noConversion"/>
  </si>
  <si>
    <t>金象大药房</t>
    <phoneticPr fontId="3" type="noConversion"/>
  </si>
  <si>
    <t>袁平/沈朝维/朱店长</t>
    <phoneticPr fontId="3" type="noConversion"/>
  </si>
  <si>
    <t>62234849/15201185503/3097593</t>
    <phoneticPr fontId="3" type="noConversion"/>
  </si>
  <si>
    <t>FB2-42</t>
    <phoneticPr fontId="3" type="noConversion"/>
  </si>
  <si>
    <t>3+2</t>
    <phoneticPr fontId="3" type="noConversion"/>
  </si>
  <si>
    <t>护肤品、彩妆、皮肤护理、美甲</t>
    <phoneticPr fontId="3" type="noConversion"/>
  </si>
  <si>
    <t>郭鹏</t>
    <phoneticPr fontId="3" type="noConversion"/>
  </si>
  <si>
    <t>王新娇</t>
    <phoneticPr fontId="3" type="noConversion"/>
  </si>
  <si>
    <t>雪润</t>
    <phoneticPr fontId="3" type="noConversion"/>
  </si>
  <si>
    <t>13231393456</t>
    <phoneticPr fontId="3" type="noConversion"/>
  </si>
  <si>
    <t>FB2-42-1</t>
    <phoneticPr fontId="3" type="noConversion"/>
  </si>
  <si>
    <t>2年5个月</t>
    <phoneticPr fontId="3" type="noConversion"/>
  </si>
  <si>
    <t>2015//11/19</t>
    <phoneticPr fontId="3" type="noConversion"/>
  </si>
  <si>
    <t>化妆品</t>
    <phoneticPr fontId="3" type="noConversion"/>
  </si>
  <si>
    <t>任东生</t>
    <phoneticPr fontId="3" type="noConversion"/>
  </si>
  <si>
    <t>佘双江</t>
    <phoneticPr fontId="3" type="noConversion"/>
  </si>
  <si>
    <t>KALA KALA</t>
    <phoneticPr fontId="3" type="noConversion"/>
  </si>
  <si>
    <t>18600484006</t>
    <phoneticPr fontId="3" type="noConversion"/>
  </si>
  <si>
    <t>FB2-42-2</t>
    <phoneticPr fontId="3" type="noConversion"/>
  </si>
  <si>
    <t>1年+1年</t>
    <phoneticPr fontId="3" type="noConversion"/>
  </si>
  <si>
    <t>箱包、皮具、饰品</t>
    <phoneticPr fontId="3" type="noConversion"/>
  </si>
  <si>
    <t>刘菲</t>
    <phoneticPr fontId="3" type="noConversion"/>
  </si>
  <si>
    <t>李艳华</t>
    <phoneticPr fontId="3" type="noConversion"/>
  </si>
  <si>
    <t>雨艳皮具</t>
    <phoneticPr fontId="3" type="noConversion"/>
  </si>
  <si>
    <t>15373168811</t>
    <phoneticPr fontId="3" type="noConversion"/>
  </si>
  <si>
    <t>FB2-42-3</t>
    <phoneticPr fontId="3" type="noConversion"/>
  </si>
  <si>
    <t>1年6个月+1年</t>
    <phoneticPr fontId="3" type="noConversion"/>
  </si>
  <si>
    <t>美甲、美睫、彩妆、纹绣</t>
    <phoneticPr fontId="3" type="noConversion"/>
  </si>
  <si>
    <t>张朋</t>
    <phoneticPr fontId="3" type="noConversion"/>
  </si>
  <si>
    <t>金凤侠</t>
    <phoneticPr fontId="3" type="noConversion"/>
  </si>
  <si>
    <t>名媛汇</t>
    <phoneticPr fontId="3" type="noConversion"/>
  </si>
  <si>
    <t>13730362359</t>
    <phoneticPr fontId="3" type="noConversion"/>
  </si>
  <si>
    <t>FB2-42-4</t>
    <phoneticPr fontId="3" type="noConversion"/>
  </si>
  <si>
    <t>1+1年2个月17天</t>
    <phoneticPr fontId="3" type="noConversion"/>
  </si>
  <si>
    <t>王子斌</t>
    <phoneticPr fontId="3" type="noConversion"/>
  </si>
  <si>
    <t>张亚娟</t>
    <phoneticPr fontId="3" type="noConversion"/>
  </si>
  <si>
    <t>向大大</t>
    <phoneticPr fontId="3" type="noConversion"/>
  </si>
  <si>
    <t>张亚娟</t>
    <phoneticPr fontId="3" type="noConversion"/>
  </si>
  <si>
    <t>18713030316/13785629652</t>
    <phoneticPr fontId="3" type="noConversion"/>
  </si>
  <si>
    <t>FB2-42-5</t>
    <phoneticPr fontId="3" type="noConversion"/>
  </si>
  <si>
    <t>茶叶、饰品</t>
    <phoneticPr fontId="3" type="noConversion"/>
  </si>
  <si>
    <t>蔡龙</t>
    <phoneticPr fontId="3" type="noConversion"/>
  </si>
  <si>
    <t>罗桂华</t>
    <phoneticPr fontId="3" type="noConversion"/>
  </si>
  <si>
    <t>茶语.花语</t>
    <phoneticPr fontId="3" type="noConversion"/>
  </si>
  <si>
    <t>18501185280</t>
    <phoneticPr fontId="3" type="noConversion"/>
  </si>
  <si>
    <t>FB2-42-6</t>
    <phoneticPr fontId="3" type="noConversion"/>
  </si>
  <si>
    <t>鞋类</t>
    <phoneticPr fontId="3" type="noConversion"/>
  </si>
  <si>
    <t>王书标</t>
    <phoneticPr fontId="3" type="noConversion"/>
  </si>
  <si>
    <t>方桂红</t>
    <phoneticPr fontId="3" type="noConversion"/>
  </si>
  <si>
    <t>老北京布鞋、福泰欣</t>
    <phoneticPr fontId="3" type="noConversion"/>
  </si>
  <si>
    <t>13466557486/13901329807</t>
    <phoneticPr fontId="3" type="noConversion"/>
  </si>
  <si>
    <t>FB2-43</t>
    <phoneticPr fontId="3" type="noConversion"/>
  </si>
  <si>
    <t>数字油画</t>
    <phoneticPr fontId="3" type="noConversion"/>
  </si>
  <si>
    <t>冯春梅</t>
    <phoneticPr fontId="3" type="noConversion"/>
  </si>
  <si>
    <t>13681444988</t>
    <phoneticPr fontId="3" type="noConversion"/>
  </si>
  <si>
    <t>FB2-43-2</t>
    <phoneticPr fontId="3" type="noConversion"/>
  </si>
  <si>
    <t>2年11个月</t>
    <phoneticPr fontId="3" type="noConversion"/>
  </si>
  <si>
    <t>按季支付</t>
    <phoneticPr fontId="3" type="noConversion"/>
  </si>
  <si>
    <t>演艺酒吧</t>
    <phoneticPr fontId="3" type="noConversion"/>
  </si>
  <si>
    <t>付彦春</t>
    <phoneticPr fontId="3" type="noConversion"/>
  </si>
  <si>
    <t>北京之夜</t>
    <phoneticPr fontId="3" type="noConversion"/>
  </si>
  <si>
    <t>13911157122</t>
    <phoneticPr fontId="3" type="noConversion"/>
  </si>
  <si>
    <t>FB2-49</t>
    <phoneticPr fontId="3" type="noConversion"/>
  </si>
  <si>
    <t>6</t>
    <phoneticPr fontId="3" type="noConversion"/>
  </si>
  <si>
    <t>手机配件、数码</t>
    <phoneticPr fontId="3" type="noConversion"/>
  </si>
  <si>
    <t>刘传刚</t>
    <phoneticPr fontId="3" type="noConversion"/>
  </si>
  <si>
    <t>迪信通代理品牌</t>
    <phoneticPr fontId="3" type="noConversion"/>
  </si>
  <si>
    <t>13911355288/会计电话18513313462杜会计</t>
    <phoneticPr fontId="3" type="noConversion"/>
  </si>
  <si>
    <t>FB2-100</t>
    <phoneticPr fontId="3" type="noConversion"/>
  </si>
  <si>
    <t>电玩城</t>
    <phoneticPr fontId="3" type="noConversion"/>
  </si>
  <si>
    <t>于一韬</t>
    <phoneticPr fontId="3" type="noConversion"/>
  </si>
  <si>
    <t>张志强</t>
    <phoneticPr fontId="3" type="noConversion"/>
  </si>
  <si>
    <t>黄金岛</t>
    <phoneticPr fontId="3" type="noConversion"/>
  </si>
  <si>
    <t>18032611818</t>
    <phoneticPr fontId="3" type="noConversion"/>
  </si>
  <si>
    <t>FB2-101/FB2-101-1</t>
    <phoneticPr fontId="3" type="noConversion"/>
  </si>
  <si>
    <t xml:space="preserve"> </t>
    <phoneticPr fontId="3" type="noConversion"/>
  </si>
  <si>
    <t>6</t>
    <phoneticPr fontId="3" type="noConversion"/>
  </si>
  <si>
    <t>无</t>
    <phoneticPr fontId="3" type="noConversion"/>
  </si>
  <si>
    <t>地下一层</t>
    <phoneticPr fontId="143" type="noConversion"/>
  </si>
  <si>
    <t>可出租面积</t>
    <phoneticPr fontId="143" type="noConversion"/>
  </si>
  <si>
    <t>地下二层</t>
    <phoneticPr fontId="143" type="noConversion"/>
  </si>
  <si>
    <t>年租金</t>
    <phoneticPr fontId="143" type="noConversion"/>
  </si>
  <si>
    <t>单位租金</t>
    <phoneticPr fontId="143" type="noConversion"/>
  </si>
  <si>
    <t>地下商业</t>
    <phoneticPr fontId="3" type="noConversion"/>
  </si>
  <si>
    <t>地下</t>
  </si>
  <si>
    <t>独立商业</t>
  </si>
  <si>
    <t>系数</t>
    <phoneticPr fontId="143" type="noConversion"/>
  </si>
  <si>
    <t>综合系数</t>
    <phoneticPr fontId="143" type="noConversion"/>
  </si>
  <si>
    <t>法定最高/出让年限</t>
  </si>
  <si>
    <t>剩余土地使用年限</t>
  </si>
  <si>
    <t>年期修正系数</t>
  </si>
  <si>
    <t>报酬率-土地</t>
  </si>
  <si>
    <t>不临街</t>
    <phoneticPr fontId="31" type="noConversion"/>
  </si>
  <si>
    <t>权重结果</t>
  </si>
  <si>
    <t>总价</t>
  </si>
  <si>
    <t>楼面单价</t>
  </si>
  <si>
    <t>地面单价</t>
  </si>
  <si>
    <t>已出租</t>
    <phoneticPr fontId="143" type="noConversion"/>
  </si>
  <si>
    <t>已出租建筑面积</t>
    <phoneticPr fontId="143" type="noConversion"/>
  </si>
  <si>
    <t>自用面积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</si>
</sst>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
      <sz val="11"/>
      <color rgb="FFFF0000"/>
      <name val="华文细黑"/>
      <family val="3"/>
      <charset val="134"/>
    </font>
    <font>
      <b/>
      <sz val="11"/>
      <color theme="1"/>
      <name val="楷体_GB2312"/>
      <family val="3"/>
      <charset val="134"/>
    </font>
    <font>
      <sz val="12"/>
      <color theme="1"/>
      <name val="宋体"/>
      <family val="2"/>
      <charset val="134"/>
      <scheme val="minor"/>
    </font>
    <font>
      <b/>
      <u/>
      <sz val="12"/>
      <color rgb="FF0033CC"/>
      <name val="宋体"/>
      <family val="3"/>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0" fontId="259" fillId="0" borderId="0" applyNumberFormat="0" applyFill="0" applyBorder="0" applyAlignment="0" applyProtection="0">
      <alignment vertical="center"/>
    </xf>
    <xf numFmtId="9" fontId="137" fillId="0" borderId="0" applyFont="0" applyFill="0" applyBorder="0" applyAlignment="0" applyProtection="0">
      <alignment vertical="center"/>
    </xf>
    <xf numFmtId="0" fontId="99" fillId="0" borderId="0">
      <alignment vertical="center"/>
    </xf>
    <xf numFmtId="0" fontId="277" fillId="0" borderId="0"/>
    <xf numFmtId="176" fontId="277" fillId="0" borderId="0" applyFont="0" applyFill="0" applyBorder="0" applyAlignment="0" applyProtection="0"/>
  </cellStyleXfs>
  <cellXfs count="36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7" fontId="47" fillId="11" borderId="1" xfId="0" applyNumberFormat="1" applyFont="1" applyFill="1" applyBorder="1" applyAlignment="1" applyProtection="1">
      <alignment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80"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77" fontId="19" fillId="16" borderId="1" xfId="14" applyNumberFormat="1" applyFont="1" applyFill="1" applyBorder="1" applyAlignment="1">
      <alignment horizontal="center" vertical="center" wrapText="1"/>
    </xf>
    <xf numFmtId="179" fontId="84" fillId="16" borderId="1" xfId="14" applyNumberFormat="1" applyFont="1" applyFill="1" applyBorder="1" applyAlignment="1">
      <alignment horizontal="center" vertical="center" wrapText="1"/>
    </xf>
    <xf numFmtId="182" fontId="84" fillId="16" borderId="1" xfId="14" applyNumberFormat="1" applyFont="1" applyFill="1" applyBorder="1" applyAlignment="1">
      <alignment horizontal="center" vertical="center" wrapText="1"/>
    </xf>
    <xf numFmtId="187" fontId="84" fillId="16" borderId="1" xfId="14" applyNumberFormat="1" applyFont="1" applyFill="1" applyBorder="1" applyAlignment="1">
      <alignment horizontal="center" vertical="center" wrapText="1"/>
    </xf>
    <xf numFmtId="182"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43" fontId="258" fillId="0" borderId="0" xfId="13" applyNumberFormat="1" applyFont="1" applyFill="1" applyBorder="1" applyAlignment="1">
      <alignment horizontal="center" vertical="center"/>
    </xf>
    <xf numFmtId="197" fontId="258" fillId="0" borderId="0" xfId="13" applyNumberFormat="1" applyFont="1" applyFill="1" applyBorder="1" applyAlignment="1">
      <alignment horizontal="center" vertical="center"/>
    </xf>
    <xf numFmtId="43"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43"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43"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43"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43"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43"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43"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43"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43" fontId="256" fillId="0" borderId="13" xfId="13" applyNumberFormat="1" applyFont="1" applyFill="1" applyBorder="1" applyAlignment="1">
      <alignment horizontal="center" vertical="center" wrapText="1"/>
    </xf>
    <xf numFmtId="197"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43"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43"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80"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43" fontId="268"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43" fontId="256" fillId="0" borderId="0" xfId="13" applyNumberFormat="1" applyFont="1" applyFill="1" applyBorder="1" applyAlignment="1">
      <alignment horizontal="center" vertical="center"/>
    </xf>
    <xf numFmtId="43"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43"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43" fontId="64"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43" fontId="61" fillId="0" borderId="0" xfId="13" applyNumberFormat="1" applyFont="1" applyFill="1" applyBorder="1" applyAlignment="1">
      <alignment horizontal="center" vertical="center"/>
    </xf>
    <xf numFmtId="43"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43"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43" fontId="64" fillId="9" borderId="0" xfId="13" applyNumberFormat="1" applyFont="1" applyFill="1" applyBorder="1" applyAlignment="1">
      <alignment horizontal="center" vertical="center"/>
    </xf>
    <xf numFmtId="43" fontId="64" fillId="19" borderId="0" xfId="13" applyNumberFormat="1" applyFont="1" applyFill="1" applyBorder="1" applyAlignment="1">
      <alignment horizontal="center" vertical="center"/>
    </xf>
    <xf numFmtId="43"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43"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43"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43" fontId="256" fillId="0" borderId="1" xfId="13" applyNumberFormat="1" applyFont="1" applyFill="1" applyBorder="1" applyAlignment="1">
      <alignment horizontal="right" vertical="center" wrapText="1"/>
    </xf>
    <xf numFmtId="193" fontId="256" fillId="0" borderId="1" xfId="13" applyNumberFormat="1" applyFont="1" applyFill="1" applyBorder="1" applyAlignment="1">
      <alignment horizontal="center" vertical="center"/>
    </xf>
    <xf numFmtId="43"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43"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43"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43"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7"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80"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43" fontId="61" fillId="0" borderId="0" xfId="13" applyNumberFormat="1" applyFont="1" applyFill="1" applyAlignment="1">
      <alignment horizontal="center" vertical="center"/>
    </xf>
    <xf numFmtId="43"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7" fontId="64" fillId="11" borderId="0" xfId="13" applyNumberFormat="1" applyFont="1" applyFill="1" applyBorder="1" applyAlignment="1">
      <alignment horizontal="center" vertical="center"/>
    </xf>
    <xf numFmtId="197" fontId="256" fillId="11" borderId="1" xfId="13" applyNumberFormat="1" applyFont="1" applyFill="1" applyBorder="1" applyAlignment="1">
      <alignment horizontal="center" vertical="center" wrapText="1"/>
    </xf>
    <xf numFmtId="197" fontId="61" fillId="11" borderId="0" xfId="13" applyNumberFormat="1" applyFont="1" applyFill="1" applyAlignment="1">
      <alignment horizontal="center" vertical="center"/>
    </xf>
    <xf numFmtId="197"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7" fontId="256" fillId="11" borderId="13" xfId="13" applyNumberFormat="1" applyFont="1" applyFill="1" applyBorder="1" applyAlignment="1">
      <alignment horizontal="center" vertical="center" wrapText="1"/>
    </xf>
    <xf numFmtId="197"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xf numFmtId="0" fontId="256" fillId="21" borderId="1" xfId="13" applyFont="1" applyFill="1" applyBorder="1" applyAlignment="1">
      <alignment horizontal="center" vertical="center" wrapText="1"/>
    </xf>
    <xf numFmtId="14" fontId="256" fillId="21" borderId="1" xfId="13" applyNumberFormat="1" applyFont="1" applyFill="1" applyBorder="1" applyAlignment="1">
      <alignment horizontal="center" vertical="center" wrapText="1"/>
    </xf>
    <xf numFmtId="197" fontId="256" fillId="21" borderId="1" xfId="13" applyNumberFormat="1" applyFont="1" applyFill="1" applyBorder="1" applyAlignment="1">
      <alignment horizontal="center" vertical="center" wrapText="1"/>
    </xf>
    <xf numFmtId="49" fontId="256" fillId="21" borderId="1" xfId="13" applyNumberFormat="1" applyFont="1" applyFill="1" applyBorder="1" applyAlignment="1">
      <alignment horizontal="center" vertical="center" wrapText="1"/>
    </xf>
    <xf numFmtId="0" fontId="256" fillId="21" borderId="1" xfId="13" applyNumberFormat="1" applyFont="1" applyFill="1" applyBorder="1" applyAlignment="1">
      <alignment horizontal="center" vertical="center" wrapText="1"/>
    </xf>
    <xf numFmtId="43" fontId="256" fillId="21" borderId="1" xfId="13" applyNumberFormat="1" applyFont="1" applyFill="1" applyBorder="1" applyAlignment="1">
      <alignment horizontal="center" vertical="center" wrapText="1"/>
    </xf>
    <xf numFmtId="43" fontId="256" fillId="21" borderId="1" xfId="265" applyFont="1" applyFill="1" applyBorder="1" applyAlignment="1">
      <alignment horizontal="center" vertical="center"/>
    </xf>
    <xf numFmtId="43" fontId="256" fillId="21" borderId="1" xfId="265" applyNumberFormat="1" applyFont="1" applyFill="1" applyBorder="1" applyAlignment="1">
      <alignment horizontal="center" vertical="center" wrapText="1"/>
    </xf>
    <xf numFmtId="49" fontId="256" fillId="21" borderId="1" xfId="265" applyNumberFormat="1" applyFont="1" applyFill="1" applyBorder="1" applyAlignment="1">
      <alignment horizontal="center" vertical="center" wrapText="1"/>
    </xf>
    <xf numFmtId="0" fontId="256" fillId="21" borderId="1" xfId="13" applyFont="1" applyFill="1" applyBorder="1" applyAlignment="1">
      <alignment horizontal="center" vertical="center"/>
    </xf>
    <xf numFmtId="43" fontId="265" fillId="21" borderId="1" xfId="265" applyFont="1" applyFill="1" applyBorder="1" applyAlignment="1">
      <alignment horizontal="center" vertical="center"/>
    </xf>
    <xf numFmtId="0" fontId="256" fillId="21" borderId="0" xfId="13" applyFont="1" applyFill="1" applyAlignment="1">
      <alignment horizontal="center" vertical="center"/>
    </xf>
    <xf numFmtId="198" fontId="256" fillId="21" borderId="1" xfId="13" applyNumberFormat="1" applyFont="1" applyFill="1" applyBorder="1" applyAlignment="1">
      <alignment horizontal="right" vertical="center"/>
    </xf>
    <xf numFmtId="198" fontId="256" fillId="21" borderId="1" xfId="265" applyNumberFormat="1" applyFont="1" applyFill="1" applyBorder="1" applyAlignment="1">
      <alignment horizontal="right" vertical="center"/>
    </xf>
    <xf numFmtId="197" fontId="258" fillId="22" borderId="0" xfId="13" applyNumberFormat="1" applyFont="1" applyFill="1" applyBorder="1" applyAlignment="1">
      <alignment horizontal="center" vertical="center"/>
    </xf>
    <xf numFmtId="0" fontId="256" fillId="22" borderId="1" xfId="13" applyNumberFormat="1" applyFont="1" applyFill="1" applyBorder="1" applyAlignment="1">
      <alignment horizontal="center" vertical="center" wrapText="1"/>
    </xf>
    <xf numFmtId="197" fontId="268" fillId="22" borderId="0" xfId="13" applyNumberFormat="1" applyFont="1" applyFill="1" applyBorder="1" applyAlignment="1">
      <alignment horizontal="center" vertical="center"/>
    </xf>
    <xf numFmtId="197" fontId="64" fillId="22" borderId="0" xfId="13" applyNumberFormat="1" applyFont="1" applyFill="1" applyBorder="1" applyAlignment="1">
      <alignment horizontal="center" vertical="center"/>
    </xf>
    <xf numFmtId="0" fontId="61" fillId="22" borderId="0" xfId="13" applyFont="1" applyFill="1" applyBorder="1" applyAlignment="1">
      <alignment horizontal="center" vertical="center"/>
    </xf>
    <xf numFmtId="0" fontId="275" fillId="22" borderId="1" xfId="13" applyNumberFormat="1" applyFont="1" applyFill="1" applyBorder="1" applyAlignment="1">
      <alignment horizontal="center" vertical="center" wrapText="1"/>
    </xf>
    <xf numFmtId="43" fontId="256" fillId="18" borderId="1" xfId="13" applyNumberFormat="1" applyFont="1" applyFill="1" applyBorder="1" applyAlignment="1">
      <alignment horizontal="center" vertical="center" wrapText="1"/>
    </xf>
    <xf numFmtId="43" fontId="256" fillId="18" borderId="1" xfId="265" applyFont="1" applyFill="1" applyBorder="1" applyAlignment="1">
      <alignment horizontal="center" vertical="center"/>
    </xf>
    <xf numFmtId="43" fontId="256" fillId="18" borderId="13" xfId="13" applyNumberFormat="1" applyFont="1" applyFill="1" applyBorder="1" applyAlignment="1">
      <alignment horizontal="center" vertical="center" wrapText="1"/>
    </xf>
    <xf numFmtId="49" fontId="268" fillId="22" borderId="0" xfId="13" applyNumberFormat="1" applyFont="1" applyFill="1" applyBorder="1" applyAlignment="1">
      <alignment horizontal="center" vertical="center"/>
    </xf>
    <xf numFmtId="187" fontId="64" fillId="22" borderId="0" xfId="13" applyNumberFormat="1" applyFont="1" applyFill="1" applyBorder="1" applyAlignment="1">
      <alignment horizontal="center" vertical="center"/>
    </xf>
    <xf numFmtId="187" fontId="256" fillId="22" borderId="1" xfId="13" applyNumberFormat="1" applyFont="1" applyFill="1" applyBorder="1" applyAlignment="1">
      <alignment horizontal="center" vertical="center" wrapText="1"/>
    </xf>
    <xf numFmtId="187" fontId="61" fillId="22" borderId="0" xfId="13" applyNumberFormat="1" applyFont="1" applyFill="1" applyAlignment="1">
      <alignment horizontal="center" vertical="center"/>
    </xf>
    <xf numFmtId="187" fontId="275" fillId="22"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xf>
    <xf numFmtId="187" fontId="256" fillId="5"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wrapText="1"/>
    </xf>
    <xf numFmtId="187" fontId="61" fillId="18" borderId="0" xfId="13" applyNumberFormat="1" applyFont="1" applyFill="1" applyAlignment="1">
      <alignment horizontal="center" vertical="center"/>
    </xf>
    <xf numFmtId="180" fontId="256" fillId="0" borderId="0" xfId="13" applyNumberFormat="1" applyFont="1" applyFill="1" applyBorder="1" applyAlignment="1">
      <alignment horizontal="center" vertical="center"/>
    </xf>
    <xf numFmtId="187" fontId="256" fillId="0" borderId="0" xfId="13" applyNumberFormat="1" applyFont="1" applyFill="1" applyBorder="1" applyAlignment="1">
      <alignment horizontal="center" vertical="center"/>
    </xf>
    <xf numFmtId="0" fontId="37" fillId="0" borderId="0" xfId="13" applyFont="1" applyFill="1" applyAlignment="1">
      <alignment horizontal="center" vertical="center"/>
    </xf>
    <xf numFmtId="0" fontId="106" fillId="2" borderId="6" xfId="0"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0" fontId="106" fillId="6" borderId="24"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59" fillId="0" borderId="0" xfId="289" applyAlignment="1"/>
    <xf numFmtId="0" fontId="102" fillId="0" borderId="0" xfId="10" applyFont="1" applyAlignment="1">
      <alignment horizontal="center" vertical="center" wrapText="1"/>
    </xf>
    <xf numFmtId="49" fontId="102" fillId="0" borderId="1" xfId="10" applyNumberFormat="1" applyFont="1" applyBorder="1" applyAlignment="1">
      <alignment horizontal="center" vertical="center" wrapText="1"/>
    </xf>
    <xf numFmtId="0" fontId="102" fillId="0" borderId="1" xfId="10" applyFont="1" applyBorder="1" applyAlignment="1">
      <alignment horizontal="center" vertical="center" wrapText="1"/>
    </xf>
    <xf numFmtId="0" fontId="276" fillId="0" borderId="1" xfId="10" applyFont="1" applyBorder="1" applyAlignment="1">
      <alignment horizontal="center" vertical="center" wrapText="1"/>
    </xf>
    <xf numFmtId="0" fontId="276" fillId="0" borderId="3" xfId="10" applyFont="1" applyBorder="1" applyAlignment="1">
      <alignment vertical="center" wrapText="1"/>
    </xf>
    <xf numFmtId="0" fontId="102" fillId="0" borderId="13" xfId="10" applyFont="1" applyBorder="1" applyAlignment="1">
      <alignment horizontal="center" vertical="center" wrapText="1"/>
    </xf>
    <xf numFmtId="0" fontId="102" fillId="0" borderId="1" xfId="10" applyFont="1" applyBorder="1" applyAlignment="1">
      <alignment vertical="center" wrapText="1"/>
    </xf>
    <xf numFmtId="14" fontId="102" fillId="0" borderId="1" xfId="10" applyNumberFormat="1" applyFont="1" applyBorder="1" applyAlignment="1">
      <alignment horizontal="center" vertical="center" wrapText="1"/>
    </xf>
    <xf numFmtId="9" fontId="102" fillId="0" borderId="1" xfId="290" applyFont="1" applyBorder="1" applyAlignment="1">
      <alignment horizontal="center" vertical="center" wrapText="1"/>
    </xf>
    <xf numFmtId="49" fontId="102" fillId="0" borderId="0" xfId="10" applyNumberFormat="1" applyFont="1" applyAlignment="1">
      <alignment horizontal="center" vertical="center" wrapText="1"/>
    </xf>
    <xf numFmtId="0" fontId="264" fillId="0" borderId="0" xfId="292" applyFont="1" applyFill="1" applyAlignment="1">
      <alignment vertical="center"/>
    </xf>
    <xf numFmtId="0" fontId="256" fillId="0" borderId="0" xfId="292" applyFont="1" applyFill="1" applyAlignment="1">
      <alignment vertical="center"/>
    </xf>
    <xf numFmtId="0" fontId="278" fillId="17" borderId="0" xfId="289" applyFont="1" applyFill="1" applyBorder="1" applyAlignment="1">
      <alignment horizontal="center" vertical="center"/>
    </xf>
    <xf numFmtId="0" fontId="256" fillId="0" borderId="0" xfId="292" applyFont="1" applyFill="1" applyAlignment="1">
      <alignment horizontal="center" vertical="center"/>
    </xf>
    <xf numFmtId="43" fontId="256" fillId="0" borderId="0" xfId="292" applyNumberFormat="1" applyFont="1" applyFill="1" applyAlignment="1">
      <alignment horizontal="center" vertical="center"/>
    </xf>
    <xf numFmtId="197" fontId="256" fillId="0" borderId="0" xfId="292" applyNumberFormat="1" applyFont="1" applyFill="1" applyAlignment="1">
      <alignment horizontal="center" vertical="center"/>
    </xf>
    <xf numFmtId="0" fontId="256" fillId="0" borderId="0" xfId="292" applyFont="1" applyFill="1" applyAlignment="1">
      <alignment horizontal="center" vertical="center" wrapText="1"/>
    </xf>
    <xf numFmtId="0" fontId="265" fillId="0" borderId="0" xfId="292" applyFont="1" applyFill="1" applyAlignment="1">
      <alignment horizontal="center" vertical="center"/>
    </xf>
    <xf numFmtId="0" fontId="256" fillId="0" borderId="0" xfId="292" applyFont="1" applyFill="1" applyBorder="1" applyAlignment="1">
      <alignment horizontal="center" vertical="center"/>
    </xf>
    <xf numFmtId="0" fontId="264" fillId="0" borderId="0" xfId="292" applyFont="1" applyFill="1" applyBorder="1" applyAlignment="1">
      <alignment vertical="center"/>
    </xf>
    <xf numFmtId="0" fontId="256" fillId="0" borderId="0" xfId="292" applyFont="1" applyFill="1" applyBorder="1" applyAlignment="1">
      <alignment vertical="center"/>
    </xf>
    <xf numFmtId="43" fontId="256" fillId="0" borderId="0" xfId="292" applyNumberFormat="1" applyFont="1" applyFill="1" applyBorder="1" applyAlignment="1">
      <alignment horizontal="center" vertical="center"/>
    </xf>
    <xf numFmtId="197" fontId="256" fillId="0" borderId="0" xfId="292" applyNumberFormat="1" applyFont="1" applyFill="1" applyBorder="1" applyAlignment="1">
      <alignment horizontal="center" vertical="center"/>
    </xf>
    <xf numFmtId="0" fontId="256" fillId="0" borderId="0" xfId="292" applyFont="1" applyFill="1" applyBorder="1" applyAlignment="1">
      <alignment horizontal="center" vertical="center" wrapText="1"/>
    </xf>
    <xf numFmtId="0" fontId="265" fillId="0" borderId="0" xfId="292" applyNumberFormat="1" applyFont="1" applyAlignment="1">
      <alignment horizontal="center" vertical="center"/>
    </xf>
    <xf numFmtId="0" fontId="265" fillId="5" borderId="1" xfId="292" applyNumberFormat="1" applyFont="1" applyFill="1" applyBorder="1" applyAlignment="1">
      <alignment horizontal="center" vertical="center"/>
    </xf>
    <xf numFmtId="0" fontId="256" fillId="0" borderId="1" xfId="292" applyFont="1" applyFill="1" applyBorder="1" applyAlignment="1">
      <alignment horizontal="center" vertical="center" wrapText="1"/>
    </xf>
    <xf numFmtId="14" fontId="256" fillId="0" borderId="13" xfId="292" applyNumberFormat="1" applyFont="1" applyFill="1" applyBorder="1" applyAlignment="1">
      <alignment horizontal="center" vertical="center" wrapText="1"/>
    </xf>
    <xf numFmtId="0" fontId="256" fillId="0" borderId="13" xfId="292" applyFont="1" applyFill="1" applyBorder="1" applyAlignment="1">
      <alignment horizontal="center" vertical="center" wrapText="1"/>
    </xf>
    <xf numFmtId="49" fontId="256" fillId="0" borderId="13" xfId="292" applyNumberFormat="1" applyFont="1" applyFill="1" applyBorder="1" applyAlignment="1">
      <alignment horizontal="center" vertical="center" wrapText="1"/>
    </xf>
    <xf numFmtId="0" fontId="256" fillId="0" borderId="13" xfId="292" applyNumberFormat="1" applyFont="1" applyFill="1" applyBorder="1" applyAlignment="1">
      <alignment horizontal="center" vertical="center" wrapText="1"/>
    </xf>
    <xf numFmtId="176" fontId="256" fillId="0" borderId="13" xfId="293" applyFont="1" applyFill="1" applyBorder="1" applyAlignment="1">
      <alignment horizontal="center" vertical="center"/>
    </xf>
    <xf numFmtId="0" fontId="256" fillId="0" borderId="13" xfId="293" applyNumberFormat="1" applyFont="1" applyFill="1" applyBorder="1" applyAlignment="1">
      <alignment horizontal="center" vertical="center" wrapText="1"/>
    </xf>
    <xf numFmtId="176" fontId="256" fillId="0" borderId="13" xfId="293" applyFont="1" applyFill="1" applyBorder="1" applyAlignment="1">
      <alignment horizontal="center" vertical="center" wrapText="1"/>
    </xf>
    <xf numFmtId="197" fontId="256" fillId="0" borderId="13" xfId="292" applyNumberFormat="1" applyFont="1" applyFill="1" applyBorder="1" applyAlignment="1">
      <alignment horizontal="center" vertical="center" wrapText="1"/>
    </xf>
    <xf numFmtId="0" fontId="256" fillId="0" borderId="13" xfId="292" applyFont="1" applyFill="1" applyBorder="1" applyAlignment="1">
      <alignment horizontal="center" vertical="center"/>
    </xf>
    <xf numFmtId="43" fontId="256" fillId="0" borderId="13" xfId="293" applyNumberFormat="1" applyFont="1" applyFill="1" applyBorder="1" applyAlignment="1">
      <alignment horizontal="center" vertical="center" wrapText="1"/>
    </xf>
    <xf numFmtId="49" fontId="256" fillId="0" borderId="13" xfId="293" applyNumberFormat="1" applyFont="1" applyFill="1" applyBorder="1" applyAlignment="1">
      <alignment horizontal="center" vertical="center" wrapText="1"/>
    </xf>
    <xf numFmtId="176" fontId="265" fillId="17" borderId="1" xfId="293" applyFont="1" applyFill="1" applyBorder="1" applyAlignment="1">
      <alignment horizontal="center" vertical="center"/>
    </xf>
    <xf numFmtId="0" fontId="256" fillId="0" borderId="1" xfId="292" applyFont="1" applyFill="1" applyBorder="1" applyAlignment="1">
      <alignment horizontal="center" vertical="center"/>
    </xf>
    <xf numFmtId="14" fontId="256" fillId="0" borderId="1" xfId="292" applyNumberFormat="1" applyFont="1" applyFill="1" applyBorder="1" applyAlignment="1">
      <alignment horizontal="center" vertical="center" wrapText="1"/>
    </xf>
    <xf numFmtId="197" fontId="256" fillId="0" borderId="1" xfId="292" applyNumberFormat="1" applyFont="1" applyFill="1" applyBorder="1" applyAlignment="1">
      <alignment horizontal="center" vertical="center" wrapText="1"/>
    </xf>
    <xf numFmtId="49" fontId="256" fillId="0" borderId="1" xfId="292" applyNumberFormat="1" applyFont="1" applyFill="1" applyBorder="1" applyAlignment="1">
      <alignment horizontal="center" vertical="center" wrapText="1"/>
    </xf>
    <xf numFmtId="0" fontId="256" fillId="0" borderId="1" xfId="292" applyNumberFormat="1" applyFont="1" applyFill="1" applyBorder="1" applyAlignment="1">
      <alignment horizontal="center" vertical="center" wrapText="1"/>
    </xf>
    <xf numFmtId="0" fontId="256" fillId="0" borderId="1" xfId="293" applyNumberFormat="1" applyFont="1" applyFill="1" applyBorder="1" applyAlignment="1">
      <alignment horizontal="center" vertical="center" wrapText="1"/>
    </xf>
    <xf numFmtId="176" fontId="256" fillId="0" borderId="1" xfId="293" applyFont="1" applyFill="1" applyBorder="1" applyAlignment="1">
      <alignment horizontal="center" vertical="center" wrapText="1"/>
    </xf>
    <xf numFmtId="176" fontId="256" fillId="0" borderId="1" xfId="293" applyFont="1" applyFill="1" applyBorder="1" applyAlignment="1">
      <alignment horizontal="center" vertical="center"/>
    </xf>
    <xf numFmtId="43" fontId="256" fillId="0" borderId="1" xfId="293" applyNumberFormat="1" applyFont="1" applyFill="1" applyBorder="1" applyAlignment="1">
      <alignment horizontal="center" vertical="center" wrapText="1"/>
    </xf>
    <xf numFmtId="49" fontId="256" fillId="0" borderId="1" xfId="293" applyNumberFormat="1" applyFont="1" applyFill="1" applyBorder="1" applyAlignment="1">
      <alignment horizontal="center" vertical="center" wrapText="1"/>
    </xf>
    <xf numFmtId="0" fontId="279" fillId="0" borderId="0" xfId="292" applyFont="1" applyFill="1" applyAlignment="1">
      <alignment horizontal="center" vertical="center"/>
    </xf>
    <xf numFmtId="14" fontId="279" fillId="7" borderId="1" xfId="292" applyNumberFormat="1" applyFont="1" applyFill="1" applyBorder="1" applyAlignment="1">
      <alignment horizontal="center" vertical="center" wrapText="1"/>
    </xf>
    <xf numFmtId="0" fontId="279" fillId="7" borderId="1" xfId="292" applyFont="1" applyFill="1" applyBorder="1" applyAlignment="1">
      <alignment horizontal="center" vertical="center" wrapText="1"/>
    </xf>
    <xf numFmtId="49" fontId="256" fillId="7" borderId="1" xfId="292" applyNumberFormat="1" applyFont="1" applyFill="1" applyBorder="1" applyAlignment="1">
      <alignment horizontal="center" vertical="center" wrapText="1"/>
    </xf>
    <xf numFmtId="0" fontId="279" fillId="7" borderId="1" xfId="292" applyNumberFormat="1" applyFont="1" applyFill="1" applyBorder="1" applyAlignment="1">
      <alignment horizontal="center" vertical="center" wrapText="1"/>
    </xf>
    <xf numFmtId="176" fontId="279" fillId="7" borderId="1" xfId="293" applyFont="1" applyFill="1" applyBorder="1" applyAlignment="1">
      <alignment horizontal="center" vertical="center"/>
    </xf>
    <xf numFmtId="49" fontId="279" fillId="7" borderId="1" xfId="292" applyNumberFormat="1" applyFont="1" applyFill="1" applyBorder="1" applyAlignment="1">
      <alignment horizontal="center" vertical="center" wrapText="1"/>
    </xf>
    <xf numFmtId="49" fontId="279" fillId="0" borderId="1" xfId="292" applyNumberFormat="1" applyFont="1" applyFill="1" applyBorder="1" applyAlignment="1">
      <alignment horizontal="center" vertical="center" wrapText="1"/>
    </xf>
    <xf numFmtId="0" fontId="279" fillId="7" borderId="1" xfId="293" applyNumberFormat="1" applyFont="1" applyFill="1" applyBorder="1" applyAlignment="1">
      <alignment horizontal="center" vertical="center" wrapText="1"/>
    </xf>
    <xf numFmtId="176" fontId="279" fillId="7" borderId="1" xfId="293" applyFont="1" applyFill="1" applyBorder="1" applyAlignment="1">
      <alignment horizontal="center" vertical="center" wrapText="1"/>
    </xf>
    <xf numFmtId="197" fontId="279" fillId="7" borderId="1" xfId="292" applyNumberFormat="1" applyFont="1" applyFill="1" applyBorder="1" applyAlignment="1">
      <alignment horizontal="center" vertical="center" wrapText="1"/>
    </xf>
    <xf numFmtId="0" fontId="279" fillId="7" borderId="1" xfId="292" applyFont="1" applyFill="1" applyBorder="1" applyAlignment="1">
      <alignment horizontal="center" vertical="center"/>
    </xf>
    <xf numFmtId="43" fontId="279" fillId="7" borderId="1" xfId="293" applyNumberFormat="1" applyFont="1" applyFill="1" applyBorder="1" applyAlignment="1">
      <alignment horizontal="center" vertical="center" wrapText="1"/>
    </xf>
    <xf numFmtId="49" fontId="279" fillId="7" borderId="1" xfId="293" applyNumberFormat="1" applyFont="1" applyFill="1" applyBorder="1" applyAlignment="1">
      <alignment horizontal="center" vertical="center" wrapText="1"/>
    </xf>
    <xf numFmtId="0" fontId="279" fillId="7" borderId="0" xfId="292" applyFont="1" applyFill="1" applyBorder="1" applyAlignment="1">
      <alignment horizontal="center" vertical="center"/>
    </xf>
    <xf numFmtId="197" fontId="256" fillId="7" borderId="1" xfId="292" applyNumberFormat="1" applyFont="1" applyFill="1" applyBorder="1" applyAlignment="1">
      <alignment horizontal="center" vertical="center" wrapText="1"/>
    </xf>
    <xf numFmtId="14" fontId="256" fillId="7" borderId="1" xfId="292" applyNumberFormat="1" applyFont="1" applyFill="1" applyBorder="1" applyAlignment="1">
      <alignment horizontal="center" vertical="center" wrapText="1"/>
    </xf>
    <xf numFmtId="197" fontId="256" fillId="0" borderId="1" xfId="292" applyNumberFormat="1" applyFont="1" applyFill="1" applyBorder="1" applyAlignment="1">
      <alignment horizontal="center" vertical="center"/>
    </xf>
    <xf numFmtId="0" fontId="256" fillId="0" borderId="1" xfId="292" applyFont="1" applyFill="1" applyBorder="1" applyAlignment="1" applyProtection="1">
      <alignment horizontal="center" vertical="center" wrapText="1"/>
      <protection locked="0"/>
    </xf>
    <xf numFmtId="14" fontId="279" fillId="0" borderId="1" xfId="292" applyNumberFormat="1" applyFont="1" applyFill="1" applyBorder="1" applyAlignment="1">
      <alignment horizontal="center" vertical="center" wrapText="1"/>
    </xf>
    <xf numFmtId="197" fontId="279" fillId="0" borderId="1" xfId="292" applyNumberFormat="1" applyFont="1" applyFill="1" applyBorder="1" applyAlignment="1">
      <alignment horizontal="center" vertical="center" wrapText="1"/>
    </xf>
    <xf numFmtId="0" fontId="279" fillId="0" borderId="1" xfId="292" applyFont="1" applyFill="1" applyBorder="1" applyAlignment="1">
      <alignment horizontal="center" vertical="center" wrapText="1"/>
    </xf>
    <xf numFmtId="0" fontId="279" fillId="0" borderId="1" xfId="292" applyNumberFormat="1" applyFont="1" applyFill="1" applyBorder="1" applyAlignment="1">
      <alignment horizontal="center" vertical="center" wrapText="1"/>
    </xf>
    <xf numFmtId="0" fontId="279" fillId="0" borderId="1" xfId="293" applyNumberFormat="1" applyFont="1" applyFill="1" applyBorder="1" applyAlignment="1">
      <alignment horizontal="center" vertical="center" wrapText="1"/>
    </xf>
    <xf numFmtId="176" fontId="279" fillId="0" borderId="1" xfId="293" applyFont="1" applyFill="1" applyBorder="1" applyAlignment="1">
      <alignment horizontal="center" vertical="center" wrapText="1"/>
    </xf>
    <xf numFmtId="197" fontId="279" fillId="0" borderId="13" xfId="292" applyNumberFormat="1" applyFont="1" applyFill="1" applyBorder="1" applyAlignment="1">
      <alignment horizontal="center" vertical="center" wrapText="1"/>
    </xf>
    <xf numFmtId="49" fontId="279" fillId="0" borderId="13" xfId="292" applyNumberFormat="1" applyFont="1" applyFill="1" applyBorder="1" applyAlignment="1">
      <alignment horizontal="center" vertical="center" wrapText="1"/>
    </xf>
    <xf numFmtId="176" fontId="279" fillId="0" borderId="1" xfId="293" applyFont="1" applyFill="1" applyBorder="1" applyAlignment="1">
      <alignment horizontal="center" vertical="center"/>
    </xf>
    <xf numFmtId="43" fontId="279" fillId="0" borderId="1" xfId="293" applyNumberFormat="1" applyFont="1" applyFill="1" applyBorder="1" applyAlignment="1">
      <alignment horizontal="center" vertical="center" wrapText="1"/>
    </xf>
    <xf numFmtId="0" fontId="279" fillId="0" borderId="1" xfId="292" applyFont="1" applyFill="1" applyBorder="1" applyAlignment="1">
      <alignment horizontal="center" vertical="center"/>
    </xf>
    <xf numFmtId="49" fontId="279" fillId="0" borderId="1" xfId="293" applyNumberFormat="1" applyFont="1" applyFill="1" applyBorder="1" applyAlignment="1">
      <alignment horizontal="center" vertical="center" wrapText="1"/>
    </xf>
    <xf numFmtId="14" fontId="256" fillId="0" borderId="1" xfId="292" applyNumberFormat="1" applyFont="1" applyFill="1" applyBorder="1" applyAlignment="1">
      <alignment horizontal="center" vertical="center"/>
    </xf>
    <xf numFmtId="49" fontId="256" fillId="0" borderId="1" xfId="292" applyNumberFormat="1" applyFont="1" applyFill="1" applyBorder="1" applyAlignment="1">
      <alignment horizontal="center" vertical="center"/>
    </xf>
    <xf numFmtId="0" fontId="256" fillId="0" borderId="1" xfId="292" applyNumberFormat="1" applyFont="1" applyFill="1" applyBorder="1" applyAlignment="1">
      <alignment horizontal="center" vertical="center"/>
    </xf>
    <xf numFmtId="0" fontId="256" fillId="0" borderId="1" xfId="293" applyNumberFormat="1" applyFont="1" applyFill="1" applyBorder="1" applyAlignment="1">
      <alignment horizontal="center" vertical="center"/>
    </xf>
    <xf numFmtId="197" fontId="256" fillId="7" borderId="1" xfId="292" applyNumberFormat="1" applyFont="1" applyFill="1" applyBorder="1" applyAlignment="1">
      <alignment horizontal="center" vertical="center"/>
    </xf>
    <xf numFmtId="43" fontId="256" fillId="0" borderId="1" xfId="293" applyNumberFormat="1" applyFont="1" applyFill="1" applyBorder="1" applyAlignment="1">
      <alignment horizontal="center" vertical="center"/>
    </xf>
    <xf numFmtId="43" fontId="256" fillId="0" borderId="1" xfId="292" applyNumberFormat="1" applyFont="1" applyFill="1" applyBorder="1" applyAlignment="1">
      <alignment horizontal="center" vertical="center"/>
    </xf>
    <xf numFmtId="49" fontId="256" fillId="0" borderId="1" xfId="293" applyNumberFormat="1" applyFont="1" applyFill="1" applyBorder="1" applyAlignment="1">
      <alignment horizontal="center" vertical="center"/>
    </xf>
    <xf numFmtId="0" fontId="256" fillId="7" borderId="0" xfId="292" applyFont="1" applyFill="1" applyAlignment="1">
      <alignment horizontal="center" vertical="center"/>
    </xf>
    <xf numFmtId="0" fontId="256" fillId="0" borderId="1" xfId="267" applyNumberFormat="1" applyFont="1" applyFill="1" applyBorder="1" applyAlignment="1">
      <alignment horizontal="center" vertical="center"/>
    </xf>
    <xf numFmtId="43" fontId="256" fillId="0" borderId="1" xfId="267" applyFont="1" applyFill="1" applyBorder="1" applyAlignment="1">
      <alignment horizontal="center" vertical="center" wrapText="1"/>
    </xf>
    <xf numFmtId="0" fontId="256" fillId="20" borderId="1" xfId="292" applyFont="1" applyFill="1" applyBorder="1" applyAlignment="1">
      <alignment horizontal="center" vertical="center" wrapText="1"/>
    </xf>
    <xf numFmtId="14" fontId="256" fillId="20" borderId="1" xfId="292" applyNumberFormat="1" applyFont="1" applyFill="1" applyBorder="1" applyAlignment="1">
      <alignment horizontal="center" vertical="center" wrapText="1"/>
    </xf>
    <xf numFmtId="197" fontId="256" fillId="20" borderId="1" xfId="292" applyNumberFormat="1" applyFont="1" applyFill="1" applyBorder="1" applyAlignment="1">
      <alignment horizontal="center" vertical="center" wrapText="1"/>
    </xf>
    <xf numFmtId="49" fontId="256" fillId="20" borderId="1" xfId="292" applyNumberFormat="1" applyFont="1" applyFill="1" applyBorder="1" applyAlignment="1">
      <alignment horizontal="center" vertical="center" wrapText="1"/>
    </xf>
    <xf numFmtId="0" fontId="256" fillId="20" borderId="1" xfId="292" applyNumberFormat="1" applyFont="1" applyFill="1" applyBorder="1" applyAlignment="1">
      <alignment horizontal="center" vertical="center" wrapText="1"/>
    </xf>
    <xf numFmtId="0" fontId="256" fillId="20" borderId="1" xfId="293" applyNumberFormat="1" applyFont="1" applyFill="1" applyBorder="1" applyAlignment="1">
      <alignment horizontal="center" vertical="center" wrapText="1"/>
    </xf>
    <xf numFmtId="176" fontId="256" fillId="20" borderId="1" xfId="293" applyFont="1" applyFill="1" applyBorder="1" applyAlignment="1">
      <alignment horizontal="center" vertical="center" wrapText="1"/>
    </xf>
    <xf numFmtId="176" fontId="256" fillId="20" borderId="1" xfId="293" applyFont="1" applyFill="1" applyBorder="1" applyAlignment="1">
      <alignment horizontal="center" vertical="center"/>
    </xf>
    <xf numFmtId="0" fontId="256" fillId="20" borderId="1" xfId="292" applyFont="1" applyFill="1" applyBorder="1" applyAlignment="1">
      <alignment horizontal="center" vertical="center"/>
    </xf>
    <xf numFmtId="43" fontId="256" fillId="20" borderId="1" xfId="293" applyNumberFormat="1" applyFont="1" applyFill="1" applyBorder="1" applyAlignment="1">
      <alignment horizontal="center" vertical="center" wrapText="1"/>
    </xf>
    <xf numFmtId="49" fontId="256" fillId="20" borderId="1" xfId="293" applyNumberFormat="1" applyFont="1" applyFill="1" applyBorder="1" applyAlignment="1">
      <alignment horizontal="center" vertical="center" wrapText="1"/>
    </xf>
    <xf numFmtId="176" fontId="265" fillId="20" borderId="1" xfId="293" applyFont="1" applyFill="1" applyBorder="1" applyAlignment="1">
      <alignment horizontal="center" vertical="center"/>
    </xf>
    <xf numFmtId="0" fontId="256" fillId="20" borderId="0" xfId="292" applyFont="1" applyFill="1" applyAlignment="1">
      <alignment horizontal="center" vertical="center"/>
    </xf>
    <xf numFmtId="14" fontId="279" fillId="0" borderId="1" xfId="264" applyNumberFormat="1" applyFont="1" applyFill="1" applyBorder="1" applyAlignment="1">
      <alignment horizontal="center" vertical="center" wrapText="1"/>
    </xf>
    <xf numFmtId="197" fontId="279" fillId="0" borderId="1" xfId="264" applyNumberFormat="1" applyFont="1" applyFill="1" applyBorder="1" applyAlignment="1">
      <alignment horizontal="center" vertical="center"/>
    </xf>
    <xf numFmtId="0" fontId="279" fillId="0" borderId="1" xfId="264" applyFont="1" applyFill="1" applyBorder="1" applyAlignment="1">
      <alignment horizontal="center" vertical="center" wrapText="1"/>
    </xf>
    <xf numFmtId="49" fontId="279" fillId="0" borderId="1" xfId="264" applyNumberFormat="1" applyFont="1" applyFill="1" applyBorder="1" applyAlignment="1">
      <alignment horizontal="center" vertical="center" wrapText="1"/>
    </xf>
    <xf numFmtId="0" fontId="279" fillId="0" borderId="1" xfId="264" applyNumberFormat="1" applyFont="1" applyFill="1" applyBorder="1" applyAlignment="1">
      <alignment horizontal="center" vertical="center" wrapText="1"/>
    </xf>
    <xf numFmtId="49" fontId="279" fillId="0" borderId="1" xfId="264" applyNumberFormat="1" applyFont="1" applyFill="1" applyBorder="1" applyAlignment="1">
      <alignment horizontal="center" vertical="center"/>
    </xf>
    <xf numFmtId="49" fontId="256" fillId="0" borderId="1" xfId="264" applyNumberFormat="1" applyFont="1" applyFill="1" applyBorder="1" applyAlignment="1">
      <alignment horizontal="center" vertical="center" wrapText="1"/>
    </xf>
    <xf numFmtId="0" fontId="279" fillId="0" borderId="1" xfId="264" applyNumberFormat="1" applyFont="1" applyFill="1" applyBorder="1" applyAlignment="1">
      <alignment horizontal="center" vertical="center"/>
    </xf>
    <xf numFmtId="14" fontId="279" fillId="0" borderId="1" xfId="264" applyNumberFormat="1" applyFont="1" applyFill="1" applyBorder="1" applyAlignment="1">
      <alignment horizontal="center" vertical="center"/>
    </xf>
    <xf numFmtId="197" fontId="279" fillId="0" borderId="1" xfId="264" applyNumberFormat="1" applyFont="1" applyFill="1" applyBorder="1" applyAlignment="1">
      <alignment horizontal="center" vertical="center" wrapText="1"/>
    </xf>
    <xf numFmtId="43" fontId="279" fillId="0" borderId="1" xfId="282" applyFont="1" applyFill="1" applyBorder="1" applyAlignment="1">
      <alignment horizontal="center" vertical="center"/>
    </xf>
    <xf numFmtId="176" fontId="279" fillId="0" borderId="1" xfId="293" applyFont="1" applyFill="1" applyBorder="1" applyAlignment="1">
      <alignment vertical="center"/>
    </xf>
    <xf numFmtId="14" fontId="279" fillId="0" borderId="1" xfId="282" applyNumberFormat="1" applyFont="1" applyFill="1" applyBorder="1" applyAlignment="1">
      <alignment horizontal="center" vertical="center"/>
    </xf>
    <xf numFmtId="43" fontId="279" fillId="0" borderId="1" xfId="282" applyFont="1" applyFill="1" applyBorder="1" applyAlignment="1">
      <alignment horizontal="center" vertical="center" wrapText="1"/>
    </xf>
    <xf numFmtId="14" fontId="279" fillId="0" borderId="1" xfId="282" applyNumberFormat="1" applyFont="1" applyFill="1" applyBorder="1" applyAlignment="1">
      <alignment horizontal="center" vertical="center" wrapText="1"/>
    </xf>
    <xf numFmtId="0" fontId="279" fillId="0" borderId="0" xfId="292" applyFont="1" applyFill="1" applyAlignment="1">
      <alignment vertical="center"/>
    </xf>
    <xf numFmtId="197" fontId="256" fillId="7" borderId="13" xfId="292" applyNumberFormat="1" applyFont="1" applyFill="1" applyBorder="1" applyAlignment="1">
      <alignment horizontal="center" vertical="center" wrapText="1"/>
    </xf>
    <xf numFmtId="14" fontId="256" fillId="7" borderId="13" xfId="292" applyNumberFormat="1" applyFont="1" applyFill="1" applyBorder="1" applyAlignment="1">
      <alignment horizontal="center" vertical="center" wrapText="1"/>
    </xf>
    <xf numFmtId="0" fontId="279" fillId="0" borderId="0" xfId="292" applyFont="1" applyFill="1" applyBorder="1" applyAlignment="1">
      <alignment horizontal="center" vertical="center"/>
    </xf>
    <xf numFmtId="176" fontId="256" fillId="0" borderId="0" xfId="293" applyFont="1" applyFill="1" applyBorder="1" applyAlignment="1">
      <alignment horizontal="center" vertical="center"/>
    </xf>
    <xf numFmtId="177" fontId="265" fillId="18" borderId="0" xfId="293" applyNumberFormat="1" applyFont="1" applyFill="1" applyBorder="1" applyAlignment="1">
      <alignment horizontal="center" vertical="center"/>
    </xf>
    <xf numFmtId="176" fontId="265" fillId="0" borderId="0" xfId="293" applyFont="1" applyFill="1" applyBorder="1" applyAlignment="1">
      <alignment horizontal="center" vertical="center"/>
    </xf>
    <xf numFmtId="0" fontId="262" fillId="0" borderId="0" xfId="292" applyFont="1" applyAlignment="1">
      <alignment vertical="center"/>
    </xf>
    <xf numFmtId="0" fontId="262" fillId="0" borderId="0" xfId="292" applyFont="1" applyFill="1" applyAlignment="1">
      <alignment vertical="center"/>
    </xf>
    <xf numFmtId="0" fontId="262" fillId="0" borderId="0" xfId="292" applyFont="1" applyAlignment="1">
      <alignment vertical="center" wrapText="1"/>
    </xf>
    <xf numFmtId="0" fontId="263" fillId="0" borderId="0" xfId="292" applyFont="1" applyAlignment="1">
      <alignment vertical="center"/>
    </xf>
    <xf numFmtId="0" fontId="262" fillId="0" borderId="0" xfId="292" applyFont="1" applyBorder="1" applyAlignment="1">
      <alignment vertical="center"/>
    </xf>
    <xf numFmtId="0" fontId="102" fillId="5" borderId="0" xfId="10" applyFont="1" applyFill="1" applyAlignment="1">
      <alignment horizontal="center" vertical="center" wrapText="1"/>
    </xf>
    <xf numFmtId="197" fontId="256" fillId="11" borderId="0" xfId="292" applyNumberFormat="1" applyFont="1" applyFill="1" applyAlignment="1">
      <alignment horizontal="center" vertical="center"/>
    </xf>
    <xf numFmtId="197" fontId="256" fillId="11" borderId="0" xfId="292" applyNumberFormat="1" applyFont="1" applyFill="1" applyBorder="1" applyAlignment="1">
      <alignment horizontal="center" vertical="center"/>
    </xf>
    <xf numFmtId="176" fontId="256" fillId="11" borderId="13" xfId="293" applyFont="1" applyFill="1" applyBorder="1" applyAlignment="1">
      <alignment horizontal="center" vertical="center" wrapText="1"/>
    </xf>
    <xf numFmtId="176" fontId="256" fillId="11" borderId="0" xfId="293" applyFont="1" applyFill="1" applyBorder="1" applyAlignment="1">
      <alignment horizontal="center" vertical="center"/>
    </xf>
    <xf numFmtId="0" fontId="262" fillId="11" borderId="0" xfId="292" applyFont="1" applyFill="1" applyAlignment="1">
      <alignment vertical="center"/>
    </xf>
    <xf numFmtId="176" fontId="275" fillId="11" borderId="13" xfId="293"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49" fontId="102" fillId="11" borderId="0" xfId="10" applyNumberFormat="1" applyFont="1" applyFill="1" applyAlignment="1">
      <alignment horizontal="center" vertical="center" wrapText="1"/>
    </xf>
    <xf numFmtId="14" fontId="102" fillId="11" borderId="0" xfId="10" applyNumberFormat="1" applyFont="1" applyFill="1" applyAlignment="1">
      <alignment horizontal="center" vertical="center" wrapText="1"/>
    </xf>
    <xf numFmtId="0" fontId="102" fillId="11" borderId="0" xfId="10" applyFont="1" applyFill="1" applyAlignment="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19" fillId="16" borderId="13"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49" fontId="276"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49" fontId="102" fillId="0" borderId="1" xfId="10" applyNumberFormat="1" applyFont="1" applyBorder="1" applyAlignment="1">
      <alignment horizontal="center" vertical="center" wrapText="1"/>
    </xf>
    <xf numFmtId="0" fontId="102" fillId="0" borderId="1" xfId="10" applyFont="1" applyBorder="1" applyAlignment="1">
      <alignment horizontal="center" vertical="center" wrapText="1"/>
    </xf>
    <xf numFmtId="49" fontId="102" fillId="0" borderId="5" xfId="10" applyNumberFormat="1" applyFont="1" applyBorder="1" applyAlignment="1">
      <alignment horizontal="center" vertical="center" wrapText="1"/>
    </xf>
    <xf numFmtId="49" fontId="102" fillId="0" borderId="3" xfId="10" applyNumberFormat="1" applyFont="1" applyBorder="1" applyAlignment="1">
      <alignment horizontal="center" vertical="center" wrapText="1"/>
    </xf>
    <xf numFmtId="0" fontId="102" fillId="0" borderId="5" xfId="10" applyFont="1" applyBorder="1" applyAlignment="1">
      <alignment horizontal="center" vertical="center" wrapText="1"/>
    </xf>
    <xf numFmtId="0" fontId="102" fillId="0" borderId="3" xfId="10" applyFont="1" applyBorder="1" applyAlignment="1">
      <alignment horizontal="center" vertical="center" wrapText="1"/>
    </xf>
    <xf numFmtId="0" fontId="276" fillId="0" borderId="5" xfId="10" applyFont="1" applyBorder="1" applyAlignment="1">
      <alignment horizontal="center" vertical="center" wrapText="1"/>
    </xf>
    <xf numFmtId="0" fontId="276" fillId="0" borderId="54" xfId="10" applyFont="1" applyBorder="1" applyAlignment="1">
      <alignment horizontal="center" vertical="center" wrapText="1"/>
    </xf>
    <xf numFmtId="0" fontId="276" fillId="0" borderId="3" xfId="10" applyFont="1" applyBorder="1" applyAlignment="1">
      <alignment horizontal="center" vertical="center" wrapText="1"/>
    </xf>
    <xf numFmtId="49" fontId="102" fillId="0" borderId="13" xfId="10" applyNumberFormat="1" applyFont="1" applyBorder="1" applyAlignment="1">
      <alignment horizontal="center" vertical="center" wrapText="1"/>
    </xf>
    <xf numFmtId="49" fontId="102" fillId="0" borderId="2" xfId="10" applyNumberFormat="1" applyFont="1" applyBorder="1" applyAlignment="1">
      <alignment horizontal="center" vertical="center" wrapText="1"/>
    </xf>
    <xf numFmtId="0" fontId="102" fillId="0" borderId="13" xfId="10" applyFont="1" applyBorder="1" applyAlignment="1">
      <alignment horizontal="center" vertical="center" wrapText="1"/>
    </xf>
    <xf numFmtId="0" fontId="102" fillId="0" borderId="15" xfId="10" applyFont="1" applyBorder="1" applyAlignment="1">
      <alignment horizontal="center" vertical="center" wrapText="1"/>
    </xf>
    <xf numFmtId="0" fontId="102" fillId="0" borderId="2" xfId="10" applyFont="1" applyBorder="1" applyAlignment="1">
      <alignment horizontal="center" vertical="center" wrapText="1"/>
    </xf>
    <xf numFmtId="49" fontId="102" fillId="0" borderId="15" xfId="10" applyNumberFormat="1" applyFont="1" applyBorder="1" applyAlignment="1">
      <alignment horizontal="center" vertical="center" wrapText="1"/>
    </xf>
    <xf numFmtId="49" fontId="276" fillId="0" borderId="5" xfId="10" applyNumberFormat="1" applyFont="1" applyBorder="1" applyAlignment="1">
      <alignment horizontal="center" vertical="center" wrapText="1"/>
    </xf>
    <xf numFmtId="49" fontId="276" fillId="0" borderId="54" xfId="10" applyNumberFormat="1" applyFont="1" applyBorder="1" applyAlignment="1">
      <alignment horizontal="center" vertical="center" wrapText="1"/>
    </xf>
    <xf numFmtId="49" fontId="276" fillId="0" borderId="3" xfId="10" applyNumberFormat="1" applyFont="1" applyBorder="1" applyAlignment="1">
      <alignment horizontal="center" vertical="center" wrapText="1"/>
    </xf>
    <xf numFmtId="0" fontId="265" fillId="5" borderId="15" xfId="292" applyNumberFormat="1" applyFont="1" applyFill="1" applyBorder="1" applyAlignment="1">
      <alignment horizontal="center" vertical="center" wrapText="1"/>
    </xf>
    <xf numFmtId="0" fontId="265" fillId="5" borderId="2" xfId="292" applyNumberFormat="1" applyFont="1" applyFill="1" applyBorder="1" applyAlignment="1">
      <alignment horizontal="center" vertical="center" wrapText="1"/>
    </xf>
    <xf numFmtId="0" fontId="265" fillId="5" borderId="13" xfId="292" applyNumberFormat="1" applyFont="1" applyFill="1" applyBorder="1" applyAlignment="1">
      <alignment horizontal="center" vertical="center"/>
    </xf>
    <xf numFmtId="0" fontId="265" fillId="5" borderId="2" xfId="292" applyNumberFormat="1" applyFont="1" applyFill="1" applyBorder="1" applyAlignment="1">
      <alignment horizontal="center" vertical="center"/>
    </xf>
    <xf numFmtId="0" fontId="265" fillId="5" borderId="15" xfId="292" applyNumberFormat="1" applyFont="1" applyFill="1" applyBorder="1" applyAlignment="1">
      <alignment horizontal="center" vertical="center"/>
    </xf>
    <xf numFmtId="0" fontId="265" fillId="5" borderId="1" xfId="292" applyNumberFormat="1" applyFont="1" applyFill="1" applyBorder="1" applyAlignment="1">
      <alignment vertical="center"/>
    </xf>
    <xf numFmtId="0" fontId="265" fillId="5" borderId="1" xfId="292" applyNumberFormat="1" applyFont="1" applyFill="1" applyBorder="1" applyAlignment="1">
      <alignment horizontal="center" vertical="center" wrapText="1"/>
    </xf>
    <xf numFmtId="0" fontId="265" fillId="5" borderId="13" xfId="292" applyNumberFormat="1" applyFont="1" applyFill="1" applyBorder="1" applyAlignment="1">
      <alignment horizontal="center" vertical="center" wrapText="1"/>
    </xf>
    <xf numFmtId="0" fontId="265" fillId="11" borderId="1" xfId="292" applyNumberFormat="1" applyFont="1" applyFill="1" applyBorder="1" applyAlignment="1">
      <alignment horizontal="center" vertical="center" wrapText="1"/>
    </xf>
    <xf numFmtId="0" fontId="265" fillId="5" borderId="1" xfId="292" applyNumberFormat="1" applyFont="1" applyFill="1" applyBorder="1" applyAlignment="1">
      <alignment horizontal="center" vertical="center"/>
    </xf>
    <xf numFmtId="0" fontId="265" fillId="5" borderId="5" xfId="292" applyNumberFormat="1" applyFont="1" applyFill="1" applyBorder="1" applyAlignment="1">
      <alignment horizontal="center" vertical="center"/>
    </xf>
    <xf numFmtId="0" fontId="265" fillId="5" borderId="54" xfId="292" applyNumberFormat="1" applyFont="1" applyFill="1" applyBorder="1" applyAlignment="1">
      <alignment horizontal="center" vertical="center"/>
    </xf>
    <xf numFmtId="0" fontId="265" fillId="5" borderId="3" xfId="292" applyNumberFormat="1" applyFont="1" applyFill="1" applyBorder="1" applyAlignment="1">
      <alignment horizontal="center" vertical="center"/>
    </xf>
    <xf numFmtId="0" fontId="265" fillId="5" borderId="13" xfId="293" applyNumberFormat="1" applyFont="1" applyFill="1" applyBorder="1" applyAlignment="1">
      <alignment horizontal="center" vertical="center"/>
    </xf>
    <xf numFmtId="0" fontId="265" fillId="5" borderId="2" xfId="293" applyNumberFormat="1" applyFont="1" applyFill="1" applyBorder="1" applyAlignment="1">
      <alignment horizontal="center" vertical="center"/>
    </xf>
    <xf numFmtId="0" fontId="265" fillId="5" borderId="13" xfId="13" applyNumberFormat="1" applyFont="1" applyFill="1" applyBorder="1" applyAlignment="1">
      <alignment horizontal="center" vertical="center"/>
    </xf>
    <xf numFmtId="0" fontId="265" fillId="5" borderId="15"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xf>
    <xf numFmtId="0" fontId="265" fillId="5" borderId="1" xfId="13" applyNumberFormat="1" applyFont="1" applyFill="1" applyBorder="1" applyAlignment="1">
      <alignment horizontal="center" vertical="center" wrapText="1"/>
    </xf>
    <xf numFmtId="0" fontId="265" fillId="5" borderId="13"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wrapText="1"/>
    </xf>
    <xf numFmtId="0" fontId="265" fillId="5" borderId="2"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87" fontId="265" fillId="22" borderId="1" xfId="13" applyNumberFormat="1" applyFont="1" applyFill="1" applyBorder="1" applyAlignment="1">
      <alignment horizontal="center" vertical="center" wrapText="1"/>
    </xf>
    <xf numFmtId="0" fontId="265" fillId="5" borderId="1" xfId="13" applyNumberFormat="1" applyFont="1" applyFill="1" applyBorder="1" applyAlignment="1">
      <alignment vertical="center"/>
    </xf>
    <xf numFmtId="191" fontId="265" fillId="5" borderId="1" xfId="13" applyNumberFormat="1" applyFont="1" applyFill="1" applyBorder="1" applyAlignment="1">
      <alignment horizontal="center" vertical="center"/>
    </xf>
    <xf numFmtId="0" fontId="265" fillId="5" borderId="13" xfId="265" applyNumberFormat="1" applyFont="1" applyFill="1" applyBorder="1" applyAlignment="1">
      <alignment horizontal="center" vertical="center"/>
    </xf>
    <xf numFmtId="0" fontId="265" fillId="5" borderId="2" xfId="265"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1" fontId="265" fillId="5" borderId="5" xfId="13" applyNumberFormat="1" applyFont="1" applyFill="1" applyBorder="1" applyAlignment="1">
      <alignment horizontal="center" vertical="center"/>
    </xf>
    <xf numFmtId="191" fontId="265" fillId="5" borderId="3" xfId="13" applyNumberFormat="1" applyFont="1" applyFill="1" applyBorder="1" applyAlignment="1">
      <alignment horizontal="center" vertical="center"/>
    </xf>
    <xf numFmtId="0" fontId="265" fillId="22" borderId="1" xfId="13" applyNumberFormat="1" applyFont="1" applyFill="1" applyBorder="1" applyAlignment="1">
      <alignment horizontal="center" vertical="center" wrapText="1"/>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180" fontId="262" fillId="0" borderId="0" xfId="292" applyNumberFormat="1" applyFont="1" applyAlignment="1">
      <alignment vertical="center"/>
    </xf>
    <xf numFmtId="43" fontId="262" fillId="0" borderId="0" xfId="292" applyNumberFormat="1" applyFont="1" applyAlignment="1">
      <alignment vertical="center"/>
    </xf>
    <xf numFmtId="43" fontId="47" fillId="11" borderId="23" xfId="0" applyNumberFormat="1" applyFont="1" applyFill="1" applyBorder="1" applyAlignment="1" applyProtection="1">
      <alignment vertical="center"/>
      <protection locked="0"/>
    </xf>
  </cellXfs>
  <cellStyles count="294">
    <cellStyle name="百分比 2" xfId="290"/>
    <cellStyle name="常规" xfId="0" builtinId="0"/>
    <cellStyle name="常规 10" xfId="13"/>
    <cellStyle name="常规 10 2" xfId="14"/>
    <cellStyle name="常规 11" xfId="15"/>
    <cellStyle name="常规 12" xfId="16"/>
    <cellStyle name="常规 13" xfId="292"/>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26" xfId="291"/>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10" xfId="293"/>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ont>
        <color indexed="60"/>
      </font>
      <fill>
        <patternFill>
          <fgColor indexed="10"/>
          <bgColor indexed="29"/>
        </patternFill>
      </fill>
    </dxf>
    <dxf>
      <font>
        <color indexed="60"/>
      </font>
      <fill>
        <patternFill>
          <fgColor indexed="10"/>
          <bgColor indexed="29"/>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2825;&#27915;&#24191;&#22330;&#22320;&#19979;&#26356;&#25913;&#26102;&#28857;10&#26376;25&#26085;2016.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A/2016-1-A-1-137%20&#12289;139%20&#22825;&#27915;&#24191;&#22330;&#21830;&#19994;&#12289;&#21806;&#27004;&#22788;/&#21326;&#34701;/&#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租赁情况表"/>
      <sheetName val="面积分摊表"/>
      <sheetName val="数据-基础表"/>
      <sheetName val="抵押物清单（分楼）"/>
      <sheetName val="数据-汇总表"/>
      <sheetName val="数据-取费表"/>
      <sheetName val="估价对象房地状况"/>
      <sheetName val="结果表"/>
      <sheetName val="成本法"/>
      <sheetName val="假设开发法"/>
      <sheetName val="收益法 (2)"/>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H8" t="str">
            <v>公共配套</v>
          </cell>
          <cell r="I8" t="str">
            <v>0-10（含）</v>
          </cell>
        </row>
        <row r="9">
          <cell r="A9" t="str">
            <v>联排</v>
          </cell>
          <cell r="B9" t="str">
            <v>比较法-车位</v>
          </cell>
          <cell r="C9" t="str">
            <v>八级</v>
          </cell>
          <cell r="F9" t="str">
            <v>仓储</v>
          </cell>
          <cell r="H9" t="str">
            <v>设备及其他</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refreshError="1"/>
      <sheetData sheetId="1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4" refreshError="1"/>
      <sheetData sheetId="15" refreshError="1"/>
      <sheetData sheetId="16" refreshError="1"/>
      <sheetData sheetId="17" refreshError="1"/>
      <sheetData sheetId="18">
        <row r="17">
          <cell r="C17" t="str">
            <v>项目类型1</v>
          </cell>
        </row>
        <row r="19">
          <cell r="C19" t="str">
            <v>商业</v>
          </cell>
        </row>
      </sheetData>
      <sheetData sheetId="19">
        <row r="5">
          <cell r="A5" t="str">
            <v>项目类型2</v>
          </cell>
        </row>
        <row r="6">
          <cell r="A6" t="str">
            <v>出租</v>
          </cell>
        </row>
        <row r="7">
          <cell r="A7" t="str">
            <v>自用</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sheetData>
      <sheetData sheetId="20" refreshError="1"/>
      <sheetData sheetId="21" refreshError="1"/>
      <sheetData sheetId="22" refreshError="1"/>
      <sheetData sheetId="23" refreshError="1"/>
      <sheetData sheetId="24" refreshError="1"/>
      <sheetData sheetId="25" refreshError="1"/>
      <sheetData sheetId="26">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7">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v>1</v>
          </cell>
          <cell r="D88">
            <v>2</v>
          </cell>
          <cell r="E88">
            <v>3</v>
          </cell>
          <cell r="F88">
            <v>4</v>
          </cell>
          <cell r="G88" t="str">
            <v>1-2</v>
          </cell>
          <cell r="H88" t="str">
            <v>-1至-2</v>
          </cell>
        </row>
        <row r="96">
          <cell r="B96" t="str">
            <v>商业类型</v>
          </cell>
          <cell r="C96" t="str">
            <v>独栋商业</v>
          </cell>
          <cell r="D96" t="str">
            <v>商业街</v>
          </cell>
          <cell r="E96" t="str">
            <v>底商</v>
          </cell>
          <cell r="J96" t="str">
            <v>购物中心</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8">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9">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30">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31">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32">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33">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4">
        <row r="5">
          <cell r="B5" t="str">
            <v>修正项2</v>
          </cell>
          <cell r="C5">
            <v>111</v>
          </cell>
          <cell r="D5">
            <v>112</v>
          </cell>
          <cell r="E5">
            <v>113</v>
          </cell>
          <cell r="F5">
            <v>114</v>
          </cell>
          <cell r="G5">
            <v>115</v>
          </cell>
          <cell r="S5">
            <v>2</v>
          </cell>
        </row>
        <row r="7">
          <cell r="B7" t="str">
            <v>修正项3</v>
          </cell>
          <cell r="C7">
            <v>211</v>
          </cell>
          <cell r="D7">
            <v>212</v>
          </cell>
          <cell r="E7">
            <v>213</v>
          </cell>
          <cell r="F7">
            <v>214</v>
          </cell>
          <cell r="G7">
            <v>215</v>
          </cell>
          <cell r="S7">
            <v>3</v>
          </cell>
        </row>
        <row r="9">
          <cell r="B9" t="str">
            <v>修正项4</v>
          </cell>
          <cell r="C9">
            <v>311</v>
          </cell>
          <cell r="D9">
            <v>312</v>
          </cell>
          <cell r="E9">
            <v>313</v>
          </cell>
          <cell r="F9">
            <v>314</v>
          </cell>
          <cell r="G9">
            <v>315</v>
          </cell>
          <cell r="S9">
            <v>1.5</v>
          </cell>
        </row>
        <row r="11">
          <cell r="B11" t="str">
            <v>修正项5</v>
          </cell>
          <cell r="C11">
            <v>411</v>
          </cell>
          <cell r="D11">
            <v>412</v>
          </cell>
          <cell r="E11">
            <v>413</v>
          </cell>
          <cell r="F11">
            <v>414</v>
          </cell>
          <cell r="G11">
            <v>415</v>
          </cell>
          <cell r="S11">
            <v>0.5</v>
          </cell>
        </row>
        <row r="13">
          <cell r="B13" t="str">
            <v>修正项6</v>
          </cell>
          <cell r="C13">
            <v>511</v>
          </cell>
          <cell r="D13">
            <v>512</v>
          </cell>
          <cell r="E13">
            <v>513</v>
          </cell>
          <cell r="F13">
            <v>514</v>
          </cell>
          <cell r="G13">
            <v>515</v>
          </cell>
          <cell r="S13">
            <v>5</v>
          </cell>
        </row>
        <row r="15">
          <cell r="B15" t="str">
            <v>修正项7</v>
          </cell>
          <cell r="C15">
            <v>611</v>
          </cell>
          <cell r="D15">
            <v>612</v>
          </cell>
          <cell r="E15">
            <v>613</v>
          </cell>
          <cell r="F15">
            <v>614</v>
          </cell>
          <cell r="G15">
            <v>615</v>
          </cell>
        </row>
        <row r="17">
          <cell r="B17" t="str">
            <v>修正项8</v>
          </cell>
          <cell r="C17">
            <v>711</v>
          </cell>
          <cell r="D17">
            <v>712</v>
          </cell>
          <cell r="E17">
            <v>713</v>
          </cell>
          <cell r="F17">
            <v>714</v>
          </cell>
          <cell r="G17">
            <v>715</v>
          </cell>
        </row>
      </sheetData>
      <sheetData sheetId="35">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6" refreshError="1"/>
      <sheetData sheetId="3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10lf.com/news/2017/07/27/191900.html" TargetMode="Externa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河北省廊坊市三河市燕郊开发区规划路南北两侧天洋城天洋广场地下商业房地产抵押价值预评估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康正预评字2017-1-1008-P01DYGJ1号</v>
      </c>
    </row>
    <row r="6" spans="1:2" s="1591" customFormat="1" ht="15" thickTop="1">
      <c r="A6" s="1589" t="s">
        <v>1225</v>
      </c>
      <c r="B6" s="1590" t="str">
        <f>'预评函-1'!A4</f>
        <v>受贵公司委托，我公司对河北省廊坊市三河市燕郊开发区规划路南北两侧天洋城天洋广场地下商业房地产抵押价值进行了预评估。</v>
      </c>
    </row>
    <row r="7" spans="1:2" s="1594" customFormat="1">
      <c r="A7" s="1592" t="s">
        <v>1265</v>
      </c>
      <c r="B7" s="1593" t="str">
        <f>'预评函-1'!A7</f>
        <v>估价对象为河北省廊坊市三河市燕郊开发区规划路南北两侧天洋城天洋广场地下商业房地产，为天洋置地有限公司所有。根据《国有土地使用权》[三国用（燕开）第2010-026、029号]，估价对象（分摊）出让国有建设用地使用权面积为6298.25平方米，建筑面积为42395.67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南北两侧天洋城天洋广场地下商业房地产,为天洋置地有限公司开发建设的商业项目，该项目尚在开发建设中。根据《国有土地使用权》[三国用（燕开）第2010-026、029号]，估价对象（分摊）出让国有建设用地使用权面积为6298.25平方米，规划建筑面积为42395.67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41769</v>
      </c>
    </row>
    <row r="21" spans="1:2" s="1594" customFormat="1">
      <c r="A21" s="1592" t="s">
        <v>1236</v>
      </c>
      <c r="B21" s="1593">
        <f ca="1">'预评函-2'!D7</f>
        <v>9852</v>
      </c>
    </row>
    <row r="22" spans="1:2" s="1594" customFormat="1">
      <c r="A22" s="1592" t="s">
        <v>1237</v>
      </c>
      <c r="B22" s="1593" t="str">
        <f ca="1">'预评函-2'!D6</f>
        <v>肆亿壹仟柒佰陆拾玖万元整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41769</v>
      </c>
    </row>
    <row r="35" spans="1:2" s="1594" customFormat="1">
      <c r="A35" s="1592" t="s">
        <v>1276</v>
      </c>
      <c r="B35" s="1593">
        <f ca="1">'预评函-2'!D18</f>
        <v>9852</v>
      </c>
    </row>
    <row r="36" spans="1:2" s="1594" customFormat="1">
      <c r="A36" s="1592" t="s">
        <v>1243</v>
      </c>
      <c r="B36" s="1593" t="str">
        <f ca="1">'预评函-2'!D17</f>
        <v>肆亿壹仟柒佰陆拾玖万元整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河北省廊坊市三河市燕郊开发区规划路南北两侧天洋城天洋广场地下商业房地产</v>
      </c>
    </row>
    <row r="42" spans="1:2" s="1594" customFormat="1">
      <c r="A42" s="1592" t="s">
        <v>1289</v>
      </c>
      <c r="B42" s="1593" t="str">
        <f>'预评函-3'!B2</f>
        <v>建筑面积</v>
      </c>
    </row>
    <row r="43" spans="1:2" s="1594" customFormat="1">
      <c r="A43" s="1592" t="s">
        <v>1290</v>
      </c>
      <c r="B43" s="1593">
        <f>'预评函-3'!B4</f>
        <v>42395.67</v>
      </c>
    </row>
    <row r="44" spans="1:2" s="1594" customFormat="1">
      <c r="A44" s="1592" t="s">
        <v>1274</v>
      </c>
      <c r="B44" s="1593" t="str">
        <f>'预评函-3'!C2</f>
        <v>(分摊)土地面积</v>
      </c>
    </row>
    <row r="45" spans="1:2" s="1594" customFormat="1">
      <c r="A45" s="1592" t="s">
        <v>1246</v>
      </c>
      <c r="B45" s="1593">
        <f>'预评函-3'!C4</f>
        <v>6298.25</v>
      </c>
    </row>
    <row r="46" spans="1:2" s="1594" customFormat="1">
      <c r="A46" s="1592" t="s">
        <v>1272</v>
      </c>
      <c r="B46" s="1593" t="str">
        <f>'预评函-3'!D2</f>
        <v>出让国有建设用地使用权价值</v>
      </c>
    </row>
    <row r="47" spans="1:2" s="1594" customFormat="1">
      <c r="A47" s="1592" t="s">
        <v>1247</v>
      </c>
      <c r="B47" s="1593">
        <f ca="1">'预评函-3'!D4</f>
        <v>17926</v>
      </c>
    </row>
    <row r="48" spans="1:2" s="1594" customFormat="1">
      <c r="A48" s="1592" t="s">
        <v>1248</v>
      </c>
      <c r="B48" s="1593">
        <f ca="1">'预评函-3'!E4</f>
        <v>4228</v>
      </c>
    </row>
    <row r="49" spans="1:2" s="1594" customFormat="1">
      <c r="A49" s="1592" t="s">
        <v>1249</v>
      </c>
      <c r="B49" s="1593" t="str">
        <f ca="1">'预评函-3'!D5</f>
        <v>壹亿柒仟玖佰贰拾陆万元整</v>
      </c>
    </row>
    <row r="50" spans="1:2" s="1594" customFormat="1">
      <c r="A50" s="1592" t="s">
        <v>1273</v>
      </c>
      <c r="B50" s="1593" t="str">
        <f>'预评函-3'!F2</f>
        <v>建筑物价值</v>
      </c>
    </row>
    <row r="51" spans="1:2" s="1594" customFormat="1">
      <c r="A51" s="1592" t="s">
        <v>1250</v>
      </c>
      <c r="B51" s="1593">
        <f ca="1">'预评函-3'!F4</f>
        <v>23843</v>
      </c>
    </row>
    <row r="52" spans="1:2" s="1594" customFormat="1">
      <c r="A52" s="1592" t="s">
        <v>1251</v>
      </c>
      <c r="B52" s="1593">
        <f ca="1">'预评函-3'!G4</f>
        <v>5624</v>
      </c>
    </row>
    <row r="53" spans="1:2" s="1594" customFormat="1">
      <c r="A53" s="1592" t="s">
        <v>1279</v>
      </c>
      <c r="B53" s="1593" t="str">
        <f ca="1">'预评函-3'!F5</f>
        <v>贰亿叁仟捌佰肆拾叁万元整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（1）根据估价对象《房屋所有权证》复印件、《国有土地使用权》复印件，截至价值时点，估价对象抵押权未见登记。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3137</v>
      </c>
      <c r="C17" s="2016"/>
    </row>
    <row r="18" spans="1:3">
      <c r="A18" s="2015" t="s">
        <v>1769</v>
      </c>
      <c r="B18" s="2015" t="s">
        <v>3145</v>
      </c>
      <c r="C18" s="2016"/>
    </row>
    <row r="19" spans="1:3">
      <c r="A19" s="2015" t="s">
        <v>1770</v>
      </c>
      <c r="B19" s="2015" t="s">
        <v>3147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南北两侧天洋城天洋广场地下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34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40"/>
      <c r="B54" s="2023" t="s">
        <v>864</v>
      </c>
      <c r="C54" s="2020" t="s">
        <v>1282</v>
      </c>
    </row>
    <row r="55" spans="1:4">
      <c r="A55" s="3340"/>
      <c r="B55" s="2023" t="s">
        <v>865</v>
      </c>
      <c r="C55" s="2020" t="s">
        <v>1283</v>
      </c>
    </row>
    <row r="56" spans="1:4">
      <c r="A56" s="3340"/>
      <c r="B56" s="2023" t="s">
        <v>866</v>
      </c>
      <c r="C56" s="2020" t="s">
        <v>1287</v>
      </c>
    </row>
    <row r="57" spans="1:4">
      <c r="A57" s="3340"/>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22" sqref="M22"/>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341" t="str">
        <f>IF(B10="北京市","北京市",C10)&amp;F10&amp;IF(结果表!G1="在建","出让国有建设用地使用权及在建建筑物",IF(结果表!G1="土地","出让国有建设用地使用权",))&amp;B9&amp;"预评估"</f>
        <v>河北省廊坊市三河市燕郊开发区规划路南北两侧天洋城天洋广场地下商业房地产抵押价值预评估</v>
      </c>
      <c r="C1" s="3342"/>
      <c r="D1" s="3342"/>
      <c r="E1" s="3342"/>
      <c r="F1" s="3342"/>
      <c r="G1" s="3342"/>
      <c r="H1" s="3342"/>
      <c r="I1" s="334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河北省廊坊市三河市燕郊开发区规划路南北两侧天洋城天洋广场地下商业房地产抵押价值</v>
      </c>
    </row>
    <row r="2" spans="1:19" ht="18" customHeight="1">
      <c r="A2" s="2027" t="s">
        <v>1779</v>
      </c>
      <c r="B2" s="1040" t="s">
        <v>3913</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河北省廊坊市三河市燕郊开发区规划路南北两侧天洋城天洋广场地下商业房地产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2" t="s">
        <v>3140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344" t="s">
        <v>1787</v>
      </c>
      <c r="E8" s="2057" t="s">
        <v>3909</v>
      </c>
      <c r="F8" s="2058"/>
      <c r="G8" s="2027"/>
      <c r="H8" s="2027"/>
      <c r="I8" s="2027"/>
      <c r="J8" s="2043"/>
      <c r="K8" s="2044"/>
      <c r="L8" s="2029"/>
      <c r="M8" s="2029"/>
      <c r="N8" s="2030"/>
      <c r="O8" s="2031"/>
      <c r="P8" s="2030"/>
      <c r="Q8" s="2030"/>
      <c r="R8" s="2030"/>
    </row>
    <row r="9" spans="1:19" ht="18" customHeight="1" thickBot="1">
      <c r="A9" s="2041" t="s">
        <v>1788</v>
      </c>
      <c r="B9" s="2059" t="s">
        <v>3025</v>
      </c>
      <c r="C9" s="2060"/>
      <c r="D9" s="3345"/>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48" t="s">
        <v>3914</v>
      </c>
      <c r="G10" s="2067"/>
      <c r="H10" s="2068"/>
      <c r="I10" s="2047"/>
      <c r="J10" s="2043"/>
      <c r="K10" s="2054"/>
      <c r="L10" s="2029"/>
      <c r="M10" s="2029"/>
      <c r="N10" s="2030"/>
      <c r="O10" s="2031"/>
      <c r="P10" s="2030"/>
      <c r="Q10" s="2030"/>
      <c r="R10" s="2030"/>
    </row>
    <row r="11" spans="1:19" ht="18" customHeight="1">
      <c r="A11" s="2069" t="s">
        <v>1791</v>
      </c>
      <c r="B11" s="2070" t="s">
        <v>3028</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53898</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29.71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351" t="s">
        <v>3084</v>
      </c>
      <c r="C16" s="3352"/>
      <c r="D16" s="3353"/>
      <c r="E16" s="2085" t="s">
        <v>1804</v>
      </c>
      <c r="F16" s="3354" t="s">
        <v>3903</v>
      </c>
      <c r="G16" s="3355"/>
      <c r="H16" s="3355"/>
      <c r="I16" s="3356"/>
      <c r="J16" s="2030"/>
      <c r="K16" s="2082"/>
      <c r="L16" s="2083"/>
      <c r="M16" s="2083"/>
      <c r="N16" s="2084"/>
      <c r="O16" s="2083"/>
      <c r="P16" s="2084"/>
      <c r="Q16" s="2030"/>
      <c r="R16" s="2030"/>
    </row>
    <row r="17" spans="1:22" ht="18" customHeight="1">
      <c r="A17" s="2086" t="s">
        <v>1805</v>
      </c>
      <c r="B17" s="2036" t="s">
        <v>1806</v>
      </c>
      <c r="C17" s="1055">
        <f>'数据-汇总表'!E3</f>
        <v>42395.67</v>
      </c>
      <c r="D17" s="2087" t="s">
        <v>1807</v>
      </c>
      <c r="E17" s="3357" t="s">
        <v>3915</v>
      </c>
      <c r="F17" s="3358"/>
      <c r="G17" s="3358"/>
      <c r="H17" s="3358"/>
      <c r="I17" s="3359"/>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6298.25</v>
      </c>
      <c r="D18" s="2090" t="s">
        <v>1807</v>
      </c>
      <c r="E18" s="3357" t="s">
        <v>3916</v>
      </c>
      <c r="F18" s="3358"/>
      <c r="G18" s="3358"/>
      <c r="H18" s="3358"/>
      <c r="I18" s="3359"/>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347" t="s">
        <v>1814</v>
      </c>
      <c r="C20" s="3348"/>
      <c r="D20" s="3349" t="s">
        <v>1815</v>
      </c>
      <c r="E20" s="3350"/>
      <c r="F20" s="2097" t="s">
        <v>1816</v>
      </c>
      <c r="G20" s="2043"/>
      <c r="H20" s="2043"/>
      <c r="I20" s="2043"/>
      <c r="J20" s="2043"/>
      <c r="K20" s="3346" t="s">
        <v>1817</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3085</v>
      </c>
      <c r="C21" s="2099" t="s">
        <v>3087</v>
      </c>
      <c r="D21" s="2100" t="s">
        <v>3088</v>
      </c>
      <c r="E21" s="2101" t="s">
        <v>3087</v>
      </c>
      <c r="F21" s="2102"/>
      <c r="G21" s="2043"/>
      <c r="H21" s="2043"/>
      <c r="I21" s="2043"/>
      <c r="J21" s="2043"/>
      <c r="K21" s="334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3086</v>
      </c>
      <c r="C22" s="2099" t="s">
        <v>3087</v>
      </c>
      <c r="D22" s="2027"/>
      <c r="E22" s="2027"/>
      <c r="F22" s="2104"/>
      <c r="G22" s="2043"/>
      <c r="H22" s="2043"/>
      <c r="I22" s="2043"/>
      <c r="J22" s="2043"/>
      <c r="K22" s="334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361" t="s">
        <v>1824</v>
      </c>
      <c r="B27" s="2063" t="s">
        <v>1825</v>
      </c>
      <c r="C27" s="2119" t="s">
        <v>3089</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361"/>
      <c r="B28" s="2036" t="s">
        <v>1826</v>
      </c>
      <c r="C28" s="2121" t="s">
        <v>3031</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361"/>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362"/>
      <c r="B30" s="2036" t="s">
        <v>1828</v>
      </c>
      <c r="C30" s="3363"/>
      <c r="D30" s="3364"/>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365" t="s">
        <v>1829</v>
      </c>
      <c r="B31" s="2126" t="s">
        <v>3032</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366"/>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366"/>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3033</v>
      </c>
      <c r="C34" s="2133" t="s">
        <v>3034</v>
      </c>
      <c r="D34" s="2133" t="s">
        <v>3035</v>
      </c>
      <c r="E34" s="2133" t="s">
        <v>3036</v>
      </c>
      <c r="F34" s="2133" t="s">
        <v>3037</v>
      </c>
      <c r="G34" s="2133" t="s">
        <v>3038</v>
      </c>
      <c r="H34" s="2133" t="s">
        <v>3039</v>
      </c>
      <c r="I34" s="2043"/>
      <c r="J34" s="2043"/>
      <c r="K34" s="1796">
        <f>COUNTIF(B34:H34,"——")</f>
        <v>0</v>
      </c>
      <c r="L34" s="2074" t="s">
        <v>1831</v>
      </c>
      <c r="M34" s="2074" t="s">
        <v>1832</v>
      </c>
      <c r="N34" s="2074" t="s">
        <v>1833</v>
      </c>
      <c r="O34" s="2074" t="s">
        <v>1834</v>
      </c>
      <c r="P34" s="2074" t="s">
        <v>1835</v>
      </c>
      <c r="Q34" s="2074" t="s">
        <v>1836</v>
      </c>
      <c r="R34" s="2074" t="s">
        <v>1837</v>
      </c>
      <c r="S34" s="3360" t="s">
        <v>1838</v>
      </c>
      <c r="T34" s="2134" t="str">
        <f>NUMBERSTRING(7-K34,1)&amp;"通"</f>
        <v>七通</v>
      </c>
      <c r="U34" s="2030"/>
      <c r="V34" s="2030"/>
    </row>
    <row r="35" spans="1:22" ht="18" customHeight="1">
      <c r="A35" s="2135"/>
      <c r="B35" s="3367" t="s">
        <v>1839</v>
      </c>
      <c r="C35" s="3367"/>
      <c r="D35" s="3367"/>
      <c r="E35" s="3367"/>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60"/>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3">
        <f>面积分摊表!K57</f>
        <v>6298.25</v>
      </c>
      <c r="B3" s="13">
        <f>IF(C3="否",G5-AT5,G5)</f>
        <v>42395.67</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42395.67</v>
      </c>
      <c r="H5" s="15">
        <f t="shared" ref="H5:AT5" si="0">SUM(H13:H656)</f>
        <v>42395.67</v>
      </c>
      <c r="I5" s="15">
        <f t="shared" si="0"/>
        <v>42395.67</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42395.67</v>
      </c>
      <c r="BA5" s="17">
        <f t="shared" si="1"/>
        <v>42395.67</v>
      </c>
      <c r="BB5" s="17">
        <f t="shared" si="1"/>
        <v>42395.67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6298.25</v>
      </c>
      <c r="F6" s="15" t="s">
        <v>1</v>
      </c>
      <c r="G6" s="15" t="s">
        <v>2</v>
      </c>
      <c r="H6" s="19">
        <f>SUMIF(I$12:AB$12,"总值",I6:AB6)</f>
        <v>6298.25</v>
      </c>
      <c r="I6" s="15">
        <f t="shared" ref="I6:AB6" si="2">ROUND($A$3*I5/$B$3,2)</f>
        <v>6298.25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6298.25</v>
      </c>
      <c r="AZ6" s="15" t="s">
        <v>3</v>
      </c>
      <c r="BA6" s="15">
        <f>ROUND($AY$6*BA5/$AZ$5,2)</f>
        <v>6298.25</v>
      </c>
      <c r="BB6" s="15">
        <f>ROUND($AY$6*BB5/$AZ$5,2)</f>
        <v>6298.25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4274</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地下</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4275</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独立商业</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3293" t="s">
        <v>4273</v>
      </c>
      <c r="D13" s="2213" t="s">
        <v>3040</v>
      </c>
      <c r="E13" s="15">
        <f>IF($C$3="是",ROUND($A$3*G13/$B$3,2),ROUND($A$3*(G13-AT13)/$B$3,2))</f>
        <v>6298.25</v>
      </c>
      <c r="F13" s="31"/>
      <c r="G13" s="32">
        <f>H13+AC13+AT13</f>
        <v>42395.67</v>
      </c>
      <c r="H13" s="19">
        <f>SUMIF(I$12:AB$12,"总值",I13:AB13)</f>
        <v>42395.67</v>
      </c>
      <c r="I13" s="2214">
        <v>42395.67</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地下商业</v>
      </c>
      <c r="AY13" s="1807">
        <f>ROUND($AY$6*AZ13/$AZ$5,2)</f>
        <v>6298.25</v>
      </c>
      <c r="AZ13" s="15">
        <f>BA13+BL13</f>
        <v>42395.67</v>
      </c>
      <c r="BA13" s="15">
        <f>SUM(BB13:BK13)</f>
        <v>42395.67</v>
      </c>
      <c r="BB13" s="15">
        <f>IF($D13="是",I13-J13,0)</f>
        <v>42395.67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8" t="s">
        <v>0</v>
      </c>
      <c r="B1" s="3368" t="s">
        <v>4</v>
      </c>
      <c r="C1" s="3368" t="s">
        <v>5</v>
      </c>
      <c r="D1" s="3369" t="s">
        <v>53</v>
      </c>
      <c r="E1" s="3369" t="s">
        <v>54</v>
      </c>
      <c r="F1" s="3369"/>
      <c r="G1" s="3369"/>
      <c r="H1" s="3369"/>
      <c r="I1" s="3369"/>
      <c r="J1" s="3369"/>
      <c r="K1" s="3369"/>
      <c r="L1" s="3369"/>
      <c r="M1" s="3369"/>
    </row>
    <row r="2" spans="1:13" ht="27" customHeight="1">
      <c r="A2" s="3368"/>
      <c r="B2" s="3368"/>
      <c r="C2" s="3368"/>
      <c r="D2" s="3369"/>
      <c r="E2" s="3369" t="s">
        <v>37</v>
      </c>
      <c r="F2" s="3369" t="s">
        <v>38</v>
      </c>
      <c r="G2" s="3369"/>
      <c r="H2" s="3369"/>
      <c r="I2" s="3369"/>
      <c r="J2" s="3369" t="s">
        <v>39</v>
      </c>
      <c r="K2" s="3369"/>
      <c r="L2" s="3369"/>
      <c r="M2" s="3369"/>
    </row>
    <row r="3" spans="1:13" ht="28.5">
      <c r="A3" s="3368"/>
      <c r="B3" s="3368"/>
      <c r="C3" s="3368"/>
      <c r="D3" s="3369"/>
      <c r="E3" s="33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9" t="s">
        <v>55</v>
      </c>
      <c r="B9" s="3369"/>
      <c r="C9" s="33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G24" sqref="G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379" t="s">
        <v>1935</v>
      </c>
      <c r="B2" s="3379"/>
      <c r="C2" s="3379"/>
      <c r="D2" s="968" t="s">
        <v>1911</v>
      </c>
      <c r="E2" s="2227" t="s">
        <v>1912</v>
      </c>
      <c r="F2" s="1392"/>
      <c r="G2" s="2228"/>
      <c r="H2" s="2229"/>
      <c r="I2" s="2230" t="s">
        <v>1936</v>
      </c>
      <c r="J2" s="1392"/>
      <c r="K2" s="1392"/>
      <c r="L2" s="1392"/>
      <c r="M2" s="1392"/>
      <c r="N2" s="1427"/>
      <c r="O2" s="1392"/>
      <c r="P2" s="1392"/>
    </row>
    <row r="3" spans="1:16" ht="15.75" thickBot="1">
      <c r="A3" s="3380" t="s">
        <v>1909</v>
      </c>
      <c r="B3" s="3380"/>
      <c r="C3" s="3380"/>
      <c r="D3" s="2940">
        <f>'数据-基础表'!AY6</f>
        <v>6298.25</v>
      </c>
      <c r="E3" s="45">
        <f>'数据-基础表'!AZ5</f>
        <v>42395.67</v>
      </c>
      <c r="F3" s="1392"/>
      <c r="G3" s="1399"/>
      <c r="H3" s="1247" t="s">
        <v>1910</v>
      </c>
      <c r="I3" s="54">
        <f>ROUND('数据-基础表'!B3/'数据-基础表'!A3,2)</f>
        <v>6.73</v>
      </c>
      <c r="J3" s="1392"/>
      <c r="K3" s="1392"/>
      <c r="L3" s="1392"/>
      <c r="M3" s="1392"/>
      <c r="N3" s="1427"/>
      <c r="O3" s="1392"/>
      <c r="P3" s="1392"/>
    </row>
    <row r="4" spans="1:16" ht="15">
      <c r="A4" s="3381"/>
      <c r="B4" s="3382"/>
      <c r="C4" s="3383"/>
      <c r="D4" s="2231" t="s">
        <v>1911</v>
      </c>
      <c r="E4" s="2232" t="s">
        <v>1912</v>
      </c>
      <c r="F4" s="1392"/>
      <c r="G4" s="2233" t="s">
        <v>1937</v>
      </c>
      <c r="H4" s="1247" t="s">
        <v>1917</v>
      </c>
      <c r="I4" s="54">
        <f>ROUND(SUMIF('数据-基础表'!I9:AS9,"地上",'数据-基础表'!I5:AS5)/'数据-基础表'!A3,2)</f>
        <v>0</v>
      </c>
      <c r="J4" s="1392"/>
      <c r="K4" s="1392"/>
      <c r="L4" s="1392"/>
      <c r="M4" s="1392"/>
      <c r="N4" s="1427"/>
      <c r="O4" s="1392"/>
      <c r="P4" s="1392"/>
    </row>
    <row r="5" spans="1:16">
      <c r="A5" s="46" t="s">
        <v>1913</v>
      </c>
      <c r="B5" s="3384" t="s">
        <v>1914</v>
      </c>
      <c r="C5" s="3384"/>
      <c r="D5" s="47">
        <f>ROUND($D$3*E5/$E$3,2)</f>
        <v>0</v>
      </c>
      <c r="E5" s="48">
        <f>SUMIF('数据-基础表'!$11:$11,"住宅",'数据-基础表'!$5:$5)</f>
        <v>0</v>
      </c>
      <c r="F5" s="1392"/>
      <c r="G5" s="1399"/>
      <c r="H5" s="1247" t="s">
        <v>1910</v>
      </c>
      <c r="I5" s="54">
        <f>ROUND(E31/D31,2)</f>
        <v>6.73</v>
      </c>
      <c r="J5" s="1392"/>
      <c r="K5" s="1392"/>
      <c r="L5" s="1392"/>
      <c r="M5" s="1392"/>
      <c r="N5" s="1392"/>
      <c r="O5" s="1392"/>
      <c r="P5" s="1392"/>
    </row>
    <row r="6" spans="1:16" ht="15" thickBot="1">
      <c r="A6" s="2234"/>
      <c r="B6" s="3384" t="s">
        <v>1915</v>
      </c>
      <c r="C6" s="3384"/>
      <c r="D6" s="47">
        <f>ROUND($D$3*E6/$E$3,2)</f>
        <v>6298.25</v>
      </c>
      <c r="E6" s="48">
        <f>E3-E5</f>
        <v>42395.67</v>
      </c>
      <c r="F6" s="1392"/>
      <c r="G6" s="2235" t="s">
        <v>1916</v>
      </c>
      <c r="H6" s="1399" t="s">
        <v>1917</v>
      </c>
      <c r="I6" s="940">
        <f>ROUND(F31/D31,2)</f>
        <v>0</v>
      </c>
      <c r="J6" s="1392"/>
      <c r="K6" s="1392"/>
      <c r="L6" s="1392"/>
      <c r="M6" s="1392"/>
      <c r="N6" s="1392"/>
      <c r="O6" s="1392"/>
      <c r="P6" s="1392"/>
    </row>
    <row r="7" spans="1:16" ht="15">
      <c r="A7" s="3376"/>
      <c r="B7" s="3377"/>
      <c r="C7" s="3378"/>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0</v>
      </c>
      <c r="E8" s="50">
        <f>SUMIF('数据-基础表'!BB10:BK10,"地上",'数据-基础表'!BB5:BK5)</f>
        <v>0</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6298.25</v>
      </c>
      <c r="E10" s="50">
        <f>SUMPRODUCT(('数据-基础表'!BB10:BK10="地下")*('数据-基础表'!BB11:BK11="商业")*('数据-基础表'!BB5:BK5))</f>
        <v>42395.67</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6298.25</v>
      </c>
      <c r="E16" s="52">
        <f>SUM(E8:E15)</f>
        <v>42395.67</v>
      </c>
      <c r="F16" s="1392"/>
      <c r="G16" s="2237"/>
      <c r="H16" s="2240" t="s">
        <v>1939</v>
      </c>
      <c r="I16" s="2241"/>
      <c r="J16" s="1392"/>
      <c r="K16" s="3373" t="s">
        <v>1939</v>
      </c>
      <c r="L16" s="3374"/>
      <c r="M16" s="3374"/>
      <c r="N16" s="3374"/>
      <c r="O16" s="3374"/>
      <c r="P16" s="3375"/>
    </row>
    <row r="17" spans="1:19" ht="15">
      <c r="A17" s="2242" t="s">
        <v>1940</v>
      </c>
      <c r="B17" s="2243" t="s">
        <v>1941</v>
      </c>
      <c r="C17" s="2244" t="s">
        <v>1942</v>
      </c>
      <c r="D17" s="2245" t="s">
        <v>1930</v>
      </c>
      <c r="E17" s="2246" t="s">
        <v>1931</v>
      </c>
      <c r="F17" s="2247"/>
      <c r="G17" s="2248"/>
      <c r="H17" s="2249" t="s">
        <v>1943</v>
      </c>
      <c r="I17" s="2250" t="s">
        <v>1928</v>
      </c>
      <c r="J17" s="1392"/>
      <c r="K17" s="3370" t="s">
        <v>1944</v>
      </c>
      <c r="L17" s="3371"/>
      <c r="M17" s="3372"/>
      <c r="N17" s="3370" t="s">
        <v>1945</v>
      </c>
      <c r="O17" s="3371"/>
      <c r="P17" s="3372"/>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3142</v>
      </c>
      <c r="D19" s="47">
        <f>ROUND($D$3*E19/$E$3,2)</f>
        <v>5913.94</v>
      </c>
      <c r="E19" s="55">
        <f t="shared" ref="E19:E26" si="1">SUM(F19:G19)</f>
        <v>39808.720000000001</v>
      </c>
      <c r="F19" s="56"/>
      <c r="G19" s="57">
        <f>租赁情况!U55</f>
        <v>39808.720000000001</v>
      </c>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5913.94</v>
      </c>
      <c r="S19" s="1248">
        <f t="shared" si="5"/>
        <v>39808.720000000001</v>
      </c>
    </row>
    <row r="20" spans="1:19">
      <c r="A20" s="2263"/>
      <c r="B20" s="49" t="s">
        <v>1957</v>
      </c>
      <c r="C20" s="2260" t="s">
        <v>3143</v>
      </c>
      <c r="D20" s="47">
        <f t="shared" ref="D20:D26" si="6">ROUND($D$3*E20/$E$3,2)</f>
        <v>384.31</v>
      </c>
      <c r="E20" s="55">
        <f t="shared" si="1"/>
        <v>2586.9499999999971</v>
      </c>
      <c r="F20" s="56"/>
      <c r="G20" s="57">
        <f>E3-G19</f>
        <v>2586.9499999999971</v>
      </c>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384.31</v>
      </c>
      <c r="S20" s="1248">
        <f t="shared" si="5"/>
        <v>2586.9499999999971</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6298.25</v>
      </c>
      <c r="E27" s="1394">
        <f>IF(SUM(E19:E26)='数据-基础表'!BA5,SUM(E19:E26),IF(F27="地上面积有误","面积有误","地下面积有误"))</f>
        <v>42395.67</v>
      </c>
      <c r="F27" s="1393">
        <f>IF(SUM(F19:F26)=E8,SUM(F19:F26),"地上面积有误")</f>
        <v>0</v>
      </c>
      <c r="G27" s="1395">
        <f>SUM(G19:G26)</f>
        <v>42395.67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6298.25</v>
      </c>
      <c r="S27" s="1247">
        <f>IF(SUM(S19:S26)=$E$3,SUM(S19:S26),SUM(S19:S26)&amp;"误差"&amp;ROUND(SUM(S19:S26)-E3,2))</f>
        <v>42395.67</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6298.25</v>
      </c>
      <c r="E31" s="727">
        <f>E27+E30</f>
        <v>42395.67</v>
      </c>
      <c r="F31" s="728">
        <f>F27+F30</f>
        <v>0</v>
      </c>
      <c r="G31" s="729">
        <f>G27+G30</f>
        <v>42395.67</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3043</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53898</v>
      </c>
      <c r="F6" s="71">
        <f>SUMIF(项目基本情况!D$12:I$12,C6,项目基本情况!D$15:I$15)</f>
        <v>29.71</v>
      </c>
      <c r="G6" s="72">
        <f>IF(ISERROR(ROUND(POWER(1+H6,D6-F6)*(POWER(1+H6,F6)-1)/(POWER(1+H6,D6)-1),3)),0,ROUND(POWER(1+H6,D6-F6)*(POWER(1+H6,F6)-1)/(POWER(1+H6,D6)-1),3))</f>
        <v>0.86899999999999999</v>
      </c>
      <c r="H6" s="800">
        <v>0.04</v>
      </c>
      <c r="I6" s="800">
        <v>0.06</v>
      </c>
      <c r="J6" s="73">
        <v>8.5000000000000006E-2</v>
      </c>
      <c r="K6" s="1251">
        <f>SUMIF('数据-汇总表'!C$19:C$33,A6,'数据-汇总表'!E$19:E$33)</f>
        <v>39808.720000000001</v>
      </c>
      <c r="L6" s="801">
        <v>4000</v>
      </c>
      <c r="M6" s="74">
        <f t="shared" ref="M6:M14" si="0">ROUND(K6*L6/10000,0)</f>
        <v>15923</v>
      </c>
      <c r="N6" s="2939">
        <f>ROUND(1-(1-0%)*(2017-2013)/60,2)</f>
        <v>0.93</v>
      </c>
      <c r="O6" s="74" t="str">
        <f>IF($N$5="成新度","——",ROUND(M6*N6,0))</f>
        <v>——</v>
      </c>
      <c r="P6" s="75" t="str">
        <f>IF($N$5="成新度","——",M6-O6)</f>
        <v>——</v>
      </c>
      <c r="Q6" s="802">
        <v>0.2</v>
      </c>
      <c r="R6" s="76">
        <f ca="1">SUMIF('数据-汇总表'!C$19:C$33,A6,'数据-汇总表'!R$19:R$27)</f>
        <v>5913.94</v>
      </c>
      <c r="S6" s="53">
        <f>IF('数据-汇总表'!$I$17="按面积比例",SUMIF('数据-汇总表'!C$19:C$33,A6,'数据-汇总表'!K$19:K$33),SUMIF('数据-汇总表'!C$19:C$33,A6,'数据-汇总表'!N$19:N$33))</f>
        <v>0</v>
      </c>
      <c r="T6" s="1443">
        <f>ROUND($L$14*S6/10000,0)</f>
        <v>0</v>
      </c>
      <c r="U6" s="3684">
        <f>租赁情况!U56</f>
        <v>0.6</v>
      </c>
      <c r="V6" s="78">
        <v>0</v>
      </c>
      <c r="W6" s="78">
        <v>0</v>
      </c>
      <c r="X6" s="1261"/>
      <c r="Y6" s="79">
        <f>N6</f>
        <v>0.93</v>
      </c>
      <c r="Z6" s="3681">
        <f>ROUND(租赁情况!W57*(1+V7)^AF6,1)</f>
        <v>1.8</v>
      </c>
      <c r="AA6" s="73">
        <f>V7</f>
        <v>0.03</v>
      </c>
      <c r="AB6" s="73">
        <f>W7</f>
        <v>0.05</v>
      </c>
      <c r="AC6" s="1261"/>
      <c r="AD6" s="81">
        <f>ROUND(1-(2026-2013)/60,2)</f>
        <v>0.78</v>
      </c>
      <c r="AE6" s="1262">
        <f ca="1">IF(AN6="",0,SUMIF(INDIRECT("'"&amp;AN6&amp;"'"&amp;"!E:E"),$AE$5,INDIRECT("'"&amp;AN6&amp;"'"&amp;"!F:F")))</f>
        <v>29.71</v>
      </c>
      <c r="AF6" s="1805">
        <f>面积分摊表!C71</f>
        <v>8.2899999999999991</v>
      </c>
      <c r="AG6" s="146">
        <f ca="1">IF(AF6="",0,AE6-AF6)</f>
        <v>21.42</v>
      </c>
      <c r="AH6" s="82"/>
      <c r="AI6" s="84">
        <v>365</v>
      </c>
      <c r="AJ6" s="85"/>
      <c r="AK6" s="86">
        <v>5.0000000000000001E-3</v>
      </c>
      <c r="AL6" s="87">
        <v>1E-3</v>
      </c>
      <c r="AM6" s="88">
        <v>0.01</v>
      </c>
      <c r="AN6" s="2309" t="s">
        <v>3144</v>
      </c>
      <c r="AO6" s="54">
        <f ca="1">SUMIF(INDIRECT("'"&amp;AN6&amp;"'"&amp;"!A:A"),"总价",INDIRECT("'"&amp;AN6&amp;"'"&amp;"!B:B"))</f>
        <v>21744</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53898</v>
      </c>
      <c r="F7" s="71">
        <f>SUMIF(项目基本情况!D$12:I$12,C7,项目基本情况!D$15:I$15)</f>
        <v>29.71</v>
      </c>
      <c r="G7" s="72">
        <f t="shared" ref="G7:G11" si="2">IF(ISERROR(ROUND(POWER(1+H7,D7-F7)*(POWER(1+H7,F7)-1)/(POWER(1+H7,D7)-1),3)),0,ROUND(POWER(1+H7,D7-F7)*(POWER(1+H7,F7)-1)/(POWER(1+H7,D7)-1),3))</f>
        <v>0.86899999999999999</v>
      </c>
      <c r="H7" s="800">
        <f>H6</f>
        <v>0.04</v>
      </c>
      <c r="I7" s="800">
        <f>I6</f>
        <v>0.06</v>
      </c>
      <c r="J7" s="73">
        <f>J6</f>
        <v>8.5000000000000006E-2</v>
      </c>
      <c r="K7" s="1251">
        <f>SUMIF('数据-汇总表'!C$19:C$33,A7,'数据-汇总表'!E$19:E$33)</f>
        <v>2586.9499999999971</v>
      </c>
      <c r="L7" s="801">
        <f>L6</f>
        <v>4000</v>
      </c>
      <c r="M7" s="74">
        <f t="shared" si="0"/>
        <v>1035</v>
      </c>
      <c r="N7" s="799">
        <f>N6</f>
        <v>0.93</v>
      </c>
      <c r="O7" s="74" t="str">
        <f t="shared" ref="O7:O14" si="3">IF($N$5="成新度","——",ROUND(M7*N7,0))</f>
        <v>——</v>
      </c>
      <c r="P7" s="75" t="str">
        <f t="shared" ref="P7:P14" si="4">IF($N$5="成新度","——",M7-O7)</f>
        <v>——</v>
      </c>
      <c r="Q7" s="802">
        <f>Q6</f>
        <v>0.2</v>
      </c>
      <c r="R7" s="76">
        <f ca="1">SUMIF('数据-汇总表'!C$19:C$33,A7,'数据-汇总表'!R$19:R$27)</f>
        <v>384.31</v>
      </c>
      <c r="S7" s="53">
        <f>IF('数据-汇总表'!$I$17="按面积比例",SUMIF('数据-汇总表'!C$19:C$33,A7,'数据-汇总表'!K$19:K$33),SUMIF('数据-汇总表'!C$19:C$33,A7,'数据-汇总表'!N$19:N$33))</f>
        <v>0</v>
      </c>
      <c r="T7" s="1443">
        <f t="shared" ref="T7:T13" si="5">ROUND($L$14*S7/10000,0)</f>
        <v>0</v>
      </c>
      <c r="U7" s="3680">
        <f>租赁情况!V56</f>
        <v>1.35</v>
      </c>
      <c r="V7" s="78">
        <v>0.03</v>
      </c>
      <c r="W7" s="78">
        <v>0.05</v>
      </c>
      <c r="X7" s="1261"/>
      <c r="Y7" s="79">
        <f>Y6</f>
        <v>0.93</v>
      </c>
      <c r="Z7" s="80"/>
      <c r="AA7" s="73"/>
      <c r="AB7" s="73"/>
      <c r="AC7" s="1261"/>
      <c r="AD7" s="81"/>
      <c r="AE7" s="1262">
        <f t="shared" ref="AE7:AE13" ca="1" si="6">IF(AN7="",0,SUMIF(INDIRECT("'"&amp;AN7&amp;"'"&amp;"!E:E"),$AE$5,INDIRECT("'"&amp;AN7&amp;"'"&amp;"!F:F")))</f>
        <v>29.71</v>
      </c>
      <c r="AF7" s="1805"/>
      <c r="AG7" s="146">
        <f t="shared" ref="AG7:AG13" si="7">IF(AF7="",0,AE7-AF7)</f>
        <v>0</v>
      </c>
      <c r="AH7" s="82"/>
      <c r="AI7" s="84">
        <f>AI6</f>
        <v>365</v>
      </c>
      <c r="AJ7" s="85"/>
      <c r="AK7" s="86">
        <f>AK6</f>
        <v>5.0000000000000001E-3</v>
      </c>
      <c r="AL7" s="87">
        <f>AL6</f>
        <v>1E-3</v>
      </c>
      <c r="AM7" s="88">
        <f>AM6</f>
        <v>0.01</v>
      </c>
      <c r="AN7" s="2309" t="s">
        <v>3146</v>
      </c>
      <c r="AO7" s="54">
        <f t="shared" ref="AO7:AO13" ca="1" si="8">SUMIF(INDIRECT("'"&amp;AN7&amp;"'"&amp;"!A:A"),"总价",INDIRECT("'"&amp;AN7&amp;"'"&amp;"!B:B"))</f>
        <v>1741</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0.86899999999999999</v>
      </c>
      <c r="H16" s="98">
        <f>ROUND(SUMPRODUCT(H6:H13,K6:K13)/SUMPRODUCT((H6:H13&gt;0)*(K6:K13)),3)</f>
        <v>0.04</v>
      </c>
      <c r="I16" s="99"/>
      <c r="J16" s="99"/>
      <c r="K16" s="100">
        <f>SUM(K6:K15)</f>
        <v>42395.67</v>
      </c>
      <c r="L16" s="101">
        <f>ROUND(M16*10000/SUM(K6:K14),0)</f>
        <v>4000</v>
      </c>
      <c r="M16" s="101">
        <f>SUM(M6:M14)</f>
        <v>16958</v>
      </c>
      <c r="N16" s="102">
        <f>ROUND(SUMPRODUCT(M6:M14,N6:N14)/M16,3)</f>
        <v>0.93</v>
      </c>
      <c r="O16" s="101">
        <f>SUM(O6:O14)</f>
        <v>0</v>
      </c>
      <c r="P16" s="101">
        <f>SUM(P6:P14)</f>
        <v>0</v>
      </c>
      <c r="Q16" s="103">
        <f>ROUND(SUMPRODUCT(Q6:Q13,K6:K13)/SUMPRODUCT((Q6:Q13&gt;0)*(K6:K13)),2)</f>
        <v>0.2</v>
      </c>
      <c r="R16" s="1255">
        <f ca="1">SUM(R6:R13)</f>
        <v>6298.25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4.7500000000000001E-2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385" t="s">
        <v>2080</v>
      </c>
      <c r="B1" s="3386"/>
      <c r="C1" s="3386"/>
      <c r="D1" s="3386"/>
      <c r="E1" s="3386"/>
      <c r="F1" s="3386"/>
      <c r="G1" s="338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27">
      <c r="A3" s="415" t="s">
        <v>2083</v>
      </c>
      <c r="B3" s="1268" t="s">
        <v>2084</v>
      </c>
      <c r="C3" s="2926"/>
      <c r="D3" s="2370"/>
      <c r="E3" s="431" t="s">
        <v>2083</v>
      </c>
      <c r="F3" s="2371" t="s">
        <v>2085</v>
      </c>
      <c r="G3" s="2372"/>
      <c r="H3" s="2368"/>
      <c r="I3" s="2368"/>
      <c r="J3" s="2368"/>
      <c r="K3" s="2368"/>
      <c r="L3" s="2368"/>
      <c r="M3" s="2368"/>
      <c r="N3" s="2368"/>
      <c r="O3" s="2368"/>
      <c r="P3" s="2368"/>
      <c r="Q3" s="2368"/>
      <c r="R3" s="2368"/>
    </row>
    <row r="4" spans="1:29" ht="81">
      <c r="A4" s="431"/>
      <c r="B4" s="1796" t="s">
        <v>2086</v>
      </c>
      <c r="C4" s="2927" t="s">
        <v>3904</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94.5">
      <c r="A6" s="431"/>
      <c r="B6" s="1796" t="s">
        <v>2090</v>
      </c>
      <c r="C6" s="2928" t="s">
        <v>3905</v>
      </c>
      <c r="D6" s="2370"/>
      <c r="E6" s="2374"/>
      <c r="F6" s="1796" t="s">
        <v>2091</v>
      </c>
      <c r="G6" s="2375"/>
      <c r="H6" s="2368"/>
      <c r="I6" s="2368"/>
      <c r="J6" s="2368"/>
      <c r="K6" s="2368"/>
      <c r="L6" s="2368"/>
      <c r="M6" s="2368"/>
      <c r="N6" s="2368"/>
      <c r="O6" s="2368"/>
      <c r="P6" s="2368"/>
      <c r="Q6" s="2368"/>
      <c r="R6" s="2368"/>
    </row>
    <row r="7" spans="1:29" ht="95.25" thickBot="1">
      <c r="A7" s="431"/>
      <c r="B7" s="1796" t="s">
        <v>2089</v>
      </c>
      <c r="C7" s="2928" t="s">
        <v>3151</v>
      </c>
      <c r="D7" s="2376"/>
      <c r="E7" s="2377"/>
      <c r="F7" s="2378" t="s">
        <v>2092</v>
      </c>
      <c r="G7" s="2379"/>
      <c r="H7" s="2368"/>
      <c r="I7" s="2368"/>
      <c r="J7" s="2368"/>
      <c r="K7" s="2368"/>
      <c r="L7" s="2368"/>
      <c r="M7" s="2368"/>
      <c r="N7" s="2368"/>
      <c r="O7" s="2368"/>
      <c r="P7" s="2368"/>
      <c r="Q7" s="2368"/>
      <c r="R7" s="2368"/>
    </row>
    <row r="8" spans="1:29" ht="27">
      <c r="A8" s="431"/>
      <c r="B8" s="1796" t="s">
        <v>2091</v>
      </c>
      <c r="C8" s="2928" t="s">
        <v>3045</v>
      </c>
      <c r="D8" s="2376"/>
      <c r="E8" s="2376"/>
      <c r="F8" s="1133"/>
      <c r="G8" s="1133"/>
      <c r="H8" s="2368"/>
      <c r="I8" s="2368"/>
      <c r="J8" s="2368"/>
      <c r="K8" s="2368"/>
      <c r="L8" s="2368"/>
      <c r="M8" s="2368"/>
      <c r="N8" s="2368"/>
      <c r="O8" s="2368"/>
      <c r="P8" s="2368"/>
      <c r="Q8" s="2368"/>
      <c r="R8" s="2368"/>
    </row>
    <row r="9" spans="1:29" ht="108">
      <c r="A9" s="431"/>
      <c r="B9" s="1796" t="s">
        <v>2093</v>
      </c>
      <c r="C9" s="2929" t="s">
        <v>3152</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0" t="s">
        <v>3153</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27">
      <c r="A15" s="67" t="s">
        <v>2098</v>
      </c>
      <c r="B15" s="1267" t="s">
        <v>2084</v>
      </c>
      <c r="C15" s="2401">
        <f>C3</f>
        <v>0</v>
      </c>
      <c r="D15" s="2370"/>
      <c r="E15" s="2402" t="s">
        <v>2099</v>
      </c>
      <c r="F15" s="1267" t="s">
        <v>2100</v>
      </c>
      <c r="G15" s="134">
        <f>G3</f>
        <v>0</v>
      </c>
    </row>
    <row r="16" spans="1:29" ht="85.5">
      <c r="A16" s="643"/>
      <c r="B16" s="2403" t="s">
        <v>2086</v>
      </c>
      <c r="C16" s="2404" t="str">
        <f>C4</f>
        <v>估价对象位于三河市商业中心，商业设施的种类多规模大，估价对象周边有新世界百货等项目，商业氛围成熟，人流量大，商业繁华度较好。</v>
      </c>
      <c r="D16" s="2370"/>
      <c r="E16" s="2405"/>
      <c r="F16" s="2406" t="s">
        <v>2087</v>
      </c>
      <c r="G16" s="135">
        <f>G4</f>
        <v>0</v>
      </c>
    </row>
    <row r="17" spans="1:18" ht="15">
      <c r="A17" s="643"/>
      <c r="B17" s="2403" t="s">
        <v>2088</v>
      </c>
      <c r="C17" s="2404">
        <f>C5</f>
        <v>0</v>
      </c>
      <c r="D17" s="2376"/>
      <c r="E17" s="2405"/>
      <c r="F17" s="2406" t="s">
        <v>2101</v>
      </c>
      <c r="G17" s="1570"/>
    </row>
    <row r="18" spans="1:18" ht="99.75">
      <c r="A18" s="643"/>
      <c r="B18" s="2406" t="s">
        <v>2090</v>
      </c>
      <c r="C18" s="135" t="str">
        <f>C6</f>
        <v>估价对象周边路网密集，行车出入便捷，东侧距离汉王路约50米，西侧距离迎宾北路约500米；1公里内有301路、818路等多条公共线路，尚无轨道交通站设立，交通状况较好。</v>
      </c>
      <c r="D18" s="2376"/>
      <c r="E18" s="2405"/>
      <c r="F18" s="2406" t="s">
        <v>2092</v>
      </c>
      <c r="G18" s="135">
        <f>G7</f>
        <v>0</v>
      </c>
    </row>
    <row r="19" spans="1:18" ht="15">
      <c r="A19" s="643"/>
      <c r="B19" s="2406" t="s">
        <v>2102</v>
      </c>
      <c r="C19" s="1570"/>
      <c r="D19" s="2370"/>
      <c r="E19" s="2405"/>
      <c r="F19" s="1796" t="s">
        <v>2089</v>
      </c>
      <c r="G19" s="135">
        <f>G5</f>
        <v>0</v>
      </c>
    </row>
    <row r="20" spans="1:18" ht="99.75">
      <c r="A20" s="643"/>
      <c r="B20" s="2406" t="s">
        <v>2103</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2104</v>
      </c>
      <c r="G20" s="135">
        <f>G6</f>
        <v>0</v>
      </c>
    </row>
    <row r="21" spans="1:18" ht="99.75">
      <c r="A21" s="643"/>
      <c r="B21" s="1796" t="s">
        <v>2089</v>
      </c>
      <c r="C21" s="135" t="str">
        <f>C7</f>
        <v>周边1公里内的公共服务配套设施齐备，有购物场所（物美超市）、医院（京东中美医院）、银行（中国工商银行）、学校（三河春雷幼儿园等多家）、餐饮等公共服务配套设施。</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42395.67</v>
      </c>
      <c r="C1" s="1743"/>
      <c r="D1" s="1743"/>
      <c r="E1" s="1743"/>
      <c r="F1" s="1743"/>
      <c r="G1" s="1741"/>
    </row>
    <row r="2" spans="1:10" ht="16.5">
      <c r="A2" s="1744" t="s">
        <v>1354</v>
      </c>
      <c r="B2" s="1744">
        <f>SUM(C14:C23)</f>
        <v>6298.25</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41769</v>
      </c>
      <c r="C5" s="1744">
        <f ca="1">ROUND(B5*10000/$B$1,0)</f>
        <v>9852</v>
      </c>
      <c r="D5" s="1744">
        <f ca="1">ROUND(B5*10000/$B$2,0)</f>
        <v>66318</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41769</v>
      </c>
      <c r="C7" s="1744">
        <f ca="1">ROUND(B7*10000/$B$1,0)</f>
        <v>9852</v>
      </c>
      <c r="D7" s="1744">
        <f ca="1">ROUND(B7*10000/$B$2,0)</f>
        <v>66318</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42395.67</v>
      </c>
      <c r="C14" s="1742">
        <f>结果表!C118</f>
        <v>6298.25</v>
      </c>
      <c r="D14" s="1742">
        <f ca="1">结果表!H118</f>
        <v>41769</v>
      </c>
      <c r="E14" s="1742">
        <f ca="1">ROUND(D14*10000/B14,0)</f>
        <v>9852</v>
      </c>
      <c r="F14" s="1742">
        <f ca="1">ROUND(D14*10000/C14,0)</f>
        <v>66318</v>
      </c>
      <c r="G14" s="1742" t="str">
        <f>结果表!D122</f>
        <v>——</v>
      </c>
      <c r="H14" s="1742">
        <f ca="1">结果表!D124</f>
        <v>41769</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3032</v>
      </c>
      <c r="H1" s="2420" t="str">
        <f>IF(G1="现房","——","估价对象范围")</f>
        <v>——</v>
      </c>
      <c r="I1" s="2421" t="s">
        <v>3077</v>
      </c>
    </row>
    <row r="2" spans="1:12" ht="21.75" customHeight="1" thickBot="1">
      <c r="A2" s="3459" t="str">
        <f>项目基本情况!S2</f>
        <v>河北省廊坊市三河市燕郊开发区规划路南北两侧天洋城天洋广场地下商业房地产</v>
      </c>
      <c r="B2" s="3460"/>
      <c r="C2" s="3460"/>
      <c r="D2" s="3460"/>
      <c r="E2" s="3460"/>
      <c r="F2" s="3460"/>
      <c r="G2" s="3460"/>
      <c r="H2" s="3460"/>
      <c r="I2" s="3461"/>
    </row>
    <row r="3" spans="1:12" ht="12.75">
      <c r="A3" s="3462" t="s">
        <v>2110</v>
      </c>
      <c r="B3" s="3463"/>
      <c r="C3" s="3463"/>
      <c r="D3" s="3463"/>
      <c r="E3" s="3463"/>
      <c r="F3" s="3463"/>
      <c r="G3" s="3463"/>
      <c r="H3" s="3463"/>
      <c r="I3" s="3463"/>
    </row>
    <row r="4" spans="1:12" ht="14.25">
      <c r="A4" s="2424" t="s">
        <v>2111</v>
      </c>
      <c r="B4" s="2425" t="s">
        <v>2112</v>
      </c>
      <c r="C4" s="2426" t="s">
        <v>3158</v>
      </c>
      <c r="D4" s="2426" t="s">
        <v>3150</v>
      </c>
      <c r="E4" s="3443" t="s">
        <v>2113</v>
      </c>
      <c r="F4" s="3456"/>
      <c r="G4" s="3456"/>
      <c r="H4" s="3456"/>
      <c r="I4" s="344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434" t="s">
        <v>2114</v>
      </c>
      <c r="B5" s="3360">
        <v>25</v>
      </c>
      <c r="C5" s="3464"/>
      <c r="D5" s="3452"/>
      <c r="E5" s="139" t="s">
        <v>2115</v>
      </c>
      <c r="F5" s="2428"/>
      <c r="G5" s="2428"/>
      <c r="H5" s="2428"/>
      <c r="I5" s="1832"/>
    </row>
    <row r="6" spans="1:12" ht="12.75">
      <c r="A6" s="3434"/>
      <c r="B6" s="3360"/>
      <c r="C6" s="3466"/>
      <c r="D6" s="3452"/>
      <c r="E6" s="139" t="s">
        <v>2116</v>
      </c>
      <c r="F6" s="2428"/>
      <c r="G6" s="2428"/>
      <c r="H6" s="2428"/>
      <c r="I6" s="1832"/>
    </row>
    <row r="7" spans="1:12" ht="12.75">
      <c r="A7" s="3434"/>
      <c r="B7" s="3360"/>
      <c r="C7" s="3465"/>
      <c r="D7" s="3452"/>
      <c r="E7" s="139" t="s">
        <v>2117</v>
      </c>
      <c r="F7" s="2428"/>
      <c r="G7" s="2428"/>
      <c r="H7" s="2428"/>
      <c r="I7" s="1832"/>
    </row>
    <row r="8" spans="1:12" ht="12.75">
      <c r="A8" s="3434" t="s">
        <v>2118</v>
      </c>
      <c r="B8" s="3360">
        <v>15</v>
      </c>
      <c r="C8" s="3464"/>
      <c r="D8" s="3452"/>
      <c r="E8" s="139" t="s">
        <v>2119</v>
      </c>
      <c r="F8" s="2428"/>
      <c r="G8" s="2428"/>
      <c r="H8" s="2428"/>
      <c r="I8" s="1832"/>
    </row>
    <row r="9" spans="1:12" ht="12.75">
      <c r="A9" s="3434"/>
      <c r="B9" s="3360"/>
      <c r="C9" s="3465"/>
      <c r="D9" s="3452"/>
      <c r="E9" s="139" t="s">
        <v>2120</v>
      </c>
      <c r="F9" s="2428"/>
      <c r="G9" s="2428"/>
      <c r="H9" s="2428"/>
      <c r="I9" s="1832"/>
    </row>
    <row r="10" spans="1:12" ht="12.75">
      <c r="A10" s="3434" t="s">
        <v>2121</v>
      </c>
      <c r="B10" s="3360">
        <v>15</v>
      </c>
      <c r="C10" s="3464"/>
      <c r="D10" s="3452"/>
      <c r="E10" s="139" t="s">
        <v>2122</v>
      </c>
      <c r="F10" s="2428"/>
      <c r="G10" s="2428"/>
      <c r="H10" s="2428"/>
      <c r="I10" s="1832"/>
    </row>
    <row r="11" spans="1:12" ht="12.75">
      <c r="A11" s="3434"/>
      <c r="B11" s="3360"/>
      <c r="C11" s="3465"/>
      <c r="D11" s="3452"/>
      <c r="E11" s="139" t="s">
        <v>2123</v>
      </c>
      <c r="F11" s="2428"/>
      <c r="G11" s="2428"/>
      <c r="H11" s="2428"/>
      <c r="I11" s="1832"/>
    </row>
    <row r="12" spans="1:12" ht="12.75">
      <c r="A12" s="3434" t="s">
        <v>2124</v>
      </c>
      <c r="B12" s="3360">
        <v>15</v>
      </c>
      <c r="C12" s="3464"/>
      <c r="D12" s="3452"/>
      <c r="E12" s="139" t="s">
        <v>2125</v>
      </c>
      <c r="F12" s="2428"/>
      <c r="G12" s="2428"/>
      <c r="H12" s="2428"/>
      <c r="I12" s="1832"/>
    </row>
    <row r="13" spans="1:12" ht="12.75">
      <c r="A13" s="3434"/>
      <c r="B13" s="3360"/>
      <c r="C13" s="3465"/>
      <c r="D13" s="3452"/>
      <c r="E13" s="139" t="s">
        <v>2126</v>
      </c>
      <c r="F13" s="2428"/>
      <c r="G13" s="2428"/>
      <c r="H13" s="2428"/>
      <c r="I13" s="1832"/>
    </row>
    <row r="14" spans="1:12" ht="12.75">
      <c r="A14" s="3434" t="s">
        <v>2127</v>
      </c>
      <c r="B14" s="3360">
        <v>30</v>
      </c>
      <c r="C14" s="3464">
        <v>45</v>
      </c>
      <c r="D14" s="3452">
        <v>55</v>
      </c>
      <c r="E14" s="139" t="s">
        <v>2128</v>
      </c>
      <c r="F14" s="2428"/>
      <c r="G14" s="2428"/>
      <c r="H14" s="2428"/>
      <c r="I14" s="1832"/>
    </row>
    <row r="15" spans="1:12" ht="12.75">
      <c r="A15" s="3434"/>
      <c r="B15" s="3360"/>
      <c r="C15" s="3466"/>
      <c r="D15" s="3452"/>
      <c r="E15" s="139" t="s">
        <v>2129</v>
      </c>
      <c r="F15" s="2428"/>
      <c r="G15" s="2428"/>
      <c r="H15" s="2428"/>
      <c r="I15" s="1832"/>
    </row>
    <row r="16" spans="1:12" ht="12.75">
      <c r="A16" s="3434"/>
      <c r="B16" s="3360"/>
      <c r="C16" s="3465"/>
      <c r="D16" s="3452"/>
      <c r="E16" s="139" t="s">
        <v>2130</v>
      </c>
      <c r="F16" s="2428"/>
      <c r="G16" s="2428"/>
      <c r="H16" s="2428"/>
      <c r="I16" s="1832"/>
    </row>
    <row r="17" spans="1:35" ht="15">
      <c r="A17" s="2429" t="s">
        <v>2131</v>
      </c>
      <c r="B17" s="63"/>
      <c r="C17" s="140">
        <f>SUM(C5:C16)</f>
        <v>45</v>
      </c>
      <c r="D17" s="140">
        <f>SUM(D5:D16)</f>
        <v>55</v>
      </c>
      <c r="E17" s="137"/>
      <c r="F17" s="137"/>
      <c r="G17" s="137"/>
      <c r="H17" s="137"/>
      <c r="I17" s="137"/>
      <c r="K17" s="2427"/>
      <c r="L17" s="2430" t="s">
        <v>2132</v>
      </c>
      <c r="M17" s="2430" t="s">
        <v>2133</v>
      </c>
    </row>
    <row r="18" spans="1:35" ht="15.75" thickBot="1">
      <c r="A18" s="2431" t="s">
        <v>2134</v>
      </c>
      <c r="B18" s="2432"/>
      <c r="C18" s="141">
        <f>ROUND(C17/SUM(C17:D17),2)</f>
        <v>0.45</v>
      </c>
      <c r="D18" s="141">
        <f>1-C18</f>
        <v>0.55000000000000004</v>
      </c>
      <c r="E18" s="137"/>
      <c r="F18" s="137"/>
      <c r="G18" s="137"/>
      <c r="H18" s="137"/>
      <c r="I18" s="137"/>
      <c r="K18" s="2427" t="s">
        <v>2135</v>
      </c>
      <c r="L18" s="2427">
        <f>IF(C1="",'数据-汇总表'!E3,SUMIF(项目类型,C1,'数据-汇总表'!E17:E26)+SUMIF(项目类型,C1,'数据-汇总表'!I17:I26))</f>
        <v>42395.67</v>
      </c>
      <c r="M18" s="2427">
        <f>IF(C1="",'数据-汇总表'!E3,SUMIF(项目类型,C1,'数据-汇总表'!E17:E26))</f>
        <v>42395.67</v>
      </c>
    </row>
    <row r="19" spans="1:35" ht="15">
      <c r="A19" s="2433" t="s">
        <v>2136</v>
      </c>
      <c r="B19" s="2434" t="s">
        <v>2137</v>
      </c>
      <c r="C19" s="142">
        <f ca="1">SUMIF(INDIRECT("'"&amp;C4&amp;"'"&amp;"!A:A"),结果表!B19,INDIRECT("'"&amp;C4&amp;"'"&amp;"!B:B"))</f>
        <v>64115</v>
      </c>
      <c r="D19" s="143">
        <f ca="1">SUMIF(INDIRECT("'"&amp;D4&amp;"'"&amp;"!A:A"),结果表!B19,INDIRECT("'"&amp;D4&amp;"'"&amp;"!B:B"))</f>
        <v>23485</v>
      </c>
      <c r="E19" s="2433" t="s">
        <v>2138</v>
      </c>
      <c r="F19" s="2434" t="s">
        <v>2137</v>
      </c>
      <c r="G19" s="144">
        <f ca="1">ROUND(C19*$C$18+D19*$D$18,0)</f>
        <v>41769</v>
      </c>
      <c r="H19" s="2435" t="s">
        <v>2139</v>
      </c>
      <c r="I19" s="137"/>
      <c r="K19" s="2427" t="s">
        <v>2140</v>
      </c>
      <c r="L19" s="2427">
        <f>IF(C1="",'数据-汇总表'!D3,SUMIF(项目类型,C1,'数据-汇总表'!D17:D26)+SUMIF(项目类型,C1,'数据-汇总表'!H17:H27))</f>
        <v>6298.25</v>
      </c>
      <c r="M19" s="2427">
        <f>IF(C1="",'数据-汇总表'!D3,SUMIF(项目类型,C1,'数据-汇总表'!D17:D26))</f>
        <v>6298.25</v>
      </c>
    </row>
    <row r="20" spans="1:35" ht="15">
      <c r="A20" s="2436"/>
      <c r="B20" s="1247" t="s">
        <v>2141</v>
      </c>
      <c r="C20" s="145">
        <f ca="1">SUMIF(INDIRECT("'"&amp;C4&amp;"'"&amp;"!A:A"),结果表!B20,INDIRECT("'"&amp;C4&amp;"'"&amp;"!B:B"))</f>
        <v>15123</v>
      </c>
      <c r="D20" s="146">
        <f ca="1">SUMIF(INDIRECT("'"&amp;D4&amp;"'"&amp;"!A:A"),结果表!B20,INDIRECT("'"&amp;D4&amp;"'"&amp;"!B:B"))</f>
        <v>5539</v>
      </c>
      <c r="E20" s="2436"/>
      <c r="F20" s="1247" t="s">
        <v>2141</v>
      </c>
      <c r="G20" s="147">
        <f ca="1">ROUND(C20*$C$18+D20*$D$18,0)</f>
        <v>9852</v>
      </c>
      <c r="H20" s="981" t="s">
        <v>2142</v>
      </c>
      <c r="I20" s="137"/>
    </row>
    <row r="21" spans="1:35" ht="15" customHeight="1" thickBot="1">
      <c r="A21" s="1001"/>
      <c r="B21" s="2437" t="s">
        <v>2143</v>
      </c>
      <c r="C21" s="787">
        <f ca="1">ROUND(C19*10000/L19,0)</f>
        <v>101798</v>
      </c>
      <c r="D21" s="788">
        <f ca="1">ROUND(D19*10000/L19,0)</f>
        <v>37288</v>
      </c>
      <c r="E21" s="1001"/>
      <c r="F21" s="2437" t="s">
        <v>2143</v>
      </c>
      <c r="G21" s="148">
        <f ca="1">ROUND(G19*10000/L19,0)</f>
        <v>66318</v>
      </c>
      <c r="H21" s="2438" t="s">
        <v>2142</v>
      </c>
      <c r="I21" s="137"/>
    </row>
    <row r="22" spans="1:35" ht="15" thickBot="1">
      <c r="A22" s="2281" t="s">
        <v>2144</v>
      </c>
      <c r="B22" s="2439"/>
      <c r="C22" s="2440"/>
      <c r="D22" s="789">
        <f ca="1">IF(C19&lt;D19,D19/C19-1,C19/D19-1)</f>
        <v>1.7300404513519267</v>
      </c>
      <c r="E22" s="137"/>
      <c r="F22" s="137"/>
      <c r="G22" s="137"/>
      <c r="H22" s="137"/>
      <c r="I22" s="137"/>
      <c r="K22" s="793">
        <v>0.55000000000000004</v>
      </c>
      <c r="L22" s="793">
        <v>0.44999999999999996</v>
      </c>
    </row>
    <row r="23" spans="1:35" ht="13.5" thickBot="1">
      <c r="A23" s="2417"/>
      <c r="B23" s="2417"/>
      <c r="C23" s="2417"/>
      <c r="D23" s="2417"/>
      <c r="E23" s="137"/>
      <c r="F23" s="137"/>
      <c r="G23" s="137"/>
      <c r="H23" s="137"/>
      <c r="I23" s="137"/>
      <c r="K23" s="793">
        <v>27749</v>
      </c>
      <c r="L23" s="793">
        <v>65243</v>
      </c>
      <c r="M23" s="793" t="s">
        <v>4283</v>
      </c>
      <c r="N23" s="793" t="s">
        <v>4284</v>
      </c>
      <c r="O23" s="793">
        <v>44621</v>
      </c>
    </row>
    <row r="24" spans="1:35" ht="14.25" hidden="1">
      <c r="A24" s="3473" t="s">
        <v>2145</v>
      </c>
      <c r="B24" s="2434" t="s">
        <v>2137</v>
      </c>
      <c r="C24" s="144">
        <f>IF(B30=0,0,D30)</f>
        <v>0</v>
      </c>
      <c r="D24" s="2441"/>
      <c r="E24" s="137"/>
      <c r="F24" s="137"/>
      <c r="G24" s="137"/>
      <c r="H24" s="137"/>
      <c r="I24" s="137"/>
      <c r="K24" s="793">
        <v>6545</v>
      </c>
      <c r="L24" s="793">
        <v>15389</v>
      </c>
      <c r="N24" s="793" t="s">
        <v>4285</v>
      </c>
      <c r="O24" s="793">
        <v>10525</v>
      </c>
    </row>
    <row r="25" spans="1:35" ht="14.25" hidden="1">
      <c r="A25" s="3474"/>
      <c r="B25" s="1247" t="s">
        <v>2141</v>
      </c>
      <c r="C25" s="149">
        <f>IF(B30=0,0,C30)</f>
        <v>0</v>
      </c>
      <c r="D25" s="2442"/>
      <c r="E25" s="137"/>
      <c r="F25" s="137"/>
      <c r="G25" s="137"/>
      <c r="H25" s="137"/>
      <c r="I25" s="137"/>
      <c r="K25" s="793">
        <v>44058</v>
      </c>
      <c r="L25" s="793">
        <v>103589</v>
      </c>
      <c r="N25" s="793" t="s">
        <v>4286</v>
      </c>
      <c r="O25" s="793">
        <v>70847</v>
      </c>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41769</v>
      </c>
      <c r="D32" s="2448" t="s">
        <v>2152</v>
      </c>
      <c r="E32" s="137"/>
      <c r="F32" s="137"/>
      <c r="G32" s="137"/>
      <c r="H32" s="137"/>
      <c r="I32" s="137"/>
    </row>
    <row r="33" spans="1:15" ht="15">
      <c r="A33" s="958" t="s">
        <v>2153</v>
      </c>
      <c r="B33" s="2449"/>
      <c r="C33" s="2450" t="s">
        <v>3911</v>
      </c>
      <c r="D33" s="2451" t="s">
        <v>3044</v>
      </c>
      <c r="E33" s="2452" t="s">
        <v>2154</v>
      </c>
      <c r="F33" s="2453" t="str">
        <f>IF(D32="楼面单价","取值（单价）","取值（总价）")</f>
        <v>取值（总价）</v>
      </c>
      <c r="G33" s="137"/>
      <c r="H33" s="137"/>
      <c r="I33" s="137"/>
    </row>
    <row r="34" spans="1:15" ht="15">
      <c r="A34" s="2454"/>
      <c r="B34" s="2455" t="s">
        <v>2155</v>
      </c>
      <c r="C34" s="157">
        <f ca="1">IF(C33="自定义",F34,C32-C35)</f>
        <v>17926</v>
      </c>
      <c r="D34" s="1056">
        <f ca="1">IF(C33="自定义",ROUND(C34/C32,3),IF(C33="收益比率",SUMIF(INDIRECT("'"&amp;D33&amp;"'"&amp;"!b:b"),"土地收益比率",INDIRECT("'"&amp;D33&amp;"'"&amp;"!c:c")),SUMIF(INDIRECT("'"&amp;D33&amp;"'"&amp;"!b:b"),"土地成本比率",INDIRECT("'"&amp;D33&amp;"'"&amp;"!c:c"))))</f>
        <v>0.42899999999999999</v>
      </c>
      <c r="E34" s="2456" t="s">
        <v>2156</v>
      </c>
      <c r="F34" s="1737">
        <f ca="1">G19-F35</f>
        <v>17926</v>
      </c>
      <c r="G34" s="137"/>
      <c r="H34" s="137"/>
      <c r="I34" s="137"/>
    </row>
    <row r="35" spans="1:15" ht="15.75" thickBot="1">
      <c r="A35" s="2457"/>
      <c r="B35" s="2458" t="s">
        <v>2157</v>
      </c>
      <c r="C35" s="1441">
        <f ca="1">IF(C33="自定义",F35,ROUND(C32*D35,0))</f>
        <v>23843</v>
      </c>
      <c r="D35" s="1442">
        <f ca="1">IF(C33="自定义",ROUND(C35/C32,3),IF(C33="收益比率",SUMIF(INDIRECT("'"&amp;D33&amp;"'"&amp;"!b:b"),"建筑物收益比率",INDIRECT("'"&amp;D33&amp;"'"&amp;"!c:c")),SUMIF(INDIRECT("'"&amp;D33&amp;"'"&amp;"!b:b"),"建筑物成本比率",INDIRECT("'"&amp;D33&amp;"'"&amp;"!c:c"))))</f>
        <v>0.57099999999999995</v>
      </c>
      <c r="E35" s="2459" t="s">
        <v>2158</v>
      </c>
      <c r="F35" s="163">
        <f ca="1">'收益法-出租'!C13+'收益法-自用'!C13</f>
        <v>23843</v>
      </c>
      <c r="G35" s="137"/>
      <c r="H35" s="137"/>
      <c r="I35" s="137"/>
    </row>
    <row r="36" spans="1:15" ht="15.75" hidden="1" thickBot="1">
      <c r="A36" s="3453" t="s">
        <v>2159</v>
      </c>
      <c r="B36" s="2460" t="s">
        <v>2160</v>
      </c>
      <c r="C36" s="154"/>
      <c r="D36" s="2461"/>
      <c r="E36" s="2462"/>
      <c r="F36" s="2463"/>
      <c r="G36" s="137"/>
      <c r="H36" s="137"/>
      <c r="I36" s="137"/>
    </row>
    <row r="37" spans="1:15" ht="15.75" hidden="1" thickBot="1">
      <c r="A37" s="3454"/>
      <c r="B37" s="2267" t="s">
        <v>2161</v>
      </c>
      <c r="C37" s="156"/>
      <c r="D37" s="1392"/>
      <c r="E37" s="1392"/>
      <c r="F37" s="2463"/>
      <c r="G37" s="137"/>
      <c r="H37" s="137"/>
      <c r="I37" s="137"/>
    </row>
    <row r="38" spans="1:15" ht="15.75" hidden="1" thickBot="1">
      <c r="A38" s="3455"/>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470" t="s">
        <v>2173</v>
      </c>
      <c r="B45" s="3471"/>
      <c r="C45" s="3472"/>
      <c r="D45" s="164">
        <f ca="1">ROUND(H101*F45,0)</f>
        <v>41769</v>
      </c>
      <c r="E45" s="165" t="s">
        <v>2174</v>
      </c>
      <c r="F45" s="166">
        <v>1</v>
      </c>
      <c r="G45" s="167" t="s">
        <v>2175</v>
      </c>
      <c r="H45" s="137"/>
      <c r="I45" s="137"/>
      <c r="J45" s="3389" t="s">
        <v>2176</v>
      </c>
      <c r="K45" s="3389"/>
      <c r="L45" s="3389"/>
      <c r="M45" s="3389"/>
      <c r="N45" s="3389"/>
      <c r="O45" s="3389"/>
    </row>
    <row r="46" spans="1:15" ht="14.25" hidden="1" customHeight="1">
      <c r="A46" s="3467" t="s">
        <v>2177</v>
      </c>
      <c r="B46" s="3468"/>
      <c r="C46" s="3468"/>
      <c r="D46" s="3468"/>
      <c r="E46" s="3468"/>
      <c r="F46" s="3468"/>
      <c r="G46" s="3469"/>
      <c r="H46" s="2479"/>
      <c r="I46" s="168"/>
      <c r="J46" s="1810">
        <v>1</v>
      </c>
      <c r="K46" s="3389" t="s">
        <v>2178</v>
      </c>
      <c r="L46" s="3389"/>
      <c r="M46" s="3390"/>
      <c r="N46" s="3390"/>
      <c r="O46" s="3390"/>
    </row>
    <row r="47" spans="1:15" ht="12" hidden="1" customHeight="1">
      <c r="A47" s="169" t="s">
        <v>2179</v>
      </c>
      <c r="B47" s="170"/>
      <c r="C47" s="171"/>
      <c r="D47" s="172" t="s">
        <v>2180</v>
      </c>
      <c r="E47" s="23" t="s">
        <v>2181</v>
      </c>
      <c r="F47" s="173" t="s">
        <v>2182</v>
      </c>
      <c r="G47" s="174" t="s">
        <v>2183</v>
      </c>
      <c r="H47" s="2479"/>
      <c r="I47" s="168"/>
      <c r="J47" s="1810">
        <v>2</v>
      </c>
      <c r="K47" s="3389" t="s">
        <v>2184</v>
      </c>
      <c r="L47" s="3389"/>
      <c r="M47" s="3391">
        <f>'数据-取费表'!B2</f>
        <v>43052</v>
      </c>
      <c r="N47" s="3391"/>
      <c r="O47" s="3391"/>
    </row>
    <row r="48" spans="1:15" ht="25.5" hidden="1">
      <c r="A48" s="3457" t="s">
        <v>2185</v>
      </c>
      <c r="B48" s="3458"/>
      <c r="C48" s="3458"/>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389" t="s">
        <v>2188</v>
      </c>
      <c r="L48" s="3389"/>
      <c r="M48" s="3392">
        <f ca="1">H101</f>
        <v>41769</v>
      </c>
      <c r="N48" s="3392"/>
      <c r="O48" s="3392"/>
    </row>
    <row r="49" spans="1:35" ht="25.5" hidden="1" customHeight="1">
      <c r="A49" s="176" t="s">
        <v>2189</v>
      </c>
      <c r="B49" s="3437" t="s">
        <v>2190</v>
      </c>
      <c r="C49" s="3437"/>
      <c r="D49" s="177">
        <v>0</v>
      </c>
      <c r="E49" s="22" t="s">
        <v>2191</v>
      </c>
      <c r="F49" s="27" t="s">
        <v>34</v>
      </c>
      <c r="G49" s="3418"/>
      <c r="H49" s="137"/>
      <c r="I49" s="2482"/>
      <c r="J49" s="1810">
        <v>4</v>
      </c>
      <c r="K49" s="3389" t="str">
        <f>IF(项目基本情况!E8="房地产抵押价值","房地产抵押价值","抵押担保权已注销时的房地产抵押价值")</f>
        <v>抵押担保权已注销时的房地产抵押价值</v>
      </c>
      <c r="L49" s="3389"/>
      <c r="M49" s="3392">
        <f ca="1">IF(项目基本情况!E8="房地产抵押价值",H107,H109)</f>
        <v>41769</v>
      </c>
      <c r="N49" s="3392"/>
      <c r="O49" s="3392"/>
    </row>
    <row r="50" spans="1:35" ht="25.5" hidden="1" customHeight="1">
      <c r="A50" s="178"/>
      <c r="B50" s="3437" t="s">
        <v>2192</v>
      </c>
      <c r="C50" s="3437"/>
      <c r="D50" s="179"/>
      <c r="E50" s="30"/>
      <c r="F50" s="180"/>
      <c r="G50" s="3419"/>
      <c r="H50" s="137"/>
      <c r="I50" s="2482"/>
      <c r="J50" s="3389" t="s">
        <v>2193</v>
      </c>
      <c r="K50" s="3389"/>
      <c r="L50" s="3389"/>
      <c r="M50" s="3389"/>
      <c r="N50" s="3389"/>
      <c r="O50" s="3389"/>
    </row>
    <row r="51" spans="1:35" ht="12" hidden="1" customHeight="1">
      <c r="A51" s="181"/>
      <c r="B51" s="3437" t="s">
        <v>2194</v>
      </c>
      <c r="C51" s="3437"/>
      <c r="D51" s="182"/>
      <c r="E51" s="29"/>
      <c r="F51" s="180"/>
      <c r="G51" s="3420"/>
      <c r="H51" s="137"/>
      <c r="I51" s="2482"/>
      <c r="J51" s="2483" t="s">
        <v>2195</v>
      </c>
      <c r="K51" s="3389" t="s">
        <v>2196</v>
      </c>
      <c r="L51" s="3389"/>
      <c r="M51" s="2483" t="s">
        <v>2197</v>
      </c>
      <c r="N51" s="2483" t="s">
        <v>2198</v>
      </c>
      <c r="O51" s="2483" t="s">
        <v>2199</v>
      </c>
    </row>
    <row r="52" spans="1:35" ht="24" hidden="1" customHeight="1">
      <c r="A52" s="183" t="s">
        <v>2200</v>
      </c>
      <c r="B52" s="3437" t="s">
        <v>2201</v>
      </c>
      <c r="C52" s="3437"/>
      <c r="D52" s="182">
        <f ca="1">ROUND(D45*'数据-取费表'!B41/(1+'数据-取费表'!C42),0)</f>
        <v>2228</v>
      </c>
      <c r="E52" s="11" t="s">
        <v>2202</v>
      </c>
      <c r="F52" s="184">
        <f>'数据-取费表'!B41</f>
        <v>5.6000000000000001E-2</v>
      </c>
      <c r="G52" s="2484"/>
      <c r="H52" s="137"/>
      <c r="I52" s="2482"/>
      <c r="J52" s="1810">
        <v>1</v>
      </c>
      <c r="K52" s="3412" t="s">
        <v>2203</v>
      </c>
      <c r="L52" s="3412"/>
      <c r="M52" s="1752">
        <f>D48</f>
        <v>0</v>
      </c>
      <c r="N52" s="1810" t="str">
        <f>E48</f>
        <v>销售额×税（费）率</v>
      </c>
      <c r="O52" s="1753" t="str">
        <f>F48</f>
        <v>免征</v>
      </c>
    </row>
    <row r="53" spans="1:35" ht="12" hidden="1" customHeight="1">
      <c r="A53" s="183" t="s">
        <v>2204</v>
      </c>
      <c r="B53" s="3438" t="s">
        <v>2205</v>
      </c>
      <c r="C53" s="3439"/>
      <c r="D53" s="182">
        <f ca="1">ROUND(D45*'数据-取费表'!B41/(1+'数据-取费表'!C42),0)</f>
        <v>2228</v>
      </c>
      <c r="E53" s="11" t="s">
        <v>2202</v>
      </c>
      <c r="F53" s="184">
        <f>'数据-取费表'!B41</f>
        <v>5.6000000000000001E-2</v>
      </c>
      <c r="G53" s="2484"/>
      <c r="H53" s="137"/>
      <c r="I53" s="2482"/>
      <c r="J53" s="1810">
        <v>2</v>
      </c>
      <c r="K53" s="3412" t="s">
        <v>2206</v>
      </c>
      <c r="L53" s="3412"/>
      <c r="M53" s="1752">
        <f t="shared" ref="M53:O54" ca="1" si="0">D55</f>
        <v>21</v>
      </c>
      <c r="N53" s="1810" t="str">
        <f t="shared" si="0"/>
        <v>销售额×税（费）率</v>
      </c>
      <c r="O53" s="1753">
        <f t="shared" si="0"/>
        <v>5.0000000000000001E-4</v>
      </c>
    </row>
    <row r="54" spans="1:35" ht="12" hidden="1" customHeight="1">
      <c r="A54" s="183" t="s">
        <v>2207</v>
      </c>
      <c r="B54" s="3438" t="s">
        <v>2208</v>
      </c>
      <c r="C54" s="3439"/>
      <c r="D54" s="182">
        <f ca="1">C68</f>
        <v>2228</v>
      </c>
      <c r="E54" s="29" t="s">
        <v>2209</v>
      </c>
      <c r="F54" s="184">
        <f>'数据-取费表'!B41</f>
        <v>5.6000000000000001E-2</v>
      </c>
      <c r="G54" s="2484"/>
      <c r="H54" s="2485"/>
      <c r="I54" s="2482"/>
      <c r="J54" s="1810">
        <v>3</v>
      </c>
      <c r="K54" s="3412" t="s">
        <v>2210</v>
      </c>
      <c r="L54" s="3412"/>
      <c r="M54" s="1752">
        <f t="shared" ca="1" si="0"/>
        <v>23641</v>
      </c>
      <c r="N54" s="1810" t="str">
        <f t="shared" si="0"/>
        <v>增值额×税（费）率</v>
      </c>
      <c r="O54" s="1754" t="str">
        <f t="shared" si="0"/>
        <v>——</v>
      </c>
    </row>
    <row r="55" spans="1:35" ht="24" hidden="1" customHeight="1">
      <c r="A55" s="3476" t="s">
        <v>2211</v>
      </c>
      <c r="B55" s="3458"/>
      <c r="C55" s="3458"/>
      <c r="D55" s="185">
        <f ca="1">IF(H55="个人住宅",0,ROUND(D45*I55,0))</f>
        <v>21</v>
      </c>
      <c r="E55" s="11" t="s">
        <v>2212</v>
      </c>
      <c r="F55" s="184">
        <f>IF(H55="正常",I55,"免征")</f>
        <v>5.0000000000000001E-4</v>
      </c>
      <c r="G55" s="2484"/>
      <c r="H55" s="2481" t="s">
        <v>2213</v>
      </c>
      <c r="I55" s="186">
        <f>'数据-取费表'!B49</f>
        <v>5.0000000000000001E-4</v>
      </c>
      <c r="J55" s="1810" t="str">
        <f>IF(H59="非个人房产","",4)</f>
        <v/>
      </c>
      <c r="K55" s="3412" t="str">
        <f>IF(H59="非个人房产","——","个人所得税")</f>
        <v>——</v>
      </c>
      <c r="L55" s="3412"/>
      <c r="M55" s="1755" t="str">
        <f>D59</f>
        <v>——</v>
      </c>
      <c r="N55" s="1808" t="str">
        <f>E59</f>
        <v>——</v>
      </c>
      <c r="O55" s="1756" t="str">
        <f>F59</f>
        <v>——</v>
      </c>
    </row>
    <row r="56" spans="1:35" ht="24.75" hidden="1">
      <c r="A56" s="3476" t="s">
        <v>2214</v>
      </c>
      <c r="B56" s="3458"/>
      <c r="C56" s="3458"/>
      <c r="D56" s="185">
        <f ca="1">IF(H56="个人住宅",D57,D58)</f>
        <v>23641</v>
      </c>
      <c r="E56" s="11" t="s">
        <v>2215</v>
      </c>
      <c r="F56" s="184" t="str">
        <f>IF(H56="正常",F58,"免征")</f>
        <v>——</v>
      </c>
      <c r="G56" s="2486" t="s">
        <v>2216</v>
      </c>
      <c r="H56" s="2487" t="s">
        <v>2213</v>
      </c>
      <c r="I56" s="2488"/>
      <c r="J56" s="1810" t="str">
        <f>IF(项目基本情况!K6="上海银行",IF(J55="",4,J55+1),"")</f>
        <v/>
      </c>
      <c r="K56" s="3395" t="str">
        <f>IF(项目基本情况!K6="上海银行","其他处置费用","")</f>
        <v/>
      </c>
      <c r="L56" s="3396"/>
      <c r="M56" s="1752" t="str">
        <f>IF(项目基本情况!K6="上海银行",M69,"")</f>
        <v/>
      </c>
      <c r="N56" s="3398" t="str">
        <f>IF(项目基本情况!K6="上海银行","包含处置中涉及的律师、诉讼、拍卖、评估等费用","")</f>
        <v/>
      </c>
      <c r="O56" s="3399"/>
    </row>
    <row r="57" spans="1:35" ht="12.75" hidden="1">
      <c r="A57" s="183" t="s">
        <v>2189</v>
      </c>
      <c r="B57" s="3443" t="s">
        <v>2217</v>
      </c>
      <c r="C57" s="3444"/>
      <c r="D57" s="187">
        <v>0</v>
      </c>
      <c r="E57" s="22" t="s">
        <v>2191</v>
      </c>
      <c r="F57" s="155"/>
      <c r="G57" s="2484"/>
      <c r="H57" s="2488"/>
      <c r="I57" s="2488"/>
      <c r="J57" s="3412">
        <f>IF(AND(J55="",J56=""),4,IF(项目基本情况!K6="上海银行",结果表!J56+1,结果表!J55+1))</f>
        <v>4</v>
      </c>
      <c r="K57" s="3412" t="s">
        <v>2218</v>
      </c>
      <c r="L57" s="2489" t="s">
        <v>2219</v>
      </c>
      <c r="M57" s="1757"/>
      <c r="N57" s="1758">
        <f ca="1">SUMIF(M52:M56,"&lt;9e307")</f>
        <v>23662</v>
      </c>
      <c r="O57" s="2490"/>
      <c r="P57" s="1751">
        <f ca="1">N57/M49</f>
        <v>0.56649668414374299</v>
      </c>
    </row>
    <row r="58" spans="1:35" ht="24.75" hidden="1">
      <c r="A58" s="183" t="s">
        <v>2200</v>
      </c>
      <c r="B58" s="3443" t="s">
        <v>2220</v>
      </c>
      <c r="C58" s="3456"/>
      <c r="D58" s="185">
        <f ca="1">IF(H58="转让取得",C81,C97)</f>
        <v>23641</v>
      </c>
      <c r="E58" s="11" t="s">
        <v>2215</v>
      </c>
      <c r="F58" s="23" t="s">
        <v>34</v>
      </c>
      <c r="G58" s="2484"/>
      <c r="H58" s="2487" t="s">
        <v>2221</v>
      </c>
      <c r="I58" s="2488"/>
      <c r="J58" s="3412"/>
      <c r="K58" s="3412"/>
      <c r="L58" s="2489" t="s">
        <v>2222</v>
      </c>
      <c r="M58" s="1759"/>
      <c r="N58" s="2491" t="str">
        <f ca="1">NUMBERSTRING(INT(N57*10000),2)&amp;"元整"</f>
        <v>贰亿叁仟陆佰陆拾贰万元整</v>
      </c>
      <c r="O58" s="2492"/>
    </row>
    <row r="59" spans="1:35" ht="24.75" hidden="1" thickBot="1">
      <c r="A59" s="3416" t="s">
        <v>2223</v>
      </c>
      <c r="B59" s="3417"/>
      <c r="C59" s="3417"/>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414">
        <f>J57+1</f>
        <v>5</v>
      </c>
      <c r="K59" s="3412" t="s">
        <v>2225</v>
      </c>
      <c r="L59" s="1810" t="s">
        <v>2219</v>
      </c>
      <c r="M59" s="1760"/>
      <c r="N59" s="1761">
        <f ca="1">M49-N57</f>
        <v>18107</v>
      </c>
      <c r="O59" s="2494"/>
    </row>
    <row r="60" spans="1:35" ht="12" hidden="1" customHeight="1">
      <c r="A60" s="2495"/>
      <c r="B60" s="2417"/>
      <c r="C60" s="2417"/>
      <c r="D60" s="2417"/>
      <c r="E60" s="2166"/>
      <c r="F60" s="2488"/>
      <c r="G60" s="2488"/>
      <c r="H60" s="2496"/>
      <c r="I60" s="137"/>
      <c r="J60" s="3415"/>
      <c r="K60" s="3412"/>
      <c r="L60" s="2489" t="s">
        <v>2222</v>
      </c>
      <c r="M60" s="1759"/>
      <c r="N60" s="2491" t="str">
        <f ca="1">NUMBERSTRING(INT(N59*10000),2)&amp;"元整"</f>
        <v>壹亿捌仟壹佰零柒万元整</v>
      </c>
      <c r="O60" s="2492"/>
    </row>
    <row r="61" spans="1:35" ht="13.5" hidden="1" thickBot="1">
      <c r="A61" s="3475" t="s">
        <v>2226</v>
      </c>
      <c r="B61" s="3475"/>
      <c r="C61" s="3475"/>
      <c r="D61" s="3475"/>
      <c r="E61" s="3475"/>
      <c r="F61" s="2488"/>
      <c r="G61" s="2488"/>
      <c r="H61" s="2496"/>
      <c r="I61" s="137"/>
      <c r="J61" s="1810">
        <f>J59+1</f>
        <v>6</v>
      </c>
      <c r="K61" s="3412" t="s">
        <v>2227</v>
      </c>
      <c r="L61" s="3412"/>
      <c r="M61" s="1762"/>
      <c r="N61" s="1763">
        <f ca="1">ROUND(N59*10000/'数据-汇总表'!E3,0)</f>
        <v>4271</v>
      </c>
      <c r="O61" s="2497"/>
    </row>
    <row r="62" spans="1:35" ht="12.75" hidden="1">
      <c r="A62" s="3432" t="s">
        <v>2228</v>
      </c>
      <c r="B62" s="3433"/>
      <c r="C62" s="1802"/>
      <c r="D62" s="1802" t="s">
        <v>2229</v>
      </c>
      <c r="E62" s="192" t="s">
        <v>2230</v>
      </c>
      <c r="F62" s="2488"/>
      <c r="G62" s="2488"/>
      <c r="H62" s="2496"/>
      <c r="I62" s="137"/>
    </row>
    <row r="63" spans="1:35" ht="12.75" hidden="1">
      <c r="A63" s="203" t="s">
        <v>775</v>
      </c>
      <c r="B63" s="193" t="s">
        <v>2231</v>
      </c>
      <c r="C63" s="194">
        <f ca="1">ROUND((C64+C65)/(1+'数据-取费表'!C42),0)</f>
        <v>39780</v>
      </c>
      <c r="D63" s="195"/>
      <c r="E63" s="196"/>
      <c r="F63" s="2488"/>
      <c r="G63" s="2488"/>
      <c r="H63" s="2496"/>
      <c r="I63" s="137"/>
      <c r="J63" s="3397" t="s">
        <v>2232</v>
      </c>
      <c r="K63" s="2498" t="s">
        <v>2233</v>
      </c>
      <c r="L63" s="1750">
        <f ca="1">IF(M49&gt;10000,M49*0.5%,IF(AND(M49&gt;1000,M49&lt;=10000),M49*1%,IF(AND(M49&gt;100,M49&lt;=1000),M49*3%,IF(AND(M49&gt;10,M49&lt;=100),M49*5%,M49*8%))))</f>
        <v>208.845</v>
      </c>
      <c r="M63" s="23">
        <f ca="1">ROUND(L63,1)</f>
        <v>208.8</v>
      </c>
      <c r="Z63" s="2422"/>
      <c r="AI63" s="2423"/>
    </row>
    <row r="64" spans="1:35" ht="14.25" hidden="1" customHeight="1">
      <c r="A64" s="197" t="s">
        <v>770</v>
      </c>
      <c r="B64" s="198" t="s">
        <v>2234</v>
      </c>
      <c r="C64" s="199">
        <f ca="1">D45</f>
        <v>41769</v>
      </c>
      <c r="D64" s="200" t="s">
        <v>32</v>
      </c>
      <c r="E64" s="201"/>
      <c r="F64" s="2488"/>
      <c r="G64" s="2488"/>
      <c r="H64" s="2496"/>
      <c r="I64" s="137"/>
      <c r="J64" s="3397"/>
      <c r="K64" s="2498" t="s">
        <v>2235</v>
      </c>
      <c r="L64" s="1750">
        <f ca="1">IF(M49&gt;2000,M49*0.5%,IF(AND(M49&gt;1000,M49&lt;=2000),M49*0.6%,IF(AND(M49&gt;500,M49&lt;=1000),M49*0.7%,IF(AND(M49&gt;200,M49&lt;=500),M49*0.8%,IF(AND(M49&gt;100,M49&lt;=200),M49*0.9%,IF(AND(M49&gt;50,M49&lt;=100),M49*1%,IF(AND(M49&gt;20,M49&lt;=50),M49*1.5%,IF(AND(M49&gt;10,M49&lt;=20),M49*2%,IF(AND(M49&gt;1,M49&lt;=10),M49*2.5%)))))))))</f>
        <v>208.845</v>
      </c>
      <c r="M64" s="23">
        <f t="shared" ref="M64:M65" ca="1" si="1">ROUND(L64,1)</f>
        <v>208.8</v>
      </c>
      <c r="N64" s="137" t="s">
        <v>2236</v>
      </c>
      <c r="Z64" s="2422"/>
      <c r="AI64" s="2423"/>
    </row>
    <row r="65" spans="1:35" ht="14.25" hidden="1" customHeight="1">
      <c r="A65" s="197" t="s">
        <v>771</v>
      </c>
      <c r="B65" s="198" t="s">
        <v>2237</v>
      </c>
      <c r="C65" s="202"/>
      <c r="D65" s="200"/>
      <c r="E65" s="201"/>
      <c r="F65" s="2488"/>
      <c r="G65" s="2488"/>
      <c r="H65" s="2496"/>
      <c r="I65" s="137"/>
      <c r="J65" s="3397"/>
      <c r="K65" s="2498" t="s">
        <v>2238</v>
      </c>
      <c r="L65" s="1750">
        <f ca="1">IF(M49&gt;1000,M49*0.1%,IF(AND(M49&gt;500,M49&lt;=1000),M49*0.5%,IF(AND(M49&gt;50,M49&lt;=500),M49*1%,IF(AND(M49&gt;1,M49&lt;=50),M49*1.5%))))</f>
        <v>41.768999999999998</v>
      </c>
      <c r="M65" s="23">
        <f t="shared" ca="1" si="1"/>
        <v>41.8</v>
      </c>
      <c r="N65" s="137" t="s">
        <v>2236</v>
      </c>
      <c r="Z65" s="2422"/>
      <c r="AI65" s="2423"/>
    </row>
    <row r="66" spans="1:35" ht="14.25" hidden="1" customHeight="1">
      <c r="A66" s="203" t="s">
        <v>772</v>
      </c>
      <c r="B66" s="204" t="s">
        <v>2239</v>
      </c>
      <c r="C66" s="205"/>
      <c r="D66" s="206" t="s">
        <v>32</v>
      </c>
      <c r="E66" s="1774" t="s">
        <v>1372</v>
      </c>
      <c r="F66" s="2488"/>
      <c r="G66" s="2488"/>
      <c r="H66" s="2496"/>
      <c r="I66" s="137"/>
      <c r="J66" s="3397"/>
      <c r="K66" s="2498" t="s">
        <v>2240</v>
      </c>
      <c r="L66" s="1750">
        <f ca="1">M49*0.5%</f>
        <v>208.845</v>
      </c>
      <c r="M66" s="23">
        <f ca="1">IF(L66&gt;0.5,0.5,ROUND(L66,0))</f>
        <v>0.5</v>
      </c>
      <c r="N66" s="137" t="s">
        <v>2241</v>
      </c>
      <c r="Z66" s="2422"/>
      <c r="AI66" s="2423"/>
    </row>
    <row r="67" spans="1:35" ht="14.25" hidden="1" customHeight="1">
      <c r="A67" s="203" t="s">
        <v>773</v>
      </c>
      <c r="B67" s="204" t="s">
        <v>2242</v>
      </c>
      <c r="C67" s="207">
        <f ca="1">C63-C66</f>
        <v>39780</v>
      </c>
      <c r="D67" s="200" t="s">
        <v>32</v>
      </c>
      <c r="E67" s="201"/>
      <c r="F67" s="2488"/>
      <c r="G67" s="2488"/>
      <c r="H67" s="2496"/>
      <c r="I67" s="137"/>
      <c r="J67" s="3397"/>
      <c r="K67" s="2498" t="s">
        <v>2243</v>
      </c>
      <c r="L67" s="1750">
        <f ca="1">IF(M49&gt;=10000,(8.25+(M49-10000)*0.01%),IF(AND(M49&gt;=8000,M49&lt;10000),(7.85+(M49-8000)*0.02%),IF(AND(M49&gt;=5000,M49&lt;8000),(6.65+(M49-5000)*0.04%),IF(AND(M49&gt;=2000,M49&lt;5000),(4.25+(PM49-2000)*0.08%),IF(AND(M49&gt;=1000,M49&lt;2000),(2.75+(M49-1000)*0.15%),IF(AND(M49&gt;=100,M49&lt;1000),(0.5+(M49-100)*0.25%),IF(AND(M49&gt;0,M49&lt;100),M49*0.5%)))))))</f>
        <v>11.4269</v>
      </c>
      <c r="M67" s="23">
        <f ca="1">ROUND(L67*0.9,1)</f>
        <v>10.3</v>
      </c>
      <c r="Z67" s="2422"/>
      <c r="AI67" s="2423"/>
    </row>
    <row r="68" spans="1:35" ht="14.25" hidden="1" customHeight="1" thickBot="1">
      <c r="A68" s="208" t="s">
        <v>774</v>
      </c>
      <c r="B68" s="209" t="s">
        <v>2244</v>
      </c>
      <c r="C68" s="210">
        <f ca="1">IF(C67&lt;=0,0,ROUND(C67*D68,0))</f>
        <v>2228</v>
      </c>
      <c r="D68" s="211">
        <f>'数据-取费表'!B41</f>
        <v>5.6000000000000001E-2</v>
      </c>
      <c r="E68" s="212"/>
      <c r="F68" s="2488"/>
      <c r="G68" s="2488"/>
      <c r="H68" s="2496"/>
      <c r="I68" s="137"/>
      <c r="J68" s="3397"/>
      <c r="K68" s="2498" t="s">
        <v>2245</v>
      </c>
      <c r="L68" s="1750">
        <f ca="1">IF(M49&gt;10000,M49*0.5%,IF(AND(M49&gt;5000,M49&lt;=10000),M49*1%,IF(AND(M49&gt;1000,M49&lt;=5000),M49*2%,IF(AND(M49&gt;200,M49&lt;=1000),M49*3%,M49*5%))))</f>
        <v>208.845</v>
      </c>
      <c r="M68" s="23">
        <f ca="1">ROUND(L68,1)</f>
        <v>208.8</v>
      </c>
      <c r="Z68" s="2422"/>
      <c r="AI68" s="2423"/>
    </row>
    <row r="69" spans="1:35" s="2445" customFormat="1" ht="16.5" hidden="1" customHeight="1">
      <c r="A69" s="2499"/>
      <c r="B69" s="2500"/>
      <c r="C69" s="2501"/>
      <c r="D69" s="2502"/>
      <c r="E69" s="2503"/>
      <c r="F69" s="2166"/>
      <c r="G69" s="2166"/>
      <c r="H69" s="2165"/>
      <c r="I69" s="2417"/>
      <c r="J69" s="3397"/>
      <c r="K69" s="2498" t="s">
        <v>2246</v>
      </c>
      <c r="L69" s="2504"/>
      <c r="M69" s="23">
        <f ca="1">ROUND(SUM(M63:M68),0)</f>
        <v>679</v>
      </c>
      <c r="N69" s="1751">
        <f ca="1">M69/M49</f>
        <v>1.6256075079604491E-2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441" t="s">
        <v>2247</v>
      </c>
      <c r="B70" s="3442"/>
      <c r="C70" s="3442"/>
      <c r="D70" s="3442"/>
      <c r="E70" s="3442"/>
      <c r="F70" s="3442"/>
      <c r="G70" s="3442"/>
      <c r="H70" s="344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432" t="s">
        <v>2228</v>
      </c>
      <c r="B71" s="3433"/>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39780</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239</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438" t="s">
        <v>2256</v>
      </c>
      <c r="F76" s="3437"/>
      <c r="G76" s="3437"/>
      <c r="H76" s="344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239</v>
      </c>
      <c r="D78" s="226">
        <f>'数据-取费表'!B43</f>
        <v>6.000000000000001E-3</v>
      </c>
      <c r="E78" s="3429" t="s">
        <v>2261</v>
      </c>
      <c r="F78" s="3430"/>
      <c r="G78" s="3430"/>
      <c r="H78" s="343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39541</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165.44351464435147</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23641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441" t="s">
        <v>2265</v>
      </c>
      <c r="B83" s="3442"/>
      <c r="C83" s="3442"/>
      <c r="D83" s="3442"/>
      <c r="E83" s="3442"/>
      <c r="F83" s="3442"/>
      <c r="G83" s="3442"/>
      <c r="H83" s="344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432" t="s">
        <v>2228</v>
      </c>
      <c r="B84" s="3433"/>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39780</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239</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429" t="s">
        <v>2274</v>
      </c>
      <c r="F91" s="3430"/>
      <c r="G91" s="3430"/>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429" t="s">
        <v>2278</v>
      </c>
      <c r="F92" s="3430"/>
      <c r="G92" s="3430"/>
      <c r="H92" s="343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239</v>
      </c>
      <c r="D93" s="226">
        <f>'数据-取费表'!B43</f>
        <v>6.000000000000001E-3</v>
      </c>
      <c r="E93" s="3429" t="s">
        <v>2261</v>
      </c>
      <c r="F93" s="3430"/>
      <c r="G93" s="3430"/>
      <c r="H93" s="343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477" t="s">
        <v>2282</v>
      </c>
      <c r="F94" s="3478"/>
      <c r="G94" s="3478"/>
      <c r="H94" s="347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39541</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165.44351464435147</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23641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381" t="s">
        <v>2284</v>
      </c>
      <c r="B100" s="3382"/>
      <c r="C100" s="3382"/>
      <c r="D100" s="3413"/>
      <c r="E100" s="3382" t="s">
        <v>2285</v>
      </c>
      <c r="F100" s="3382"/>
      <c r="G100" s="3382"/>
      <c r="H100" s="3413"/>
      <c r="I100" s="137"/>
    </row>
    <row r="101" spans="1:35" ht="18.75" customHeight="1">
      <c r="A101" s="3421" t="s">
        <v>2286</v>
      </c>
      <c r="B101" s="3422"/>
      <c r="C101" s="734" t="str">
        <f>C4</f>
        <v>比较法-商业</v>
      </c>
      <c r="D101" s="735" t="str">
        <f>D4</f>
        <v>收益法（汇总）</v>
      </c>
      <c r="E101" s="3393" t="s">
        <v>2287</v>
      </c>
      <c r="F101" s="3394"/>
      <c r="G101" s="2519" t="s">
        <v>2288</v>
      </c>
      <c r="H101" s="1046">
        <f ca="1">H118</f>
        <v>41769</v>
      </c>
      <c r="I101" s="137"/>
    </row>
    <row r="102" spans="1:35" ht="18.75" customHeight="1">
      <c r="A102" s="3423" t="s">
        <v>2289</v>
      </c>
      <c r="B102" s="2519" t="s">
        <v>2288</v>
      </c>
      <c r="C102" s="734">
        <f ca="1">C19</f>
        <v>64115</v>
      </c>
      <c r="D102" s="735">
        <f ca="1">D19</f>
        <v>23485</v>
      </c>
      <c r="E102" s="3393"/>
      <c r="F102" s="3394"/>
      <c r="G102" s="2519" t="s">
        <v>2290</v>
      </c>
      <c r="H102" s="371">
        <f ca="1">I118</f>
        <v>9852</v>
      </c>
      <c r="I102" s="137"/>
    </row>
    <row r="103" spans="1:35" ht="42.75" customHeight="1">
      <c r="A103" s="3423"/>
      <c r="B103" s="2519" t="s">
        <v>2290</v>
      </c>
      <c r="C103" s="736">
        <f ca="1">C20</f>
        <v>15123</v>
      </c>
      <c r="D103" s="737">
        <f ca="1">D20</f>
        <v>5539</v>
      </c>
      <c r="E103" s="3387" t="s">
        <v>2291</v>
      </c>
      <c r="F103" s="3388"/>
      <c r="G103" s="2520" t="s">
        <v>2292</v>
      </c>
      <c r="H103" s="1046">
        <f>IF(D36="正常操作",H104+H105+H106,H105+H106)</f>
        <v>0</v>
      </c>
      <c r="I103" s="137"/>
    </row>
    <row r="104" spans="1:35" ht="18.75" customHeight="1">
      <c r="A104" s="3423" t="s">
        <v>2293</v>
      </c>
      <c r="B104" s="2521" t="s">
        <v>2288</v>
      </c>
      <c r="C104" s="738">
        <f ca="1">H118</f>
        <v>41769</v>
      </c>
      <c r="D104" s="739"/>
      <c r="E104" s="2267" t="s">
        <v>2294</v>
      </c>
      <c r="F104" s="2258"/>
      <c r="G104" s="2520" t="s">
        <v>2292</v>
      </c>
      <c r="H104" s="1047">
        <f>IF(D36="同一抵押权人同一抵押物续贷",C36&amp;"（未扣减，详见特别提示）",C36)</f>
        <v>0</v>
      </c>
      <c r="I104" s="137"/>
    </row>
    <row r="105" spans="1:35" ht="18.75" customHeight="1" thickBot="1">
      <c r="A105" s="3435"/>
      <c r="B105" s="2522" t="s">
        <v>2290</v>
      </c>
      <c r="C105" s="740">
        <f ca="1">I118</f>
        <v>9852</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hidden="1" customHeight="1">
      <c r="A107" s="137"/>
      <c r="B107" s="137"/>
      <c r="C107" s="137"/>
      <c r="D107" s="137"/>
      <c r="E107" s="3424" t="str">
        <f>IF(项目基本情况!E8="已注销","——","3.房地产抵押价值")</f>
        <v>——</v>
      </c>
      <c r="F107" s="3394"/>
      <c r="G107" s="2519" t="s">
        <v>2288</v>
      </c>
      <c r="H107" s="1046" t="str">
        <f>IF(E107="——","——",H101-H103)</f>
        <v>——</v>
      </c>
      <c r="I107" s="137"/>
    </row>
    <row r="108" spans="1:35" ht="18.75" hidden="1" customHeight="1">
      <c r="A108" s="137"/>
      <c r="B108" s="137"/>
      <c r="C108" s="137"/>
      <c r="D108" s="137"/>
      <c r="E108" s="3424"/>
      <c r="F108" s="3394"/>
      <c r="G108" s="2519" t="s">
        <v>2290</v>
      </c>
      <c r="H108" s="371" t="e">
        <f>ROUND(H107*10000/'数据-汇总表'!E3,0)</f>
        <v>#VALUE!</v>
      </c>
      <c r="I108" s="137"/>
    </row>
    <row r="109" spans="1:35" ht="18.75" customHeight="1">
      <c r="A109" s="137"/>
      <c r="B109" s="137"/>
      <c r="C109" s="137"/>
      <c r="D109" s="137"/>
      <c r="E109" s="3424" t="str">
        <f>IF(项目基本情况!E8="已注销及未注销","4.抵押担保权已注销时的房地产抵押价值",IF(项目基本情况!E8="已注销","3.抵押担保权已注销时的房地产抵押价值","——"))</f>
        <v>3.抵押担保权已注销时的房地产抵押价值</v>
      </c>
      <c r="F109" s="3394"/>
      <c r="G109" s="2519" t="s">
        <v>2288</v>
      </c>
      <c r="H109" s="348">
        <f ca="1">IF(E109="——","——",H101-H105-H106)</f>
        <v>41769</v>
      </c>
      <c r="I109" s="137"/>
    </row>
    <row r="110" spans="1:35" ht="18.75" customHeight="1" thickBot="1">
      <c r="A110" s="137"/>
      <c r="B110" s="137"/>
      <c r="C110" s="137"/>
      <c r="D110" s="137"/>
      <c r="E110" s="3424"/>
      <c r="F110" s="3394"/>
      <c r="G110" s="2519" t="s">
        <v>2290</v>
      </c>
      <c r="H110" s="371">
        <f ca="1">IF(H109="——","——",ROUND(H109*10000/'数据-汇总表'!E3,0))</f>
        <v>9852</v>
      </c>
      <c r="I110" s="137"/>
    </row>
    <row r="111" spans="1:35" ht="18.75" hidden="1" customHeight="1">
      <c r="A111" s="137"/>
      <c r="B111" s="137"/>
      <c r="C111" s="137"/>
      <c r="D111" s="137"/>
      <c r="E111" s="3425" t="str">
        <f>IF(项目基本情况!E9="抵押净值",IF(OR(项目基本情况!E8="已注销",项目基本情况!E8="房地产抵押价值"),"4.抵押净值","5.抵押净值"),"——")</f>
        <v>——</v>
      </c>
      <c r="F111" s="3426"/>
      <c r="G111" s="2519" t="s">
        <v>2288</v>
      </c>
      <c r="H111" s="1046" t="str">
        <f>IF(E111="——","——",N59)</f>
        <v>——</v>
      </c>
      <c r="I111" s="137"/>
    </row>
    <row r="112" spans="1:35" ht="18.75" hidden="1" customHeight="1" thickBot="1">
      <c r="A112" s="137"/>
      <c r="B112" s="137"/>
      <c r="C112" s="137"/>
      <c r="D112" s="137"/>
      <c r="E112" s="3427"/>
      <c r="F112" s="3428"/>
      <c r="G112" s="2524" t="s">
        <v>2290</v>
      </c>
      <c r="H112" s="788" t="str">
        <f>IF(E111="——","——",N61)</f>
        <v>——</v>
      </c>
      <c r="I112" s="137"/>
    </row>
    <row r="113" spans="1:11" ht="18.75" customHeight="1">
      <c r="A113" s="137"/>
      <c r="B113" s="137"/>
      <c r="C113" s="137"/>
      <c r="D113" s="137"/>
      <c r="E113" s="3436" t="s">
        <v>2296</v>
      </c>
      <c r="F113" s="3436"/>
      <c r="G113" s="3436"/>
      <c r="H113" s="3436"/>
      <c r="I113" s="137"/>
    </row>
    <row r="114" spans="1:11" ht="3.75" customHeight="1">
      <c r="A114" s="2417"/>
      <c r="B114" s="2417"/>
      <c r="C114" s="2417"/>
      <c r="D114" s="2417"/>
      <c r="E114" s="2495"/>
      <c r="F114" s="2495"/>
      <c r="G114" s="2495"/>
      <c r="H114" s="2495"/>
      <c r="I114" s="2417"/>
    </row>
    <row r="115" spans="1:11" ht="18.75" customHeight="1">
      <c r="A115" s="3449" t="s">
        <v>2298</v>
      </c>
      <c r="B115" s="3450"/>
      <c r="C115" s="3450"/>
      <c r="D115" s="3450"/>
      <c r="E115" s="3450"/>
      <c r="F115" s="3450"/>
      <c r="G115" s="3450"/>
      <c r="H115" s="3450"/>
      <c r="I115" s="3451"/>
    </row>
    <row r="116" spans="1:11" ht="27" customHeight="1">
      <c r="A116" s="3360" t="s">
        <v>2299</v>
      </c>
      <c r="B116" s="3403" t="s">
        <v>3078</v>
      </c>
      <c r="C116" s="3403" t="s">
        <v>3079</v>
      </c>
      <c r="D116" s="3409" t="s">
        <v>2300</v>
      </c>
      <c r="E116" s="3410"/>
      <c r="F116" s="3445" t="s">
        <v>3080</v>
      </c>
      <c r="G116" s="3445"/>
      <c r="H116" s="3360" t="s">
        <v>2301</v>
      </c>
      <c r="I116" s="3360"/>
    </row>
    <row r="117" spans="1:11" ht="18.75" customHeight="1">
      <c r="A117" s="3360"/>
      <c r="B117" s="3404"/>
      <c r="C117" s="3404"/>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河北省廊坊市三河市燕郊开发区规划路南北两侧天洋城天洋广场地下商业房地产</v>
      </c>
      <c r="B118" s="1796">
        <f>M18</f>
        <v>42395.67</v>
      </c>
      <c r="C118" s="1796">
        <f>M19</f>
        <v>6298.25</v>
      </c>
      <c r="D118" s="1796">
        <f ca="1">ROUND(IF(D32="总价",C34,E118*B118/10000),0)</f>
        <v>17926</v>
      </c>
      <c r="E118" s="1796">
        <f ca="1">ROUND(IF(C33="自定义",IF(D32="楼面单价",C34,D118*10000/B118),I118-G118),0)</f>
        <v>4228</v>
      </c>
      <c r="F118" s="1796">
        <f ca="1">ROUND(IF(D32="总价",C35,G118*B118/10000),0)</f>
        <v>23843</v>
      </c>
      <c r="G118" s="1796">
        <f ca="1">ROUND(IF(D32="楼面单价",C35,F118*10000/B118),0)</f>
        <v>5624</v>
      </c>
      <c r="H118" s="1796">
        <f ca="1">ROUND(IF(D32="总价",C32,I118*B118/10000),0)</f>
        <v>41769</v>
      </c>
      <c r="I118" s="1796">
        <f ca="1">ROUND(IF(D32="楼面单价",C32,H118*10000/B118),0)</f>
        <v>9852</v>
      </c>
    </row>
    <row r="119" spans="1:11" ht="18.75" customHeight="1">
      <c r="A119" s="3360" t="s">
        <v>2305</v>
      </c>
      <c r="B119" s="3360"/>
      <c r="C119" s="3360"/>
      <c r="D119" s="3405" t="str">
        <f ca="1">NUMBERSTRING(INT(D118*10000),2)&amp;"元整"</f>
        <v>壹亿柒仟玖佰贰拾陆万元整</v>
      </c>
      <c r="E119" s="3406"/>
      <c r="F119" s="3405" t="str">
        <f ca="1">NUMBERSTRING(INT(F118*10000),2)&amp;"元整"</f>
        <v>贰亿叁仟捌佰肆拾叁万元整</v>
      </c>
      <c r="G119" s="3406"/>
      <c r="H119" s="3405" t="str">
        <f ca="1">NUMBERSTRING(INT(H118*10000),2)&amp;"元整"</f>
        <v>肆亿壹仟柒佰陆拾玖万元整</v>
      </c>
      <c r="I119" s="3406"/>
    </row>
    <row r="120" spans="1:11" ht="18.75" customHeight="1">
      <c r="A120" s="3400" t="str">
        <f>IF(项目基本情况!B9="房地产市场价值","",MID(E103,3,LEN(E103)-2))</f>
        <v>估价师知悉的法定优先受偿款</v>
      </c>
      <c r="B120" s="3401"/>
      <c r="C120" s="3402"/>
      <c r="D120" s="3400">
        <f>H103</f>
        <v>0</v>
      </c>
      <c r="E120" s="3401"/>
      <c r="F120" s="3401"/>
      <c r="G120" s="3401"/>
      <c r="H120" s="3401"/>
      <c r="I120" s="3402"/>
      <c r="K120" s="2422" t="str">
        <f>IF(D120=0,"故，本次评估不存在"&amp;A120,"故，本次评估"&amp;A120&amp;"为人民币"&amp;D120&amp;"万元整。")</f>
        <v>故，本次评估不存在估价师知悉的法定优先受偿款</v>
      </c>
    </row>
    <row r="121" spans="1:11" ht="18.75" customHeight="1">
      <c r="A121" s="3446" t="s">
        <v>2305</v>
      </c>
      <c r="B121" s="3447"/>
      <c r="C121" s="3448"/>
      <c r="D121" s="3405" t="str">
        <f>IF(D120=0,"零元整",NUMBERSTRING(INT(D120*10000),2)&amp;"元整")</f>
        <v>零元整</v>
      </c>
      <c r="E121" s="3407"/>
      <c r="F121" s="3407"/>
      <c r="G121" s="3407"/>
      <c r="H121" s="3407"/>
      <c r="I121" s="3406"/>
    </row>
    <row r="122" spans="1:11" ht="18.75" hidden="1" customHeight="1">
      <c r="A122" s="3411" t="str">
        <f>IF(项目基本情况!B9="房地产市场价值","",MID(E107,3,LEN(E107)-2))</f>
        <v/>
      </c>
      <c r="B122" s="3411"/>
      <c r="C122" s="3411"/>
      <c r="D122" s="3400" t="str">
        <f>H107</f>
        <v>——</v>
      </c>
      <c r="E122" s="3401"/>
      <c r="F122" s="3401"/>
      <c r="G122" s="3401"/>
      <c r="H122" s="3401"/>
      <c r="I122" s="3402"/>
    </row>
    <row r="123" spans="1:11" ht="18.75" hidden="1" customHeight="1">
      <c r="A123" s="3360" t="s">
        <v>2305</v>
      </c>
      <c r="B123" s="3360"/>
      <c r="C123" s="3360"/>
      <c r="D123" s="3405" t="e">
        <f>NUMBERSTRING(INT(D122*10000),2)&amp;"元整"</f>
        <v>#VALUE!</v>
      </c>
      <c r="E123" s="3407"/>
      <c r="F123" s="3407"/>
      <c r="G123" s="3407"/>
      <c r="H123" s="3407"/>
      <c r="I123" s="3406"/>
    </row>
    <row r="124" spans="1:11" ht="18.75" customHeight="1">
      <c r="A124" s="3411" t="str">
        <f>IF(项目基本情况!B9="房地产市场价值","",MID(E109,3,LEN(E109)-2))</f>
        <v>抵押担保权已注销时的房地产抵押价值</v>
      </c>
      <c r="B124" s="3411"/>
      <c r="C124" s="3411"/>
      <c r="D124" s="3400">
        <f ca="1">H109</f>
        <v>41769</v>
      </c>
      <c r="E124" s="3401"/>
      <c r="F124" s="3401"/>
      <c r="G124" s="3401"/>
      <c r="H124" s="3401"/>
      <c r="I124" s="3402"/>
    </row>
    <row r="125" spans="1:11" ht="18.75" customHeight="1">
      <c r="A125" s="3360" t="s">
        <v>2305</v>
      </c>
      <c r="B125" s="3360"/>
      <c r="C125" s="3360"/>
      <c r="D125" s="3405" t="str">
        <f ca="1">NUMBERSTRING(INT(D124*10000),2)&amp;"元整"</f>
        <v>肆亿壹仟柒佰陆拾玖万元整</v>
      </c>
      <c r="E125" s="3407"/>
      <c r="F125" s="3407"/>
      <c r="G125" s="3407"/>
      <c r="H125" s="3407"/>
      <c r="I125" s="3406"/>
    </row>
    <row r="126" spans="1:11" ht="18.75" hidden="1" customHeight="1">
      <c r="A126" s="3411" t="str">
        <f>IF(项目基本情况!B9="房地产市场价值","",MID(E111,3,LEN(E111)-2))</f>
        <v/>
      </c>
      <c r="B126" s="3411"/>
      <c r="C126" s="3411"/>
      <c r="D126" s="3400" t="str">
        <f>H111</f>
        <v>——</v>
      </c>
      <c r="E126" s="3401"/>
      <c r="F126" s="3401"/>
      <c r="G126" s="3401"/>
      <c r="H126" s="3401"/>
      <c r="I126" s="3402"/>
    </row>
    <row r="127" spans="1:11" ht="18.75" hidden="1" customHeight="1">
      <c r="A127" s="3360" t="s">
        <v>2305</v>
      </c>
      <c r="B127" s="3360"/>
      <c r="C127" s="3360"/>
      <c r="D127" s="3405" t="e">
        <f>NUMBERSTRING(INT(D126*10000),2)&amp;"元整"</f>
        <v>#VALUE!</v>
      </c>
      <c r="E127" s="3407"/>
      <c r="F127" s="3407"/>
      <c r="G127" s="3407"/>
      <c r="H127" s="3407"/>
      <c r="I127" s="3406"/>
    </row>
    <row r="128" spans="1:11" ht="21.75" customHeight="1">
      <c r="A128" s="3408" t="s">
        <v>2306</v>
      </c>
      <c r="B128" s="3408"/>
      <c r="C128" s="3408"/>
      <c r="D128" s="3408"/>
      <c r="E128" s="3408"/>
      <c r="F128" s="3408"/>
      <c r="G128" s="3408"/>
      <c r="H128" s="3408"/>
      <c r="I128" s="3408"/>
    </row>
    <row r="129" spans="1:35" ht="21.75" customHeight="1">
      <c r="A129" s="2526" t="s">
        <v>2307</v>
      </c>
      <c r="B129" s="2527"/>
      <c r="C129" s="2528" t="s">
        <v>3081</v>
      </c>
      <c r="D129" s="2529"/>
      <c r="E129" s="2529"/>
      <c r="F129" s="2529"/>
      <c r="G129" s="2529"/>
      <c r="H129" s="2530"/>
      <c r="I129" s="2531"/>
    </row>
    <row r="130" spans="1:35" ht="21.75" customHeight="1">
      <c r="A130" s="2532" t="s">
        <v>3138</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3082</v>
      </c>
      <c r="H135" s="2543"/>
      <c r="I135" s="2544" t="s">
        <v>3139</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3083</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3083</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8</v>
      </c>
    </row>
    <row r="2" spans="1:9" s="244" customFormat="1" ht="18" customHeight="1">
      <c r="A2" s="245" t="s">
        <v>2312</v>
      </c>
      <c r="B2" s="246">
        <f ca="1">IF(D2="——",C52,C52-E2)</f>
        <v>25057</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5910</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42395.67</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848</v>
      </c>
      <c r="D19" s="1037">
        <f ca="1">D9+D10</f>
        <v>42395.67</v>
      </c>
      <c r="E19" s="255">
        <f>'数据-取费表'!B31</f>
        <v>200</v>
      </c>
      <c r="F19" s="275"/>
      <c r="G19" s="2551"/>
    </row>
    <row r="20" spans="1:7" s="258" customFormat="1" ht="13.5" customHeight="1">
      <c r="A20" s="299" t="s">
        <v>2343</v>
      </c>
      <c r="B20" s="254" t="s">
        <v>2344</v>
      </c>
      <c r="C20" s="276">
        <f ca="1">ROUND((C5+C19)*F20,0)</f>
        <v>17</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83</v>
      </c>
      <c r="D22" s="279">
        <f ca="1">C26</f>
        <v>1E-3</v>
      </c>
      <c r="E22" s="280" t="s">
        <v>2348</v>
      </c>
      <c r="F22" s="281">
        <f ca="1">'数据-取费表'!B40</f>
        <v>4.7500000000000001E-2</v>
      </c>
      <c r="G22" s="278" t="str">
        <f>IF('数据-取费表'!B22&lt;=1,"单利计息","复利计息")</f>
        <v>复利计息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82</v>
      </c>
      <c r="D24" s="282"/>
      <c r="E24" s="282"/>
      <c r="F24" s="283"/>
      <c r="G24" s="284" t="s">
        <v>2357</v>
      </c>
    </row>
    <row r="25" spans="1:7" s="258" customFormat="1" ht="24">
      <c r="A25" s="952" t="s">
        <v>2358</v>
      </c>
      <c r="B25" s="259" t="s">
        <v>2359</v>
      </c>
      <c r="C25" s="1355">
        <f ca="1">ROUND(IF('数据-取费表'!B22&lt;=1,C20*F22*'数据-取费表'!B23/2,C20*(POWER((1+F22),'数据-取费表'!B23/2)-1)),0)</f>
        <v>1</v>
      </c>
      <c r="D25" s="282"/>
      <c r="E25" s="285"/>
      <c r="F25" s="283"/>
      <c r="G25" s="286" t="s">
        <v>2360</v>
      </c>
    </row>
    <row r="26" spans="1:7" s="258" customFormat="1">
      <c r="A26" s="952"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173</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ROUND((C5+C19+C20)*F27*'数据-取费表'!B21/'数据-取费表'!B20,0)</f>
        <v>173</v>
      </c>
      <c r="D28" s="279"/>
      <c r="E28" s="280"/>
      <c r="F28" s="290"/>
      <c r="G28" s="291"/>
    </row>
    <row r="29" spans="1:7" s="258" customFormat="1" ht="13.5" customHeight="1">
      <c r="A29" s="952" t="s">
        <v>792</v>
      </c>
      <c r="B29" s="292" t="s">
        <v>2367</v>
      </c>
      <c r="C29" s="282">
        <f ca="1">ROUND(C21*F27*'数据-取费表'!B21/'数据-取费表'!B20,4)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1216</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18569</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16958</v>
      </c>
      <c r="D34" s="261"/>
      <c r="E34" s="264"/>
      <c r="F34" s="301">
        <f ca="1">IF('数据-取费表'!B24=0,1,IF(B1="",'数据-取费表'!N16,INDIRECT("'数据-取费表'!n"&amp;$G$1)))</f>
        <v>1</v>
      </c>
      <c r="G34" s="263" t="s">
        <v>2376</v>
      </c>
    </row>
    <row r="35" spans="1:7" ht="13.5" customHeight="1">
      <c r="A35" s="952" t="s">
        <v>796</v>
      </c>
      <c r="B35" s="259" t="s">
        <v>2377</v>
      </c>
      <c r="C35" s="264">
        <f ca="1">ROUND(C34*F35,0)</f>
        <v>509</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848</v>
      </c>
      <c r="D37" s="261">
        <f ca="1">D19</f>
        <v>42395.67</v>
      </c>
      <c r="E37" s="293">
        <f>'数据-取费表'!B35</f>
        <v>200</v>
      </c>
      <c r="F37" s="303"/>
      <c r="G37" s="305" t="s">
        <v>2382</v>
      </c>
    </row>
    <row r="38" spans="1:7" ht="13.5" customHeight="1">
      <c r="A38" s="952" t="s">
        <v>799</v>
      </c>
      <c r="B38" s="259" t="s">
        <v>2383</v>
      </c>
      <c r="C38" s="264">
        <f ca="1">ROUND(C34*F38,0)</f>
        <v>254</v>
      </c>
      <c r="D38" s="264"/>
      <c r="E38" s="264"/>
      <c r="F38" s="303">
        <f>'数据-取费表'!B36</f>
        <v>1.4999999999999999E-2</v>
      </c>
      <c r="G38" s="263" t="s">
        <v>2378</v>
      </c>
    </row>
    <row r="39" spans="1:7" s="258" customFormat="1" ht="13.5" customHeight="1">
      <c r="A39" s="299" t="s">
        <v>2384</v>
      </c>
      <c r="B39" s="254" t="s">
        <v>2385</v>
      </c>
      <c r="C39" s="276">
        <f ca="1">ROUND(C33*F20,0)</f>
        <v>371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900</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ROUND(IF('数据-取费表'!B22&lt;=1,C33*F22*'数据-取费表'!B21/2,C33*(POWER((1+F22),'数据-取费表'!B21/2)-1)),0)</f>
        <v>882</v>
      </c>
      <c r="D42" s="282"/>
      <c r="E42" s="282"/>
      <c r="F42" s="283"/>
      <c r="G42" s="3480" t="s">
        <v>2394</v>
      </c>
    </row>
    <row r="43" spans="1:7" ht="13.5" customHeight="1">
      <c r="A43" s="952" t="s">
        <v>792</v>
      </c>
      <c r="B43" s="259" t="s">
        <v>2395</v>
      </c>
      <c r="C43" s="282">
        <f ca="1">ROUND(IF('数据-取费表'!B22&lt;=1,C39*F22*'数据-取费表'!B21/2,C39*(POWER((1+F22),'数据-取费表'!B21/2)-1)),0)</f>
        <v>18</v>
      </c>
      <c r="D43" s="282"/>
      <c r="E43" s="282"/>
      <c r="F43" s="283"/>
      <c r="G43" s="3481"/>
    </row>
    <row r="44" spans="1:7" ht="13.5" customHeight="1">
      <c r="A44" s="952" t="s">
        <v>793</v>
      </c>
      <c r="B44" s="259" t="s">
        <v>2396</v>
      </c>
      <c r="C44" s="282">
        <f ca="1">ROUND(IF('数据-取费表'!B22&lt;=1,C40*F22*'数据-取费表'!B21/2,C40*(POWER((1+F22),'数据-取费表'!B21/2)-1)),4)</f>
        <v>1E-3</v>
      </c>
      <c r="D44" s="282"/>
      <c r="E44" s="282"/>
      <c r="F44" s="283"/>
      <c r="G44" s="3482"/>
    </row>
    <row r="45" spans="1:7" s="258" customFormat="1" ht="13.5" customHeight="1">
      <c r="A45" s="299" t="s">
        <v>2397</v>
      </c>
      <c r="B45" s="288" t="s">
        <v>2363</v>
      </c>
      <c r="C45" s="289">
        <f ca="1">C46</f>
        <v>3788</v>
      </c>
      <c r="D45" s="279">
        <f ca="1">C47</f>
        <v>4.0000000000000001E-3</v>
      </c>
      <c r="E45" s="280" t="s">
        <v>2389</v>
      </c>
      <c r="F45" s="290"/>
      <c r="G45" s="291" t="s">
        <v>2398</v>
      </c>
    </row>
    <row r="46" spans="1:7" s="258" customFormat="1" ht="13.5" customHeight="1">
      <c r="A46" s="952" t="s">
        <v>791</v>
      </c>
      <c r="B46" s="292" t="s">
        <v>2399</v>
      </c>
      <c r="C46" s="293">
        <f ca="1">ROUND((C33+C39)*F27,0)</f>
        <v>3788</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25635</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23841</v>
      </c>
      <c r="D51" s="276"/>
      <c r="E51" s="276"/>
      <c r="F51" s="308"/>
      <c r="G51" s="278" t="s">
        <v>2410</v>
      </c>
    </row>
    <row r="52" spans="1:7" s="252" customFormat="1" ht="16.5" thickBot="1">
      <c r="A52" s="309" t="s">
        <v>2411</v>
      </c>
      <c r="B52" s="310"/>
      <c r="C52" s="311">
        <f ca="1">C31+C51</f>
        <v>25057</v>
      </c>
      <c r="D52" s="310"/>
      <c r="E52" s="310"/>
      <c r="F52" s="310"/>
      <c r="G52" s="312"/>
    </row>
    <row r="55" spans="1:7" ht="15">
      <c r="B55" s="314" t="s">
        <v>2412</v>
      </c>
      <c r="C55" s="315"/>
    </row>
    <row r="56" spans="1:7">
      <c r="B56" s="317" t="s">
        <v>1515</v>
      </c>
      <c r="C56" s="319">
        <f ca="1">1-C57</f>
        <v>4.9000000000000044E-2</v>
      </c>
    </row>
    <row r="57" spans="1:7">
      <c r="B57" s="317" t="s">
        <v>1516</v>
      </c>
      <c r="C57" s="318">
        <f ca="1">ROUND(C51/C52,3)</f>
        <v>0.95099999999999996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297" t="str">
        <f>项目基本情况!B1</f>
        <v>河北省廊坊市三河市燕郊开发区规划路南北两侧天洋城天洋广场地下商业房地产抵押价值预评估</v>
      </c>
      <c r="C37" s="3297"/>
      <c r="D37" s="3297"/>
      <c r="E37" s="3297"/>
      <c r="F37" s="3297"/>
      <c r="G37" s="3297"/>
      <c r="H37" s="3297"/>
      <c r="I37" s="3297"/>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8</v>
      </c>
      <c r="H1" s="1282" t="str">
        <f>IF(ISERROR(FIND("住宅",B1)),"非住宅","住宅")</f>
        <v>非住宅</v>
      </c>
    </row>
    <row r="2" spans="1:8" s="244" customFormat="1" ht="18" customHeight="1">
      <c r="A2" s="245" t="s">
        <v>2312</v>
      </c>
      <c r="B2" s="246">
        <f ca="1">ROUND(IF(D2="——",C52/10000,C52/10000-E2),0)</f>
        <v>25058</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5911</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42395.67</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8479134</v>
      </c>
      <c r="D19" s="1037">
        <f ca="1">D9+D10</f>
        <v>42395.67</v>
      </c>
      <c r="E19" s="255">
        <f>'数据-取费表'!B31</f>
        <v>200</v>
      </c>
      <c r="F19" s="275"/>
      <c r="G19" s="2551"/>
    </row>
    <row r="20" spans="1:7" s="258" customFormat="1" ht="13.5" customHeight="1">
      <c r="A20" s="299" t="s">
        <v>2424</v>
      </c>
      <c r="B20" s="254" t="s">
        <v>2425</v>
      </c>
      <c r="C20" s="276">
        <f ca="1">ROUND((C5+C19)*F20,0)</f>
        <v>169583</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832704</v>
      </c>
      <c r="D22" s="279">
        <f ca="1">C26</f>
        <v>1E-3</v>
      </c>
      <c r="E22" s="280" t="s">
        <v>2429</v>
      </c>
      <c r="F22" s="281">
        <f ca="1">'数据-取费表'!B40</f>
        <v>4.7500000000000001E-2</v>
      </c>
      <c r="G22" s="278" t="str">
        <f>IF('数据-取费表'!B22&lt;=1,"单利计息","复利计息")</f>
        <v>复利计息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824649</v>
      </c>
      <c r="D24" s="282"/>
      <c r="E24" s="282"/>
      <c r="F24" s="283"/>
      <c r="G24" s="284" t="s">
        <v>2436</v>
      </c>
    </row>
    <row r="25" spans="1:7" s="258" customFormat="1" ht="24">
      <c r="A25" s="952" t="s">
        <v>2326</v>
      </c>
      <c r="B25" s="259" t="s">
        <v>2437</v>
      </c>
      <c r="C25" s="1381">
        <f ca="1">ROUND(IF('数据-取费表'!B22&lt;=1,C20*F22*'数据-取费表'!B22/2,C20*(POWER((1+F22),'数据-取费表'!B22/2)-1)),0)</f>
        <v>8055</v>
      </c>
      <c r="D25" s="282"/>
      <c r="E25" s="285"/>
      <c r="F25" s="283"/>
      <c r="G25" s="286" t="s">
        <v>2438</v>
      </c>
    </row>
    <row r="26" spans="1:7" s="258" customFormat="1">
      <c r="A26" s="952"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1729743</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ROUND((C5+C19+C20)*F27,0)</f>
        <v>1729743</v>
      </c>
      <c r="D28" s="279"/>
      <c r="E28" s="280"/>
      <c r="F28" s="290"/>
      <c r="G28" s="291"/>
    </row>
    <row r="29" spans="1:7" s="258" customFormat="1" ht="13.5" customHeight="1">
      <c r="A29" s="952" t="s">
        <v>792</v>
      </c>
      <c r="B29" s="292" t="s">
        <v>2367</v>
      </c>
      <c r="C29" s="282">
        <f ca="1">ROUND(C21*F27,4)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12163572</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185693034</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169582680</v>
      </c>
      <c r="D34" s="261"/>
      <c r="E34" s="264"/>
      <c r="F34" s="301"/>
      <c r="G34" s="263"/>
    </row>
    <row r="35" spans="1:7" ht="13.5" customHeight="1">
      <c r="A35" s="952" t="s">
        <v>796</v>
      </c>
      <c r="B35" s="259" t="s">
        <v>2377</v>
      </c>
      <c r="C35" s="264">
        <f ca="1">ROUND(C34*F35,0)</f>
        <v>5087480</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8479134</v>
      </c>
      <c r="D37" s="261">
        <f ca="1">D19</f>
        <v>42395.67</v>
      </c>
      <c r="E37" s="293">
        <f>'数据-取费表'!B35</f>
        <v>200</v>
      </c>
      <c r="F37" s="303"/>
      <c r="G37" s="305"/>
    </row>
    <row r="38" spans="1:7" ht="13.5" customHeight="1">
      <c r="A38" s="952" t="s">
        <v>799</v>
      </c>
      <c r="B38" s="259" t="s">
        <v>2383</v>
      </c>
      <c r="C38" s="264">
        <f ca="1">ROUND(C34*F38,0)</f>
        <v>2543740</v>
      </c>
      <c r="D38" s="264"/>
      <c r="E38" s="264"/>
      <c r="F38" s="303">
        <f>'数据-取费表'!B36</f>
        <v>1.4999999999999999E-2</v>
      </c>
      <c r="G38" s="263" t="s">
        <v>2378</v>
      </c>
    </row>
    <row r="39" spans="1:7" s="258" customFormat="1" ht="13.5" customHeight="1">
      <c r="A39" s="299" t="s">
        <v>2384</v>
      </c>
      <c r="B39" s="254" t="s">
        <v>2385</v>
      </c>
      <c r="C39" s="276">
        <f ca="1">ROUND(C33*F20,0)</f>
        <v>3713861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8996827</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ROUND(IF('数据-取费表'!B22&lt;=1,C33*F22*'数据-取费表'!B20/2,C33*(POWER((1+F22),'数据-取费表'!B20/2)-1)),0)</f>
        <v>8820419</v>
      </c>
      <c r="D42" s="282"/>
      <c r="E42" s="282"/>
      <c r="F42" s="283"/>
      <c r="G42" s="3480" t="s">
        <v>2441</v>
      </c>
    </row>
    <row r="43" spans="1:7" ht="13.5" customHeight="1">
      <c r="A43" s="952" t="s">
        <v>792</v>
      </c>
      <c r="B43" s="259" t="s">
        <v>2395</v>
      </c>
      <c r="C43" s="282">
        <f ca="1">ROUND(IF('数据-取费表'!B22&lt;=1,C39*F22*'数据-取费表'!B20/2,C39*(POWER((1+F22),'数据-取费表'!B20/2)-1)),0)</f>
        <v>176408</v>
      </c>
      <c r="D43" s="282"/>
      <c r="E43" s="282"/>
      <c r="F43" s="283"/>
      <c r="G43" s="3481"/>
    </row>
    <row r="44" spans="1:7" ht="13.5" customHeight="1">
      <c r="A44" s="952" t="s">
        <v>793</v>
      </c>
      <c r="B44" s="259" t="s">
        <v>2396</v>
      </c>
      <c r="C44" s="282">
        <f ca="1">ROUND(IF('数据-取费表'!B22&lt;=1,C40*F22*'数据-取费表'!B20/2,C40*(POWER((1+F22),'数据-取费表'!B20/2)-1)),4)</f>
        <v>1E-3</v>
      </c>
      <c r="D44" s="282"/>
      <c r="E44" s="282"/>
      <c r="F44" s="283"/>
      <c r="G44" s="3482"/>
    </row>
    <row r="45" spans="1:7" s="258" customFormat="1" ht="13.5" customHeight="1">
      <c r="A45" s="299" t="s">
        <v>2397</v>
      </c>
      <c r="B45" s="288" t="s">
        <v>2363</v>
      </c>
      <c r="C45" s="289">
        <f ca="1">C46</f>
        <v>37881379</v>
      </c>
      <c r="D45" s="279">
        <f ca="1">C47</f>
        <v>4.0000000000000001E-3</v>
      </c>
      <c r="E45" s="280" t="s">
        <v>2389</v>
      </c>
      <c r="F45" s="290"/>
      <c r="G45" s="291" t="s">
        <v>2398</v>
      </c>
    </row>
    <row r="46" spans="1:7" s="258" customFormat="1" ht="13.5" customHeight="1">
      <c r="A46" s="952" t="s">
        <v>791</v>
      </c>
      <c r="B46" s="292" t="s">
        <v>2399</v>
      </c>
      <c r="C46" s="293">
        <f ca="1">ROUND((C33+C39)*F27,0)</f>
        <v>37881379</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256357927</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238412872</v>
      </c>
      <c r="D51" s="276"/>
      <c r="E51" s="276"/>
      <c r="F51" s="308"/>
      <c r="G51" s="278" t="s">
        <v>2410</v>
      </c>
    </row>
    <row r="52" spans="1:7" s="252" customFormat="1" ht="16.5" thickBot="1">
      <c r="A52" s="309" t="s">
        <v>2411</v>
      </c>
      <c r="B52" s="310"/>
      <c r="C52" s="311">
        <f ca="1">C31+C51</f>
        <v>250576444</v>
      </c>
      <c r="D52" s="310"/>
      <c r="E52" s="310"/>
      <c r="F52" s="310"/>
      <c r="G52" s="312"/>
    </row>
    <row r="55" spans="1:7" ht="15">
      <c r="B55" s="314" t="s">
        <v>2412</v>
      </c>
      <c r="C55" s="315"/>
    </row>
    <row r="56" spans="1:7">
      <c r="B56" s="317" t="s">
        <v>1515</v>
      </c>
      <c r="C56" s="319">
        <f ca="1">1-C57</f>
        <v>4.9000000000000044E-2</v>
      </c>
    </row>
    <row r="57" spans="1:7">
      <c r="B57" s="317" t="s">
        <v>1516</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42395.67</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42395.67</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42395.67</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3042</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23598</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501" t="s">
        <v>2521</v>
      </c>
      <c r="D4" s="3502"/>
      <c r="E4" s="3503" t="s">
        <v>2522</v>
      </c>
      <c r="F4" s="3504"/>
      <c r="G4" s="3501" t="s">
        <v>2523</v>
      </c>
      <c r="H4" s="3502"/>
      <c r="I4" s="3501" t="s">
        <v>2524</v>
      </c>
      <c r="J4" s="3502"/>
      <c r="K4" s="2597" t="s">
        <v>2525</v>
      </c>
      <c r="L4" s="1130"/>
      <c r="M4" s="1131"/>
      <c r="N4" s="1131"/>
      <c r="O4" s="1131"/>
      <c r="P4" s="3505" t="s">
        <v>2526</v>
      </c>
      <c r="Q4" s="3506"/>
      <c r="R4" s="3488" t="s">
        <v>2522</v>
      </c>
      <c r="S4" s="3489"/>
      <c r="T4" s="3488" t="s">
        <v>2523</v>
      </c>
      <c r="U4" s="3489"/>
      <c r="V4" s="3513" t="s">
        <v>2524</v>
      </c>
      <c r="W4" s="3513"/>
      <c r="X4" s="1814"/>
      <c r="Y4" s="3488" t="s">
        <v>2526</v>
      </c>
      <c r="Z4" s="3489"/>
      <c r="AA4" s="3483" t="s">
        <v>2522</v>
      </c>
      <c r="AB4" s="3483" t="s">
        <v>2523</v>
      </c>
      <c r="AC4" s="3483" t="s">
        <v>2524</v>
      </c>
    </row>
    <row r="5" spans="1:29" ht="15">
      <c r="A5" s="404"/>
      <c r="B5" s="405"/>
      <c r="C5" s="3494" t="s">
        <v>3046</v>
      </c>
      <c r="D5" s="3495"/>
      <c r="E5" s="3492" t="s">
        <v>3071</v>
      </c>
      <c r="F5" s="3493"/>
      <c r="G5" s="3494" t="s">
        <v>3073</v>
      </c>
      <c r="H5" s="3495"/>
      <c r="I5" s="3494" t="s">
        <v>3074</v>
      </c>
      <c r="J5" s="3495"/>
      <c r="K5" s="2598"/>
      <c r="L5" s="1130"/>
      <c r="M5" s="1131"/>
      <c r="N5" s="1131"/>
      <c r="O5" s="1131"/>
      <c r="P5" s="3507"/>
      <c r="Q5" s="3508"/>
      <c r="R5" s="3490"/>
      <c r="S5" s="3491"/>
      <c r="T5" s="3490"/>
      <c r="U5" s="3491"/>
      <c r="V5" s="3513"/>
      <c r="W5" s="3513"/>
      <c r="X5" s="1814"/>
      <c r="Y5" s="3490"/>
      <c r="Z5" s="3491"/>
      <c r="AA5" s="3484"/>
      <c r="AB5" s="3484"/>
      <c r="AC5" s="3484"/>
    </row>
    <row r="6" spans="1:29" ht="15.75" thickBot="1">
      <c r="A6" s="406"/>
      <c r="B6" s="407"/>
      <c r="C6" s="3496" t="s">
        <v>2531</v>
      </c>
      <c r="D6" s="3497"/>
      <c r="E6" s="3498" t="s">
        <v>2531</v>
      </c>
      <c r="F6" s="3499"/>
      <c r="G6" s="3496" t="s">
        <v>2531</v>
      </c>
      <c r="H6" s="3497"/>
      <c r="I6" s="3496" t="s">
        <v>2531</v>
      </c>
      <c r="J6" s="3497"/>
      <c r="K6" s="2598" t="s">
        <v>2532</v>
      </c>
      <c r="L6" s="1130"/>
      <c r="M6" s="1131"/>
      <c r="N6" s="1131"/>
      <c r="O6" s="1131"/>
      <c r="P6" s="3509"/>
      <c r="Q6" s="3510"/>
      <c r="R6" s="3490"/>
      <c r="S6" s="3491"/>
      <c r="T6" s="3511"/>
      <c r="U6" s="3512"/>
      <c r="V6" s="3513"/>
      <c r="W6" s="3513"/>
      <c r="X6" s="1814"/>
      <c r="Y6" s="3511"/>
      <c r="Z6" s="3512"/>
      <c r="AA6" s="3485"/>
      <c r="AB6" s="3485"/>
      <c r="AC6" s="3485"/>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486" t="s">
        <v>2534</v>
      </c>
      <c r="Q7" s="3514"/>
      <c r="R7" s="768" t="s">
        <v>23</v>
      </c>
      <c r="S7" s="769">
        <f t="shared" ref="S7:S15" si="0">F7</f>
        <v>100</v>
      </c>
      <c r="T7" s="768" t="s">
        <v>23</v>
      </c>
      <c r="U7" s="769">
        <f t="shared" ref="U7:U15" si="1">H7</f>
        <v>100</v>
      </c>
      <c r="V7" s="768" t="s">
        <v>23</v>
      </c>
      <c r="W7" s="769">
        <f t="shared" ref="W7:W15" si="2">J7</f>
        <v>100</v>
      </c>
      <c r="X7" s="770"/>
      <c r="Y7" s="3486" t="s">
        <v>2534</v>
      </c>
      <c r="Z7" s="3487"/>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486" t="s">
        <v>2537</v>
      </c>
      <c r="Q8" s="3487"/>
      <c r="R8" s="768" t="s">
        <v>23</v>
      </c>
      <c r="S8" s="769">
        <f t="shared" si="0"/>
        <v>100</v>
      </c>
      <c r="T8" s="768" t="s">
        <v>23</v>
      </c>
      <c r="U8" s="769">
        <f t="shared" si="1"/>
        <v>100</v>
      </c>
      <c r="V8" s="768" t="s">
        <v>23</v>
      </c>
      <c r="W8" s="769">
        <f t="shared" si="2"/>
        <v>100</v>
      </c>
      <c r="X8" s="770"/>
      <c r="Y8" s="3486" t="s">
        <v>2537</v>
      </c>
      <c r="Z8" s="3487"/>
      <c r="AA8" s="771">
        <f t="shared" ref="AA8:AA19" si="3">D8/F8</f>
        <v>1</v>
      </c>
      <c r="AB8" s="771">
        <f t="shared" ref="AB8:AB19" si="4">D8/H8</f>
        <v>1</v>
      </c>
      <c r="AC8" s="771">
        <f t="shared" ref="AC8:AC19" si="5">D8/J8</f>
        <v>1</v>
      </c>
    </row>
    <row r="9" spans="1:29" s="116" customFormat="1">
      <c r="A9" s="415" t="s">
        <v>2538</v>
      </c>
      <c r="B9" s="70" t="s">
        <v>2539</v>
      </c>
      <c r="C9" s="416" t="s">
        <v>3047</v>
      </c>
      <c r="D9" s="134">
        <v>100</v>
      </c>
      <c r="E9" s="417" t="s">
        <v>3041</v>
      </c>
      <c r="F9" s="418">
        <f>SUMIF(63:63,E9,64:64)-SUMIF(63:63,C9,64:64)+100</f>
        <v>100</v>
      </c>
      <c r="G9" s="417" t="s">
        <v>3041</v>
      </c>
      <c r="H9" s="134">
        <f>SUMIF(63:63,G9,64:64)-SUMIF(63:63,C9,64:64)+100</f>
        <v>100</v>
      </c>
      <c r="I9" s="417" t="s">
        <v>3041</v>
      </c>
      <c r="J9" s="134">
        <f>SUMIF(63:63,I9,64:64)-SUMIF(63:63,C9,64:64)+100</f>
        <v>100</v>
      </c>
      <c r="K9" s="2599"/>
      <c r="L9" s="1132"/>
      <c r="M9" s="1133"/>
      <c r="N9" s="1133"/>
      <c r="O9" s="1133"/>
      <c r="P9" s="3500" t="s">
        <v>2540</v>
      </c>
      <c r="Q9" s="1796" t="str">
        <f t="shared" ref="Q9:Q15" si="6">B9</f>
        <v>用途</v>
      </c>
      <c r="R9" s="768" t="s">
        <v>17</v>
      </c>
      <c r="S9" s="769">
        <f t="shared" si="0"/>
        <v>100</v>
      </c>
      <c r="T9" s="768" t="s">
        <v>17</v>
      </c>
      <c r="U9" s="769">
        <f t="shared" si="1"/>
        <v>100</v>
      </c>
      <c r="V9" s="768" t="s">
        <v>17</v>
      </c>
      <c r="W9" s="769">
        <f t="shared" si="2"/>
        <v>100</v>
      </c>
      <c r="X9" s="770"/>
      <c r="Y9" s="3360" t="s">
        <v>2541</v>
      </c>
      <c r="Z9" s="54" t="str">
        <f t="shared" ref="Z9:Z15" si="7">Q9</f>
        <v>用途</v>
      </c>
      <c r="AA9" s="771">
        <f t="shared" si="3"/>
        <v>1</v>
      </c>
      <c r="AB9" s="771">
        <f t="shared" si="4"/>
        <v>1</v>
      </c>
      <c r="AC9" s="771">
        <f t="shared" si="5"/>
        <v>1</v>
      </c>
    </row>
    <row r="10" spans="1:29" s="427" customFormat="1" ht="27">
      <c r="A10" s="421"/>
      <c r="B10" s="422" t="s">
        <v>2542</v>
      </c>
      <c r="C10" s="423" t="s">
        <v>3048</v>
      </c>
      <c r="D10" s="135">
        <v>100</v>
      </c>
      <c r="E10" s="423" t="s">
        <v>3048</v>
      </c>
      <c r="F10" s="425">
        <f>SUMIF(65:65,E10,66:66)-SUMIF(65:65,C10,66:66)+100</f>
        <v>100</v>
      </c>
      <c r="G10" s="423" t="s">
        <v>3048</v>
      </c>
      <c r="H10" s="135">
        <f>SUMIF(65:65,G10,66:66)-SUMIF(65:65,C10,66:66)+100</f>
        <v>100</v>
      </c>
      <c r="I10" s="423" t="s">
        <v>3048</v>
      </c>
      <c r="J10" s="135">
        <f>SUMIF(65:65,I10,66:66)-SUMIF(65:65,C10,66:66)+100</f>
        <v>100</v>
      </c>
      <c r="K10" s="426">
        <v>1</v>
      </c>
      <c r="L10" s="1135"/>
      <c r="M10" s="1136"/>
      <c r="N10" s="1136"/>
      <c r="O10" s="1136"/>
      <c r="P10" s="3500"/>
      <c r="Q10" s="1796" t="str">
        <f t="shared" si="6"/>
        <v>土地使用年限（年）</v>
      </c>
      <c r="R10" s="768" t="s">
        <v>17</v>
      </c>
      <c r="S10" s="769">
        <f t="shared" si="0"/>
        <v>100</v>
      </c>
      <c r="T10" s="768" t="s">
        <v>17</v>
      </c>
      <c r="U10" s="769">
        <f t="shared" si="1"/>
        <v>100</v>
      </c>
      <c r="V10" s="768" t="s">
        <v>17</v>
      </c>
      <c r="W10" s="769">
        <f t="shared" si="2"/>
        <v>100</v>
      </c>
      <c r="X10" s="770"/>
      <c r="Y10" s="3360"/>
      <c r="Z10" s="54" t="str">
        <f t="shared" si="7"/>
        <v>土地使用年限（年）</v>
      </c>
      <c r="AA10" s="771">
        <f t="shared" si="3"/>
        <v>1</v>
      </c>
      <c r="AB10" s="771">
        <f t="shared" si="4"/>
        <v>1</v>
      </c>
      <c r="AC10" s="771">
        <f t="shared" si="5"/>
        <v>1</v>
      </c>
    </row>
    <row r="11" spans="1:29" ht="15.75" thickBot="1">
      <c r="A11" s="428"/>
      <c r="B11" s="422" t="s">
        <v>2543</v>
      </c>
      <c r="C11" s="429">
        <f>'数据-汇总表'!I6</f>
        <v>0</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38"/>
      <c r="M11" s="1131"/>
      <c r="N11" s="1131"/>
      <c r="O11" s="1131"/>
      <c r="P11" s="3500"/>
      <c r="Q11" s="1796" t="str">
        <f t="shared" si="6"/>
        <v>容积率</v>
      </c>
      <c r="R11" s="768" t="s">
        <v>21</v>
      </c>
      <c r="S11" s="769">
        <f t="shared" si="0"/>
        <v>98</v>
      </c>
      <c r="T11" s="768" t="s">
        <v>21</v>
      </c>
      <c r="U11" s="769">
        <f t="shared" si="1"/>
        <v>98</v>
      </c>
      <c r="V11" s="768" t="s">
        <v>21</v>
      </c>
      <c r="W11" s="769">
        <f t="shared" si="2"/>
        <v>98</v>
      </c>
      <c r="X11" s="770"/>
      <c r="Y11" s="3360"/>
      <c r="Z11" s="54" t="str">
        <f t="shared" si="7"/>
        <v>容积率</v>
      </c>
      <c r="AA11" s="771">
        <f t="shared" si="3"/>
        <v>1.0204081632653061</v>
      </c>
      <c r="AB11" s="771">
        <f t="shared" si="4"/>
        <v>1.0204081632653061</v>
      </c>
      <c r="AC11" s="771">
        <f t="shared" si="5"/>
        <v>1.0204081632653061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500"/>
      <c r="Q12" s="1796">
        <f t="shared" si="6"/>
        <v>111</v>
      </c>
      <c r="R12" s="768" t="s">
        <v>21</v>
      </c>
      <c r="S12" s="769">
        <f t="shared" si="0"/>
        <v>100</v>
      </c>
      <c r="T12" s="768" t="s">
        <v>21</v>
      </c>
      <c r="U12" s="769">
        <f t="shared" si="1"/>
        <v>100</v>
      </c>
      <c r="V12" s="768" t="s">
        <v>21</v>
      </c>
      <c r="W12" s="769">
        <f t="shared" si="2"/>
        <v>100</v>
      </c>
      <c r="X12" s="770"/>
      <c r="Y12" s="3360"/>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500"/>
      <c r="Q13" s="1796">
        <f t="shared" si="6"/>
        <v>111</v>
      </c>
      <c r="R13" s="768" t="s">
        <v>21</v>
      </c>
      <c r="S13" s="769">
        <f t="shared" si="0"/>
        <v>100</v>
      </c>
      <c r="T13" s="768" t="s">
        <v>21</v>
      </c>
      <c r="U13" s="769">
        <f t="shared" si="1"/>
        <v>100</v>
      </c>
      <c r="V13" s="768" t="s">
        <v>21</v>
      </c>
      <c r="W13" s="769">
        <f t="shared" si="2"/>
        <v>100</v>
      </c>
      <c r="X13" s="770"/>
      <c r="Y13" s="3360"/>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500"/>
      <c r="Q14" s="1796">
        <f t="shared" si="6"/>
        <v>111</v>
      </c>
      <c r="R14" s="768" t="s">
        <v>21</v>
      </c>
      <c r="S14" s="769">
        <f t="shared" si="0"/>
        <v>100</v>
      </c>
      <c r="T14" s="768" t="s">
        <v>21</v>
      </c>
      <c r="U14" s="769">
        <f t="shared" si="1"/>
        <v>100</v>
      </c>
      <c r="V14" s="768" t="s">
        <v>21</v>
      </c>
      <c r="W14" s="769">
        <f t="shared" si="2"/>
        <v>100</v>
      </c>
      <c r="X14" s="770"/>
      <c r="Y14" s="3360"/>
      <c r="Z14" s="54">
        <f t="shared" si="7"/>
        <v>111</v>
      </c>
      <c r="AA14" s="771">
        <f t="shared" si="3"/>
        <v>1</v>
      </c>
      <c r="AB14" s="771">
        <f t="shared" si="4"/>
        <v>1</v>
      </c>
      <c r="AC14" s="771">
        <f t="shared" si="5"/>
        <v>1</v>
      </c>
    </row>
    <row r="15" spans="1:29" ht="15">
      <c r="A15" s="440" t="s">
        <v>2544</v>
      </c>
      <c r="B15" s="68"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527" t="s">
        <v>2545</v>
      </c>
      <c r="Q15" s="1811" t="str">
        <f t="shared" si="6"/>
        <v>居住社区成熟度</v>
      </c>
      <c r="R15" s="772" t="s">
        <v>21</v>
      </c>
      <c r="S15" s="773">
        <f t="shared" si="0"/>
        <v>100</v>
      </c>
      <c r="T15" s="772" t="s">
        <v>21</v>
      </c>
      <c r="U15" s="773">
        <f t="shared" si="1"/>
        <v>100</v>
      </c>
      <c r="V15" s="772" t="s">
        <v>21</v>
      </c>
      <c r="W15" s="773">
        <f t="shared" si="2"/>
        <v>100</v>
      </c>
      <c r="X15" s="1814"/>
      <c r="Y15" s="3520" t="s">
        <v>2545</v>
      </c>
      <c r="Z15" s="1815" t="str">
        <f t="shared" si="7"/>
        <v>居住社区成熟度</v>
      </c>
      <c r="AA15" s="1812">
        <f t="shared" si="3"/>
        <v>1</v>
      </c>
      <c r="AB15" s="1812">
        <f t="shared" si="4"/>
        <v>1</v>
      </c>
      <c r="AC15" s="1812">
        <f t="shared" si="5"/>
        <v>1</v>
      </c>
    </row>
    <row r="16" spans="1:29" ht="15">
      <c r="A16" s="428"/>
      <c r="B16" s="446"/>
      <c r="C16" s="447" t="s">
        <v>3049</v>
      </c>
      <c r="D16" s="448"/>
      <c r="E16" s="447" t="s">
        <v>3049</v>
      </c>
      <c r="F16" s="448"/>
      <c r="G16" s="447" t="s">
        <v>3049</v>
      </c>
      <c r="H16" s="450"/>
      <c r="I16" s="447" t="s">
        <v>3049</v>
      </c>
      <c r="J16" s="448"/>
      <c r="K16" s="2606"/>
      <c r="L16" s="1140"/>
      <c r="M16" s="1131"/>
      <c r="N16" s="1131"/>
      <c r="O16" s="1131"/>
      <c r="P16" s="3528"/>
      <c r="Q16" s="1811"/>
      <c r="R16" s="772"/>
      <c r="S16" s="773"/>
      <c r="T16" s="772"/>
      <c r="U16" s="773"/>
      <c r="V16" s="772"/>
      <c r="W16" s="773"/>
      <c r="X16" s="1814"/>
      <c r="Y16" s="3521"/>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528"/>
      <c r="Q17" s="1811" t="str">
        <f>B17</f>
        <v>交通便捷度</v>
      </c>
      <c r="R17" s="772" t="s">
        <v>21</v>
      </c>
      <c r="S17" s="773">
        <f>F17</f>
        <v>102</v>
      </c>
      <c r="T17" s="772" t="s">
        <v>21</v>
      </c>
      <c r="U17" s="773">
        <f>H17</f>
        <v>100</v>
      </c>
      <c r="V17" s="772" t="s">
        <v>21</v>
      </c>
      <c r="W17" s="773">
        <f>J17</f>
        <v>102</v>
      </c>
      <c r="X17" s="1814"/>
      <c r="Y17" s="3521"/>
      <c r="Z17" s="1815" t="str">
        <f>Q17</f>
        <v>交通便捷度</v>
      </c>
      <c r="AA17" s="1812">
        <f t="shared" si="3"/>
        <v>0.98039215686274506</v>
      </c>
      <c r="AB17" s="1812">
        <f t="shared" si="4"/>
        <v>1</v>
      </c>
      <c r="AC17" s="1812">
        <f t="shared" si="5"/>
        <v>0.98039215686274506</v>
      </c>
    </row>
    <row r="18" spans="1:29" ht="15">
      <c r="A18" s="428"/>
      <c r="B18" s="456"/>
      <c r="C18" s="2608" t="s">
        <v>3050</v>
      </c>
      <c r="D18" s="450"/>
      <c r="E18" s="2608" t="s">
        <v>3049</v>
      </c>
      <c r="F18" s="450"/>
      <c r="G18" s="2608" t="s">
        <v>3050</v>
      </c>
      <c r="H18" s="448"/>
      <c r="I18" s="2608" t="s">
        <v>3049</v>
      </c>
      <c r="J18" s="448"/>
      <c r="K18" s="2606"/>
      <c r="L18" s="1140"/>
      <c r="M18" s="1131"/>
      <c r="N18" s="1131"/>
      <c r="O18" s="1131"/>
      <c r="P18" s="3528"/>
      <c r="Q18" s="1811"/>
      <c r="R18" s="772"/>
      <c r="S18" s="773"/>
      <c r="T18" s="772"/>
      <c r="U18" s="773"/>
      <c r="V18" s="772"/>
      <c r="W18" s="773"/>
      <c r="X18" s="1814"/>
      <c r="Y18" s="3521"/>
      <c r="Z18" s="1815"/>
      <c r="AA18" s="1812">
        <v>1</v>
      </c>
      <c r="AB18" s="1812">
        <v>1</v>
      </c>
      <c r="AC18" s="1812">
        <v>1</v>
      </c>
    </row>
    <row r="19" spans="1:29" ht="56.25" customHeight="1">
      <c r="A19" s="428"/>
      <c r="B19" s="451" t="s">
        <v>2089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528"/>
      <c r="Q19" s="1811" t="str">
        <f>B19</f>
        <v>公共配套设施</v>
      </c>
      <c r="R19" s="772" t="s">
        <v>21</v>
      </c>
      <c r="S19" s="773">
        <f>F19</f>
        <v>104</v>
      </c>
      <c r="T19" s="772" t="s">
        <v>21</v>
      </c>
      <c r="U19" s="773">
        <f>H19</f>
        <v>100</v>
      </c>
      <c r="V19" s="772" t="s">
        <v>21</v>
      </c>
      <c r="W19" s="773">
        <f>J19</f>
        <v>104</v>
      </c>
      <c r="X19" s="1814"/>
      <c r="Y19" s="3521"/>
      <c r="Z19" s="1815" t="str">
        <f>Q19</f>
        <v>公共配套设施</v>
      </c>
      <c r="AA19" s="1812">
        <f t="shared" si="3"/>
        <v>0.96153846153846156</v>
      </c>
      <c r="AB19" s="1812">
        <f t="shared" si="4"/>
        <v>1</v>
      </c>
      <c r="AC19" s="1812">
        <f t="shared" si="5"/>
        <v>0.96153846153846156</v>
      </c>
    </row>
    <row r="20" spans="1:29" ht="15">
      <c r="A20" s="428"/>
      <c r="B20" s="456"/>
      <c r="C20" s="447" t="s">
        <v>3051</v>
      </c>
      <c r="D20" s="448"/>
      <c r="E20" s="447" t="s">
        <v>3049</v>
      </c>
      <c r="F20" s="448"/>
      <c r="G20" s="447" t="s">
        <v>3051</v>
      </c>
      <c r="H20" s="448"/>
      <c r="I20" s="447" t="s">
        <v>3049</v>
      </c>
      <c r="J20" s="448"/>
      <c r="K20" s="2606"/>
      <c r="L20" s="1140"/>
      <c r="M20" s="1131"/>
      <c r="N20" s="1131"/>
      <c r="O20" s="1131"/>
      <c r="P20" s="3528"/>
      <c r="Q20" s="1811"/>
      <c r="R20" s="772"/>
      <c r="S20" s="773"/>
      <c r="T20" s="772"/>
      <c r="U20" s="773"/>
      <c r="V20" s="772"/>
      <c r="W20" s="773"/>
      <c r="X20" s="1814"/>
      <c r="Y20" s="3521"/>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528"/>
      <c r="Q21" s="1811" t="str">
        <f>B21</f>
        <v>基础设施水平</v>
      </c>
      <c r="R21" s="772" t="s">
        <v>17</v>
      </c>
      <c r="S21" s="773">
        <f>F21</f>
        <v>100</v>
      </c>
      <c r="T21" s="772" t="s">
        <v>17</v>
      </c>
      <c r="U21" s="773">
        <f>H21</f>
        <v>100</v>
      </c>
      <c r="V21" s="772" t="s">
        <v>17</v>
      </c>
      <c r="W21" s="773">
        <f>J21</f>
        <v>100</v>
      </c>
      <c r="X21" s="1814"/>
      <c r="Y21" s="3521"/>
      <c r="Z21" s="1815" t="str">
        <f>Q21</f>
        <v>基础设施水平</v>
      </c>
      <c r="AA21" s="1812">
        <f t="shared" ref="AA21" si="8">D21/F21</f>
        <v>1</v>
      </c>
      <c r="AB21" s="1812">
        <f t="shared" ref="AB21" si="9">D21/H21</f>
        <v>1</v>
      </c>
      <c r="AC21" s="1812">
        <f t="shared" ref="AC21" si="10">D21/J21</f>
        <v>1</v>
      </c>
    </row>
    <row r="22" spans="1:29" ht="15">
      <c r="A22" s="428"/>
      <c r="B22" s="1384"/>
      <c r="C22" s="2608" t="s">
        <v>3052</v>
      </c>
      <c r="D22" s="448"/>
      <c r="E22" s="2608" t="s">
        <v>3052</v>
      </c>
      <c r="F22" s="448"/>
      <c r="G22" s="2608" t="s">
        <v>3052</v>
      </c>
      <c r="H22" s="448"/>
      <c r="I22" s="2608" t="s">
        <v>3052</v>
      </c>
      <c r="J22" s="448"/>
      <c r="K22" s="2612"/>
      <c r="L22" s="1140"/>
      <c r="M22" s="1131"/>
      <c r="N22" s="1131"/>
      <c r="O22" s="1131"/>
      <c r="P22" s="3528"/>
      <c r="Q22" s="1811"/>
      <c r="R22" s="772"/>
      <c r="S22" s="773"/>
      <c r="T22" s="772"/>
      <c r="U22" s="773"/>
      <c r="V22" s="772"/>
      <c r="W22" s="773"/>
      <c r="X22" s="1814"/>
      <c r="Y22" s="3521"/>
      <c r="Z22" s="1815"/>
      <c r="AA22" s="1812">
        <v>1</v>
      </c>
      <c r="AB22" s="1812">
        <v>1</v>
      </c>
      <c r="AC22" s="1812">
        <v>1</v>
      </c>
    </row>
    <row r="23" spans="1:29" ht="114">
      <c r="A23" s="428"/>
      <c r="B23" s="451" t="s">
        <v>2093</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528"/>
      <c r="Q23" s="1811" t="str">
        <f>B23</f>
        <v>自然及人文环境</v>
      </c>
      <c r="R23" s="772" t="s">
        <v>21</v>
      </c>
      <c r="S23" s="773">
        <f>F23</f>
        <v>102</v>
      </c>
      <c r="T23" s="772" t="s">
        <v>21</v>
      </c>
      <c r="U23" s="773">
        <f>H23</f>
        <v>100</v>
      </c>
      <c r="V23" s="772" t="s">
        <v>21</v>
      </c>
      <c r="W23" s="773">
        <f>J23</f>
        <v>102</v>
      </c>
      <c r="X23" s="1814"/>
      <c r="Y23" s="3521"/>
      <c r="Z23" s="1815" t="str">
        <f>Q23</f>
        <v>自然及人文环境</v>
      </c>
      <c r="AA23" s="1812">
        <f>D23/F23</f>
        <v>0.98039215686274506</v>
      </c>
      <c r="AB23" s="1812">
        <f>D23/H23</f>
        <v>1</v>
      </c>
      <c r="AC23" s="1812">
        <f>D23/J23</f>
        <v>0.98039215686274506</v>
      </c>
    </row>
    <row r="24" spans="1:29" ht="15">
      <c r="A24" s="428"/>
      <c r="B24" s="456"/>
      <c r="C24" s="447" t="s">
        <v>3050</v>
      </c>
      <c r="D24" s="448"/>
      <c r="E24" s="447" t="s">
        <v>3049</v>
      </c>
      <c r="F24" s="448"/>
      <c r="G24" s="447" t="s">
        <v>3050</v>
      </c>
      <c r="H24" s="448"/>
      <c r="I24" s="447" t="s">
        <v>3049</v>
      </c>
      <c r="J24" s="448"/>
      <c r="K24" s="2606"/>
      <c r="L24" s="1140"/>
      <c r="M24" s="1131"/>
      <c r="N24" s="1131"/>
      <c r="O24" s="1131"/>
      <c r="P24" s="3528"/>
      <c r="Q24" s="1811"/>
      <c r="R24" s="772"/>
      <c r="S24" s="773"/>
      <c r="T24" s="772"/>
      <c r="U24" s="773"/>
      <c r="V24" s="772"/>
      <c r="W24" s="773"/>
      <c r="X24" s="1814"/>
      <c r="Y24" s="3521"/>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528"/>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521"/>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528"/>
      <c r="Q26" s="1811" t="str">
        <f t="shared" si="11"/>
        <v>朝向</v>
      </c>
      <c r="R26" s="772" t="s">
        <v>21</v>
      </c>
      <c r="S26" s="773">
        <f t="shared" si="12"/>
        <v>100</v>
      </c>
      <c r="T26" s="772" t="s">
        <v>21</v>
      </c>
      <c r="U26" s="773">
        <f t="shared" si="13"/>
        <v>100</v>
      </c>
      <c r="V26" s="772" t="s">
        <v>21</v>
      </c>
      <c r="W26" s="773">
        <f t="shared" si="14"/>
        <v>100</v>
      </c>
      <c r="X26" s="1814"/>
      <c r="Y26" s="3521"/>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528"/>
      <c r="Q27" s="1796">
        <f t="shared" si="11"/>
        <v>111</v>
      </c>
      <c r="R27" s="768" t="s">
        <v>21</v>
      </c>
      <c r="S27" s="769">
        <f t="shared" si="12"/>
        <v>100</v>
      </c>
      <c r="T27" s="768" t="s">
        <v>21</v>
      </c>
      <c r="U27" s="769">
        <f t="shared" si="13"/>
        <v>100</v>
      </c>
      <c r="V27" s="768" t="s">
        <v>21</v>
      </c>
      <c r="W27" s="769">
        <f t="shared" si="14"/>
        <v>100</v>
      </c>
      <c r="X27" s="770"/>
      <c r="Y27" s="3521"/>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528"/>
      <c r="Q28" s="1811">
        <f t="shared" si="11"/>
        <v>111</v>
      </c>
      <c r="R28" s="772" t="s">
        <v>21</v>
      </c>
      <c r="S28" s="773">
        <f t="shared" si="12"/>
        <v>100</v>
      </c>
      <c r="T28" s="772" t="s">
        <v>21</v>
      </c>
      <c r="U28" s="773">
        <f t="shared" si="13"/>
        <v>100</v>
      </c>
      <c r="V28" s="772" t="s">
        <v>21</v>
      </c>
      <c r="W28" s="773">
        <f t="shared" si="14"/>
        <v>100</v>
      </c>
      <c r="X28" s="1814"/>
      <c r="Y28" s="3521"/>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528"/>
      <c r="Q29" s="1811">
        <f t="shared" si="11"/>
        <v>111</v>
      </c>
      <c r="R29" s="772" t="s">
        <v>21</v>
      </c>
      <c r="S29" s="773">
        <f t="shared" si="12"/>
        <v>100</v>
      </c>
      <c r="T29" s="772" t="s">
        <v>21</v>
      </c>
      <c r="U29" s="773">
        <f t="shared" si="13"/>
        <v>100</v>
      </c>
      <c r="V29" s="772" t="s">
        <v>21</v>
      </c>
      <c r="W29" s="773">
        <f t="shared" si="14"/>
        <v>100</v>
      </c>
      <c r="X29" s="1814"/>
      <c r="Y29" s="3521"/>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528"/>
      <c r="Q30" s="1811">
        <f t="shared" si="11"/>
        <v>111</v>
      </c>
      <c r="R30" s="772" t="s">
        <v>21</v>
      </c>
      <c r="S30" s="773">
        <f t="shared" si="12"/>
        <v>100</v>
      </c>
      <c r="T30" s="772" t="s">
        <v>21</v>
      </c>
      <c r="U30" s="773">
        <f t="shared" si="13"/>
        <v>100</v>
      </c>
      <c r="V30" s="772" t="s">
        <v>21</v>
      </c>
      <c r="W30" s="773">
        <f t="shared" si="14"/>
        <v>100</v>
      </c>
      <c r="X30" s="1814"/>
      <c r="Y30" s="3521"/>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528"/>
      <c r="Q31" s="1811">
        <f t="shared" si="11"/>
        <v>111</v>
      </c>
      <c r="R31" s="772" t="s">
        <v>21</v>
      </c>
      <c r="S31" s="773">
        <f t="shared" si="12"/>
        <v>100</v>
      </c>
      <c r="T31" s="772" t="s">
        <v>21</v>
      </c>
      <c r="U31" s="773">
        <f t="shared" si="13"/>
        <v>100</v>
      </c>
      <c r="V31" s="772" t="s">
        <v>21</v>
      </c>
      <c r="W31" s="773">
        <f t="shared" si="14"/>
        <v>100</v>
      </c>
      <c r="X31" s="1814"/>
      <c r="Y31" s="3521"/>
      <c r="Z31" s="1815">
        <f t="shared" si="18"/>
        <v>111</v>
      </c>
      <c r="AA31" s="1812">
        <f t="shared" si="15"/>
        <v>1</v>
      </c>
      <c r="AB31" s="1812">
        <f t="shared" si="16"/>
        <v>1</v>
      </c>
      <c r="AC31" s="1812">
        <f t="shared" si="17"/>
        <v>1</v>
      </c>
    </row>
    <row r="32" spans="1:29" ht="15">
      <c r="A32" s="440" t="s">
        <v>2548</v>
      </c>
      <c r="B32" s="70" t="s">
        <v>2549</v>
      </c>
      <c r="C32" s="2617" t="s">
        <v>3053</v>
      </c>
      <c r="D32" s="467">
        <v>100</v>
      </c>
      <c r="E32" s="2617" t="s">
        <v>3053</v>
      </c>
      <c r="F32" s="461">
        <f>SUMIF(100:100,E32,101:101)-SUMIF(100:100,C32,101:101)+100</f>
        <v>100</v>
      </c>
      <c r="G32" s="2617" t="s">
        <v>3053</v>
      </c>
      <c r="H32" s="467">
        <f>SUMIF(100:100,G32,101:101)-SUMIF(100:100,C32,101:101)+100</f>
        <v>100</v>
      </c>
      <c r="I32" s="2617" t="s">
        <v>3053</v>
      </c>
      <c r="J32" s="435">
        <f>SUMIF(100:100,I32,101:101)-SUMIF(100:100,C32,101:101)+100</f>
        <v>100</v>
      </c>
      <c r="K32" s="426">
        <v>2</v>
      </c>
      <c r="L32" s="1140"/>
      <c r="M32" s="1131"/>
      <c r="N32" s="1131"/>
      <c r="O32" s="1131"/>
      <c r="P32" s="3522" t="s">
        <v>2550</v>
      </c>
      <c r="Q32" s="1811" t="str">
        <f t="shared" si="11"/>
        <v>建筑类型</v>
      </c>
      <c r="R32" s="772" t="s">
        <v>21</v>
      </c>
      <c r="S32" s="773">
        <f t="shared" si="12"/>
        <v>100</v>
      </c>
      <c r="T32" s="772" t="s">
        <v>21</v>
      </c>
      <c r="U32" s="773">
        <f t="shared" si="13"/>
        <v>100</v>
      </c>
      <c r="V32" s="772" t="s">
        <v>21</v>
      </c>
      <c r="W32" s="773">
        <f t="shared" si="14"/>
        <v>100</v>
      </c>
      <c r="X32" s="1814"/>
      <c r="Y32" s="3525"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523"/>
      <c r="Q33" s="774" t="str">
        <f t="shared" si="11"/>
        <v>项目建筑规模</v>
      </c>
      <c r="R33" s="775" t="s">
        <v>21</v>
      </c>
      <c r="S33" s="776">
        <f t="shared" si="12"/>
        <v>100</v>
      </c>
      <c r="T33" s="775" t="s">
        <v>21</v>
      </c>
      <c r="U33" s="776">
        <f t="shared" si="13"/>
        <v>100</v>
      </c>
      <c r="V33" s="775" t="s">
        <v>21</v>
      </c>
      <c r="W33" s="776">
        <f t="shared" si="14"/>
        <v>100</v>
      </c>
      <c r="X33" s="777"/>
      <c r="Y33" s="3525"/>
      <c r="Z33" s="778" t="str">
        <f t="shared" si="18"/>
        <v>项目建筑规模</v>
      </c>
      <c r="AA33" s="1812">
        <f t="shared" si="15"/>
        <v>1</v>
      </c>
      <c r="AB33" s="1812">
        <f t="shared" si="16"/>
        <v>1</v>
      </c>
      <c r="AC33" s="1812">
        <f t="shared" si="17"/>
        <v>1</v>
      </c>
    </row>
    <row r="34" spans="1:29" ht="15">
      <c r="A34" s="472"/>
      <c r="B34" s="422" t="s">
        <v>2552</v>
      </c>
      <c r="C34" s="2618" t="s">
        <v>3055</v>
      </c>
      <c r="D34" s="435">
        <v>100</v>
      </c>
      <c r="E34" s="2618" t="s">
        <v>3055</v>
      </c>
      <c r="F34" s="461">
        <f>SUMIF(105:105,E34,106:106)-SUMIF(105:105,C34,106:106)+100</f>
        <v>100</v>
      </c>
      <c r="G34" s="2618" t="s">
        <v>3055</v>
      </c>
      <c r="H34" s="435">
        <f>SUMIF(105:105,G34,106:106)-SUMIF(105:105,C34,106:106)+100</f>
        <v>100</v>
      </c>
      <c r="I34" s="2618" t="s">
        <v>3055</v>
      </c>
      <c r="J34" s="435">
        <f>SUMIF(105:105,I34,106:106)-SUMIF(105:105,C34,106:106)+100</f>
        <v>100</v>
      </c>
      <c r="K34" s="426">
        <v>2</v>
      </c>
      <c r="L34" s="1140"/>
      <c r="M34" s="1131"/>
      <c r="N34" s="1131"/>
      <c r="O34" s="1131"/>
      <c r="P34" s="3523"/>
      <c r="Q34" s="1811" t="str">
        <f t="shared" si="11"/>
        <v>建筑结构</v>
      </c>
      <c r="R34" s="772" t="s">
        <v>21</v>
      </c>
      <c r="S34" s="773">
        <f t="shared" si="12"/>
        <v>100</v>
      </c>
      <c r="T34" s="772" t="s">
        <v>21</v>
      </c>
      <c r="U34" s="773">
        <f t="shared" si="13"/>
        <v>100</v>
      </c>
      <c r="V34" s="772" t="s">
        <v>21</v>
      </c>
      <c r="W34" s="773">
        <f t="shared" si="14"/>
        <v>100</v>
      </c>
      <c r="X34" s="1814"/>
      <c r="Y34" s="3525"/>
      <c r="Z34" s="1815" t="str">
        <f t="shared" si="18"/>
        <v>建筑结构</v>
      </c>
      <c r="AA34" s="1812">
        <f t="shared" si="15"/>
        <v>1</v>
      </c>
      <c r="AB34" s="1812">
        <f t="shared" si="16"/>
        <v>1</v>
      </c>
      <c r="AC34" s="1812">
        <f t="shared" si="17"/>
        <v>1</v>
      </c>
    </row>
    <row r="35" spans="1:29" ht="15">
      <c r="A35" s="472"/>
      <c r="B35" s="422" t="s">
        <v>2553</v>
      </c>
      <c r="C35" s="2613" t="s">
        <v>3057</v>
      </c>
      <c r="D35" s="435">
        <v>100</v>
      </c>
      <c r="E35" s="2613" t="s">
        <v>3057</v>
      </c>
      <c r="F35" s="461">
        <f>SUMIF(107:107,E35,108:108)-SUMIF(107:107,C35,108:108)+100</f>
        <v>100</v>
      </c>
      <c r="G35" s="2613" t="s">
        <v>3057</v>
      </c>
      <c r="H35" s="435">
        <f>SUMIF(107:107,G35,108:108)-SUMIF(107:107,C35,108:108)+100</f>
        <v>100</v>
      </c>
      <c r="I35" s="2613" t="s">
        <v>3057</v>
      </c>
      <c r="J35" s="435">
        <f>SUMIF(107:107,I35,108:108)-SUMIF(107:107,C35,108:108)+100</f>
        <v>100</v>
      </c>
      <c r="K35" s="426">
        <v>2</v>
      </c>
      <c r="L35" s="1140"/>
      <c r="M35" s="1131"/>
      <c r="N35" s="1131"/>
      <c r="O35" s="1131"/>
      <c r="P35" s="3523"/>
      <c r="Q35" s="1811" t="str">
        <f t="shared" si="11"/>
        <v>建筑品质</v>
      </c>
      <c r="R35" s="772" t="s">
        <v>21</v>
      </c>
      <c r="S35" s="773">
        <f t="shared" si="12"/>
        <v>100</v>
      </c>
      <c r="T35" s="772" t="s">
        <v>21</v>
      </c>
      <c r="U35" s="773">
        <f t="shared" si="13"/>
        <v>100</v>
      </c>
      <c r="V35" s="772" t="s">
        <v>21</v>
      </c>
      <c r="W35" s="773">
        <f t="shared" si="14"/>
        <v>100</v>
      </c>
      <c r="X35" s="1814"/>
      <c r="Y35" s="3525"/>
      <c r="Z35" s="1815" t="str">
        <f t="shared" si="18"/>
        <v>建筑品质</v>
      </c>
      <c r="AA35" s="1812">
        <f t="shared" si="15"/>
        <v>1</v>
      </c>
      <c r="AB35" s="1812">
        <f t="shared" si="16"/>
        <v>1</v>
      </c>
      <c r="AC35" s="1812">
        <f t="shared" si="17"/>
        <v>1</v>
      </c>
    </row>
    <row r="36" spans="1:29" ht="15">
      <c r="A36" s="472"/>
      <c r="B36" s="422" t="s">
        <v>2554</v>
      </c>
      <c r="C36" s="2613" t="s">
        <v>3063</v>
      </c>
      <c r="D36" s="435">
        <v>100</v>
      </c>
      <c r="E36" s="2613" t="s">
        <v>3063</v>
      </c>
      <c r="F36" s="461">
        <f>SUMIF(109:109,E36,110:110)-SUMIF(109:109,C36,110:110)+100</f>
        <v>100</v>
      </c>
      <c r="G36" s="2613" t="s">
        <v>3063</v>
      </c>
      <c r="H36" s="435">
        <f>SUMIF(109:109,G36,110:110)-SUMIF(109:109,C36,110:110)+100</f>
        <v>100</v>
      </c>
      <c r="I36" s="2613" t="s">
        <v>3063</v>
      </c>
      <c r="J36" s="435">
        <f>SUMIF(109:109,I36,110:110)-SUMIF(109:109,C36,110:110)+100</f>
        <v>100</v>
      </c>
      <c r="K36" s="426">
        <v>2</v>
      </c>
      <c r="L36" s="1140"/>
      <c r="M36" s="1131"/>
      <c r="N36" s="1131"/>
      <c r="O36" s="1131"/>
      <c r="P36" s="3523"/>
      <c r="Q36" s="1811" t="str">
        <f t="shared" si="11"/>
        <v>公共部分装修</v>
      </c>
      <c r="R36" s="772" t="s">
        <v>21</v>
      </c>
      <c r="S36" s="773">
        <f t="shared" si="12"/>
        <v>100</v>
      </c>
      <c r="T36" s="772" t="s">
        <v>21</v>
      </c>
      <c r="U36" s="773">
        <f t="shared" si="13"/>
        <v>100</v>
      </c>
      <c r="V36" s="772" t="s">
        <v>21</v>
      </c>
      <c r="W36" s="773">
        <f t="shared" si="14"/>
        <v>100</v>
      </c>
      <c r="X36" s="1814"/>
      <c r="Y36" s="3525"/>
      <c r="Z36" s="1815" t="str">
        <f t="shared" si="18"/>
        <v>公共部分装修</v>
      </c>
      <c r="AA36" s="1812">
        <f t="shared" si="15"/>
        <v>1</v>
      </c>
      <c r="AB36" s="1812">
        <f t="shared" si="16"/>
        <v>1</v>
      </c>
      <c r="AC36" s="1812">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523"/>
      <c r="Q37" s="1796" t="str">
        <f t="shared" si="11"/>
        <v>成新度</v>
      </c>
      <c r="R37" s="768" t="s">
        <v>21</v>
      </c>
      <c r="S37" s="769">
        <f t="shared" si="12"/>
        <v>100</v>
      </c>
      <c r="T37" s="768" t="s">
        <v>21</v>
      </c>
      <c r="U37" s="769">
        <f t="shared" si="13"/>
        <v>100</v>
      </c>
      <c r="V37" s="768" t="s">
        <v>21</v>
      </c>
      <c r="W37" s="769">
        <f t="shared" si="14"/>
        <v>100</v>
      </c>
      <c r="X37" s="770"/>
      <c r="Y37" s="3525"/>
      <c r="Z37" s="54" t="str">
        <f t="shared" si="18"/>
        <v>成新度</v>
      </c>
      <c r="AA37" s="771">
        <f t="shared" si="15"/>
        <v>1</v>
      </c>
      <c r="AB37" s="771">
        <f t="shared" si="16"/>
        <v>1</v>
      </c>
      <c r="AC37" s="771">
        <f t="shared" si="17"/>
        <v>1</v>
      </c>
    </row>
    <row r="38" spans="1:29" ht="15">
      <c r="A38" s="472"/>
      <c r="B38" s="422" t="s">
        <v>2556</v>
      </c>
      <c r="C38" s="2613" t="s">
        <v>3065</v>
      </c>
      <c r="D38" s="435">
        <v>100</v>
      </c>
      <c r="E38" s="2613" t="s">
        <v>3065</v>
      </c>
      <c r="F38" s="461">
        <f>SUMIF(114:114,E38,115:115)-SUMIF(114:114,C38,115:115)+100</f>
        <v>100</v>
      </c>
      <c r="G38" s="2613" t="s">
        <v>3065</v>
      </c>
      <c r="H38" s="435">
        <f>SUMIF(114:114,G38,115:115)-SUMIF(114:114,C38,115:115)+100</f>
        <v>100</v>
      </c>
      <c r="I38" s="2613" t="s">
        <v>3065</v>
      </c>
      <c r="J38" s="435">
        <f>SUMIF(114:114,I38,115:115)-SUMIF(114:114,C38,115:115)+100</f>
        <v>100</v>
      </c>
      <c r="K38" s="426">
        <v>2</v>
      </c>
      <c r="L38" s="1140"/>
      <c r="M38" s="1131"/>
      <c r="N38" s="1131"/>
      <c r="O38" s="1131"/>
      <c r="P38" s="3523" t="s">
        <v>2550</v>
      </c>
      <c r="Q38" s="1811" t="str">
        <f t="shared" si="11"/>
        <v>物业管理</v>
      </c>
      <c r="R38" s="772" t="s">
        <v>21</v>
      </c>
      <c r="S38" s="773">
        <f t="shared" si="12"/>
        <v>100</v>
      </c>
      <c r="T38" s="772" t="s">
        <v>21</v>
      </c>
      <c r="U38" s="773">
        <f t="shared" si="13"/>
        <v>100</v>
      </c>
      <c r="V38" s="772" t="s">
        <v>21</v>
      </c>
      <c r="W38" s="773">
        <f t="shared" si="14"/>
        <v>100</v>
      </c>
      <c r="X38" s="1814"/>
      <c r="Y38" s="3525" t="s">
        <v>2550</v>
      </c>
      <c r="Z38" s="1815" t="str">
        <f t="shared" si="18"/>
        <v>物业管理</v>
      </c>
      <c r="AA38" s="1812">
        <f t="shared" si="15"/>
        <v>1</v>
      </c>
      <c r="AB38" s="1812">
        <f t="shared" si="16"/>
        <v>1</v>
      </c>
      <c r="AC38" s="1812">
        <f t="shared" si="17"/>
        <v>1</v>
      </c>
    </row>
    <row r="39" spans="1:29" ht="15">
      <c r="A39" s="472"/>
      <c r="B39" s="422" t="s">
        <v>2557</v>
      </c>
      <c r="C39" s="2613" t="s">
        <v>3052</v>
      </c>
      <c r="D39" s="435">
        <v>100</v>
      </c>
      <c r="E39" s="2613" t="s">
        <v>3052</v>
      </c>
      <c r="F39" s="461">
        <f>SUMIF(116:116,E39,117:117)-SUMIF(116:116,C39,117:117)+100</f>
        <v>100</v>
      </c>
      <c r="G39" s="2613" t="s">
        <v>3052</v>
      </c>
      <c r="H39" s="435">
        <f>SUMIF(116:116,G39,117:117)-SUMIF(116:116,C39,117:117)+100</f>
        <v>100</v>
      </c>
      <c r="I39" s="2613" t="s">
        <v>3052</v>
      </c>
      <c r="J39" s="435">
        <f>SUMIF(116:116,I39,117:117)-SUMIF(116:116,C39,117:117)+100</f>
        <v>100</v>
      </c>
      <c r="K39" s="426">
        <v>1</v>
      </c>
      <c r="L39" s="1140"/>
      <c r="M39" s="1131"/>
      <c r="N39" s="1131"/>
      <c r="O39" s="1131"/>
      <c r="P39" s="3523"/>
      <c r="Q39" s="1811" t="str">
        <f t="shared" si="11"/>
        <v>市政基础设施</v>
      </c>
      <c r="R39" s="772" t="s">
        <v>21</v>
      </c>
      <c r="S39" s="773">
        <f t="shared" si="12"/>
        <v>100</v>
      </c>
      <c r="T39" s="772" t="s">
        <v>21</v>
      </c>
      <c r="U39" s="773">
        <f t="shared" si="13"/>
        <v>100</v>
      </c>
      <c r="V39" s="772" t="s">
        <v>21</v>
      </c>
      <c r="W39" s="773">
        <f t="shared" si="14"/>
        <v>100</v>
      </c>
      <c r="X39" s="1814"/>
      <c r="Y39" s="3525"/>
      <c r="Z39" s="1815" t="str">
        <f t="shared" si="18"/>
        <v>市政基础设施</v>
      </c>
      <c r="AA39" s="1812">
        <f t="shared" si="15"/>
        <v>1</v>
      </c>
      <c r="AB39" s="1812">
        <f t="shared" si="16"/>
        <v>1</v>
      </c>
      <c r="AC39" s="1812">
        <f t="shared" si="17"/>
        <v>1</v>
      </c>
    </row>
    <row r="40" spans="1:29" ht="15" hidden="1">
      <c r="A40" s="472"/>
      <c r="B40" s="422" t="s">
        <v>2558</v>
      </c>
      <c r="C40" s="2613" t="s">
        <v>3070</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523"/>
      <c r="Q40" s="1811" t="str">
        <f t="shared" si="11"/>
        <v>房型</v>
      </c>
      <c r="R40" s="772" t="s">
        <v>21</v>
      </c>
      <c r="S40" s="773">
        <f t="shared" si="12"/>
        <v>100</v>
      </c>
      <c r="T40" s="772" t="s">
        <v>21</v>
      </c>
      <c r="U40" s="773">
        <f t="shared" si="13"/>
        <v>100</v>
      </c>
      <c r="V40" s="772" t="s">
        <v>21</v>
      </c>
      <c r="W40" s="773">
        <f t="shared" si="14"/>
        <v>100</v>
      </c>
      <c r="X40" s="1814"/>
      <c r="Y40" s="3525"/>
      <c r="Z40" s="1815" t="str">
        <f t="shared" si="18"/>
        <v>房型</v>
      </c>
      <c r="AA40" s="1812">
        <f t="shared" si="15"/>
        <v>1</v>
      </c>
      <c r="AB40" s="1812">
        <f t="shared" si="16"/>
        <v>1</v>
      </c>
      <c r="AC40" s="1812">
        <f t="shared" si="17"/>
        <v>1</v>
      </c>
    </row>
    <row r="41" spans="1:29" s="471" customFormat="1" ht="28.5">
      <c r="A41" s="468"/>
      <c r="B41" s="422" t="s">
        <v>2559</v>
      </c>
      <c r="C41" s="469" t="s">
        <v>3072</v>
      </c>
      <c r="D41" s="135">
        <v>100</v>
      </c>
      <c r="E41" s="469" t="s">
        <v>3072</v>
      </c>
      <c r="F41" s="425">
        <f>SUMIF(120:120,E41,121:121)-SUMIF(120:120,C41,121:121)+100</f>
        <v>100</v>
      </c>
      <c r="G41" s="469" t="s">
        <v>3072</v>
      </c>
      <c r="H41" s="135">
        <f>SUMIF(120:120,G41,121:121)-SUMIF(120:120,C41,121:121)+100</f>
        <v>100</v>
      </c>
      <c r="I41" s="469" t="s">
        <v>3072</v>
      </c>
      <c r="J41" s="435">
        <f>SUMIF(120:120,I41,121:121)-SUMIF(120:120,C41,121:121)+100</f>
        <v>100</v>
      </c>
      <c r="K41" s="2601"/>
      <c r="L41" s="1138"/>
      <c r="M41" s="1141"/>
      <c r="N41" s="1141"/>
      <c r="O41" s="1141"/>
      <c r="P41" s="3523"/>
      <c r="Q41" s="774" t="str">
        <f t="shared" si="11"/>
        <v>单套/主力户型建筑面积</v>
      </c>
      <c r="R41" s="775" t="s">
        <v>21</v>
      </c>
      <c r="S41" s="776">
        <f t="shared" si="12"/>
        <v>100</v>
      </c>
      <c r="T41" s="775" t="s">
        <v>21</v>
      </c>
      <c r="U41" s="776">
        <f t="shared" si="13"/>
        <v>100</v>
      </c>
      <c r="V41" s="775" t="s">
        <v>21</v>
      </c>
      <c r="W41" s="776">
        <f t="shared" si="14"/>
        <v>100</v>
      </c>
      <c r="X41" s="777"/>
      <c r="Y41" s="3525"/>
      <c r="Z41" s="778" t="str">
        <f t="shared" si="18"/>
        <v>单套/主力户型建筑面积</v>
      </c>
      <c r="AA41" s="1812">
        <f t="shared" si="15"/>
        <v>1</v>
      </c>
      <c r="AB41" s="1812">
        <f t="shared" si="16"/>
        <v>1</v>
      </c>
      <c r="AC41" s="1812">
        <f t="shared" si="17"/>
        <v>1</v>
      </c>
    </row>
    <row r="42" spans="1:29" ht="15">
      <c r="A42" s="472"/>
      <c r="B42" s="422" t="s">
        <v>2560</v>
      </c>
      <c r="C42" s="2613" t="s">
        <v>3063</v>
      </c>
      <c r="D42" s="435">
        <v>100</v>
      </c>
      <c r="E42" s="2613" t="s">
        <v>3063</v>
      </c>
      <c r="F42" s="461">
        <f>SUMIF(122:122,E42,123:123)-SUMIF(122:122,C42,123:123)+100</f>
        <v>100</v>
      </c>
      <c r="G42" s="2613" t="s">
        <v>3063</v>
      </c>
      <c r="H42" s="435">
        <f>SUMIF(122:122,G42,123:123)-SUMIF(122:122,C42,123:123)+100</f>
        <v>100</v>
      </c>
      <c r="I42" s="2613" t="s">
        <v>3063</v>
      </c>
      <c r="J42" s="435">
        <f>SUMIF(122:122,I42,123:123)-SUMIF(122:122,C42,123:123)+100</f>
        <v>100</v>
      </c>
      <c r="K42" s="426">
        <v>2</v>
      </c>
      <c r="L42" s="1140"/>
      <c r="M42" s="1131"/>
      <c r="N42" s="1131"/>
      <c r="O42" s="1131"/>
      <c r="P42" s="3523"/>
      <c r="Q42" s="1811" t="str">
        <f t="shared" si="11"/>
        <v>内部装修</v>
      </c>
      <c r="R42" s="772" t="s">
        <v>21</v>
      </c>
      <c r="S42" s="773">
        <f t="shared" si="12"/>
        <v>100</v>
      </c>
      <c r="T42" s="772" t="s">
        <v>21</v>
      </c>
      <c r="U42" s="773">
        <f t="shared" si="13"/>
        <v>100</v>
      </c>
      <c r="V42" s="772" t="s">
        <v>21</v>
      </c>
      <c r="W42" s="773">
        <f t="shared" si="14"/>
        <v>100</v>
      </c>
      <c r="X42" s="1814"/>
      <c r="Y42" s="3525"/>
      <c r="Z42" s="1815" t="str">
        <f t="shared" si="18"/>
        <v>内部装修</v>
      </c>
      <c r="AA42" s="1812">
        <f t="shared" si="15"/>
        <v>1</v>
      </c>
      <c r="AB42" s="1812">
        <f t="shared" si="16"/>
        <v>1</v>
      </c>
      <c r="AC42" s="1812">
        <f t="shared" si="17"/>
        <v>1</v>
      </c>
    </row>
    <row r="43" spans="1:29" ht="15.75" thickBot="1">
      <c r="A43" s="472"/>
      <c r="B43" s="422" t="s">
        <v>2561</v>
      </c>
      <c r="C43" s="2613" t="s">
        <v>3050</v>
      </c>
      <c r="D43" s="435">
        <v>100</v>
      </c>
      <c r="E43" s="2613" t="s">
        <v>3050</v>
      </c>
      <c r="F43" s="461">
        <f>SUMIF(124:124,E43,125:125)-SUMIF(124:124,C43,125:125)+100</f>
        <v>100</v>
      </c>
      <c r="G43" s="2613" t="s">
        <v>3050</v>
      </c>
      <c r="H43" s="435">
        <f>SUMIF(124:124,G43,125:125)-SUMIF(124:124,C43,125:125)+100</f>
        <v>100</v>
      </c>
      <c r="I43" s="2613" t="s">
        <v>3050</v>
      </c>
      <c r="J43" s="435">
        <f>SUMIF(124:124,I43,125:125)-SUMIF(124:124,C43,125:125)+100</f>
        <v>100</v>
      </c>
      <c r="K43" s="426">
        <v>2</v>
      </c>
      <c r="L43" s="1140"/>
      <c r="M43" s="1131"/>
      <c r="N43" s="1131"/>
      <c r="O43" s="1131"/>
      <c r="P43" s="3523"/>
      <c r="Q43" s="1811" t="str">
        <f t="shared" si="11"/>
        <v>内部装修维护情况</v>
      </c>
      <c r="R43" s="772" t="s">
        <v>21</v>
      </c>
      <c r="S43" s="773">
        <f t="shared" si="12"/>
        <v>100</v>
      </c>
      <c r="T43" s="772" t="s">
        <v>21</v>
      </c>
      <c r="U43" s="773">
        <f t="shared" si="13"/>
        <v>100</v>
      </c>
      <c r="V43" s="772" t="s">
        <v>21</v>
      </c>
      <c r="W43" s="773">
        <f t="shared" si="14"/>
        <v>100</v>
      </c>
      <c r="X43" s="1814"/>
      <c r="Y43" s="3525"/>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523"/>
      <c r="Q44" s="1796">
        <f t="shared" si="11"/>
        <v>111</v>
      </c>
      <c r="R44" s="768" t="s">
        <v>21</v>
      </c>
      <c r="S44" s="769">
        <f t="shared" si="12"/>
        <v>100</v>
      </c>
      <c r="T44" s="768" t="s">
        <v>21</v>
      </c>
      <c r="U44" s="769">
        <f t="shared" si="13"/>
        <v>100</v>
      </c>
      <c r="V44" s="768" t="s">
        <v>21</v>
      </c>
      <c r="W44" s="769">
        <f t="shared" si="14"/>
        <v>100</v>
      </c>
      <c r="X44" s="770"/>
      <c r="Y44" s="3525"/>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523"/>
      <c r="Q45" s="1811">
        <f t="shared" si="11"/>
        <v>111</v>
      </c>
      <c r="R45" s="772" t="s">
        <v>21</v>
      </c>
      <c r="S45" s="773">
        <f t="shared" si="12"/>
        <v>100</v>
      </c>
      <c r="T45" s="772" t="s">
        <v>21</v>
      </c>
      <c r="U45" s="773">
        <f t="shared" si="13"/>
        <v>100</v>
      </c>
      <c r="V45" s="772" t="s">
        <v>21</v>
      </c>
      <c r="W45" s="773">
        <f t="shared" si="14"/>
        <v>100</v>
      </c>
      <c r="X45" s="1814"/>
      <c r="Y45" s="3525"/>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524"/>
      <c r="Q46" s="1811">
        <f t="shared" si="11"/>
        <v>111</v>
      </c>
      <c r="R46" s="772" t="s">
        <v>20</v>
      </c>
      <c r="S46" s="773">
        <f t="shared" si="12"/>
        <v>100</v>
      </c>
      <c r="T46" s="772" t="s">
        <v>20</v>
      </c>
      <c r="U46" s="773">
        <f t="shared" si="13"/>
        <v>100</v>
      </c>
      <c r="V46" s="772" t="s">
        <v>20</v>
      </c>
      <c r="W46" s="773">
        <f t="shared" si="14"/>
        <v>100</v>
      </c>
      <c r="X46" s="1814"/>
      <c r="Y46" s="3526"/>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518" t="str">
        <f>A47</f>
        <v>成交单价（元/平方米）</v>
      </c>
      <c r="Q47" s="3518"/>
      <c r="R47" s="3519">
        <f>E47</f>
        <v>24000</v>
      </c>
      <c r="S47" s="3519"/>
      <c r="T47" s="3519">
        <f>G47</f>
        <v>24000</v>
      </c>
      <c r="U47" s="3519"/>
      <c r="V47" s="3519">
        <f>I47</f>
        <v>25100</v>
      </c>
      <c r="W47" s="3519"/>
      <c r="X47" s="757"/>
      <c r="Y47" s="779"/>
      <c r="Z47" s="757"/>
      <c r="AA47" s="757"/>
      <c r="AB47" s="757"/>
      <c r="AC47" s="757"/>
    </row>
    <row r="48" spans="1:29" ht="15.75" thickBot="1">
      <c r="A48" s="486" t="s">
        <v>2563</v>
      </c>
      <c r="B48" s="487"/>
      <c r="C48" s="1413">
        <f>R49</f>
        <v>23598</v>
      </c>
      <c r="D48" s="1414"/>
      <c r="E48" s="1415">
        <f>R48</f>
        <v>22633</v>
      </c>
      <c r="F48" s="1415"/>
      <c r="G48" s="1413">
        <f>T48</f>
        <v>24490</v>
      </c>
      <c r="H48" s="1414"/>
      <c r="I48" s="1415">
        <f>V48</f>
        <v>23671</v>
      </c>
      <c r="J48" s="1414"/>
      <c r="K48" s="2620"/>
      <c r="L48" s="1143"/>
      <c r="M48" s="1144"/>
      <c r="N48" s="1144"/>
      <c r="O48" s="1144"/>
      <c r="P48" s="3518" t="str">
        <f>A48</f>
        <v>比较价值（元/平方米）</v>
      </c>
      <c r="Q48" s="3518"/>
      <c r="R48" s="3519">
        <f>IF(F1="售价",ROUND(PRODUCT(R47,AA7:AA46),0),ROUND(PRODUCT(R47,AA7:AA46),1))</f>
        <v>22633</v>
      </c>
      <c r="S48" s="3519"/>
      <c r="T48" s="3519">
        <f>IF(F1="售价",ROUND(PRODUCT(T47,AB7:AB46),0),ROUND(PRODUCT(T47,AB7:AB46),1))</f>
        <v>24490</v>
      </c>
      <c r="U48" s="3519"/>
      <c r="V48" s="3519">
        <f>IF(F1="售价",ROUND(PRODUCT(V47,AC7:AC46),0),ROUND(PRODUCT(V47,AC7:AC46),1))</f>
        <v>23671</v>
      </c>
      <c r="W48" s="3519"/>
      <c r="X48" s="757"/>
      <c r="Y48" s="757"/>
      <c r="Z48" s="757"/>
      <c r="AA48" s="757"/>
      <c r="AB48" s="757"/>
      <c r="AC48" s="757"/>
    </row>
    <row r="49" spans="1:29" ht="15.75" thickBot="1">
      <c r="A49" s="492" t="s">
        <v>2564</v>
      </c>
      <c r="B49" s="493"/>
      <c r="C49" s="1416">
        <f>R49</f>
        <v>23598</v>
      </c>
      <c r="D49" s="1417"/>
      <c r="E49" s="1417"/>
      <c r="F49" s="1417"/>
      <c r="G49" s="1417"/>
      <c r="H49" s="1417"/>
      <c r="I49" s="1417"/>
      <c r="J49" s="1417"/>
      <c r="K49" s="2621"/>
      <c r="L49" s="1143"/>
      <c r="M49" s="1144"/>
      <c r="N49" s="1144"/>
      <c r="O49" s="1144"/>
      <c r="P49" s="3515" t="str">
        <f>A49</f>
        <v>估价对象XX用房的比较价值（楼面单价，元/平方米）</v>
      </c>
      <c r="Q49" s="3516"/>
      <c r="R49" s="3517">
        <f>IF(F1="售价",ROUND(AVERAGE(R48:V48),0),ROUND(AVERAGE(R48:V48),1))</f>
        <v>23598</v>
      </c>
      <c r="S49" s="3517"/>
      <c r="T49" s="3517"/>
      <c r="U49" s="3517"/>
      <c r="V49" s="3517"/>
      <c r="W49" s="3517"/>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6"/>
      <c r="L52" s="1107"/>
      <c r="M52" s="1144"/>
      <c r="N52" s="1144"/>
      <c r="O52" s="1144"/>
    </row>
    <row r="53" spans="1:29" ht="13.5" customHeight="1">
      <c r="A53" s="1144"/>
      <c r="B53" s="1144"/>
      <c r="C53" s="497" t="s">
        <v>2566</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3054</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3056</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1" t="s">
        <v>3059</v>
      </c>
      <c r="D107" s="583" t="s">
        <v>3058</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3060</v>
      </c>
      <c r="D109" s="554" t="s">
        <v>3061</v>
      </c>
      <c r="E109" s="554" t="s">
        <v>3062</v>
      </c>
      <c r="F109" s="583" t="s">
        <v>3064</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3066</v>
      </c>
      <c r="D114" s="554" t="s">
        <v>3067</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3068</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3069</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0" sqref="C50"/>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c r="E1" s="2655"/>
      <c r="F1" s="2585" t="s">
        <v>3124</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ROUND(D3*B3/10000,0)</f>
        <v>64115</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C50</f>
        <v>15123</v>
      </c>
      <c r="C3" s="400" t="s">
        <v>2629</v>
      </c>
      <c r="D3" s="399">
        <f>IF(D1="",'数据-汇总表'!E3,SUMIF('数据-汇总表'!$C19:$C33,D1,'数据-汇总表'!$E19:$E33))</f>
        <v>42395.67</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501" t="s">
        <v>2631</v>
      </c>
      <c r="D4" s="3502"/>
      <c r="E4" s="3503" t="s">
        <v>2632</v>
      </c>
      <c r="F4" s="3504"/>
      <c r="G4" s="3501" t="s">
        <v>2633</v>
      </c>
      <c r="H4" s="3502"/>
      <c r="I4" s="3501" t="s">
        <v>2634</v>
      </c>
      <c r="J4" s="3502"/>
      <c r="K4" s="610" t="s">
        <v>2635</v>
      </c>
      <c r="L4" s="1130"/>
      <c r="M4" s="1131"/>
      <c r="N4" s="1131"/>
      <c r="O4" s="1131"/>
      <c r="P4" s="3505" t="s">
        <v>2636</v>
      </c>
      <c r="Q4" s="3506"/>
      <c r="R4" s="3488" t="s">
        <v>2632</v>
      </c>
      <c r="S4" s="3489"/>
      <c r="T4" s="3488" t="s">
        <v>2633</v>
      </c>
      <c r="U4" s="3489"/>
      <c r="V4" s="3513" t="s">
        <v>2634</v>
      </c>
      <c r="W4" s="3513"/>
      <c r="X4" s="1814"/>
      <c r="Y4" s="3488" t="s">
        <v>2636</v>
      </c>
      <c r="Z4" s="3489"/>
      <c r="AA4" s="3483" t="s">
        <v>2632</v>
      </c>
      <c r="AB4" s="3513" t="s">
        <v>2633</v>
      </c>
      <c r="AC4" s="3483" t="s">
        <v>2634</v>
      </c>
    </row>
    <row r="5" spans="1:29" ht="15">
      <c r="A5" s="404"/>
      <c r="B5" s="405"/>
      <c r="C5" s="3494" t="s">
        <v>3141</v>
      </c>
      <c r="D5" s="3495"/>
      <c r="E5" s="3492" t="s">
        <v>3090</v>
      </c>
      <c r="F5" s="3493"/>
      <c r="G5" s="3494" t="s">
        <v>3125</v>
      </c>
      <c r="H5" s="3495"/>
      <c r="I5" s="3494" t="s">
        <v>3126</v>
      </c>
      <c r="J5" s="3495"/>
      <c r="K5" s="610"/>
      <c r="L5" s="1130"/>
      <c r="M5" s="1131"/>
      <c r="N5" s="1131"/>
      <c r="O5" s="1131"/>
      <c r="P5" s="3507"/>
      <c r="Q5" s="3508"/>
      <c r="R5" s="3490"/>
      <c r="S5" s="3491"/>
      <c r="T5" s="3490"/>
      <c r="U5" s="3491"/>
      <c r="V5" s="3513"/>
      <c r="W5" s="3513"/>
      <c r="X5" s="1814"/>
      <c r="Y5" s="3490"/>
      <c r="Z5" s="3491"/>
      <c r="AA5" s="3484"/>
      <c r="AB5" s="3513"/>
      <c r="AC5" s="3484"/>
    </row>
    <row r="6" spans="1:29" ht="15.75" thickBot="1">
      <c r="A6" s="406"/>
      <c r="B6" s="407"/>
      <c r="C6" s="3496" t="s">
        <v>2531</v>
      </c>
      <c r="D6" s="3497"/>
      <c r="E6" s="3498" t="s">
        <v>2531</v>
      </c>
      <c r="F6" s="3499"/>
      <c r="G6" s="3496" t="s">
        <v>2531</v>
      </c>
      <c r="H6" s="3497"/>
      <c r="I6" s="3496" t="s">
        <v>2531</v>
      </c>
      <c r="J6" s="3497"/>
      <c r="K6" s="610" t="s">
        <v>2532</v>
      </c>
      <c r="L6" s="1130"/>
      <c r="M6" s="1131"/>
      <c r="N6" s="1131"/>
      <c r="O6" s="1131"/>
      <c r="P6" s="3509"/>
      <c r="Q6" s="3510"/>
      <c r="R6" s="3490"/>
      <c r="S6" s="3491"/>
      <c r="T6" s="3511"/>
      <c r="U6" s="3512"/>
      <c r="V6" s="3513"/>
      <c r="W6" s="3513"/>
      <c r="X6" s="1814"/>
      <c r="Y6" s="3511"/>
      <c r="Z6" s="3512"/>
      <c r="AA6" s="3485"/>
      <c r="AB6" s="3513"/>
      <c r="AC6" s="3485"/>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486" t="s">
        <v>2534</v>
      </c>
      <c r="Q7" s="3514"/>
      <c r="R7" s="768" t="s">
        <v>17</v>
      </c>
      <c r="S7" s="769">
        <f t="shared" ref="S7:S15" si="0">F7</f>
        <v>100</v>
      </c>
      <c r="T7" s="768" t="s">
        <v>17</v>
      </c>
      <c r="U7" s="769">
        <f t="shared" ref="U7:U15" si="1">H7</f>
        <v>100</v>
      </c>
      <c r="V7" s="768" t="s">
        <v>17</v>
      </c>
      <c r="W7" s="769">
        <f t="shared" ref="W7:W15" si="2">J7</f>
        <v>100</v>
      </c>
      <c r="X7" s="770"/>
      <c r="Y7" s="3486" t="s">
        <v>2534</v>
      </c>
      <c r="Z7" s="3487"/>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486" t="s">
        <v>2537</v>
      </c>
      <c r="Q8" s="3487"/>
      <c r="R8" s="768" t="s">
        <v>17</v>
      </c>
      <c r="S8" s="769">
        <f t="shared" si="0"/>
        <v>100</v>
      </c>
      <c r="T8" s="768" t="s">
        <v>17</v>
      </c>
      <c r="U8" s="769">
        <f t="shared" si="1"/>
        <v>100</v>
      </c>
      <c r="V8" s="768" t="s">
        <v>17</v>
      </c>
      <c r="W8" s="769">
        <f t="shared" si="2"/>
        <v>100</v>
      </c>
      <c r="X8" s="770"/>
      <c r="Y8" s="3486" t="s">
        <v>2537</v>
      </c>
      <c r="Z8" s="3487"/>
      <c r="AA8" s="771">
        <f t="shared" ref="AA8:AA46" si="3">D8/F8</f>
        <v>1</v>
      </c>
      <c r="AB8" s="771">
        <f t="shared" ref="AB8:AB46" si="4">D8/H8</f>
        <v>1</v>
      </c>
      <c r="AC8" s="771">
        <f t="shared" ref="AC8:AC46" si="5">D8/J8</f>
        <v>1</v>
      </c>
    </row>
    <row r="9" spans="1:29" s="116" customFormat="1">
      <c r="A9" s="415" t="s">
        <v>2538</v>
      </c>
      <c r="B9" s="70" t="s">
        <v>2539</v>
      </c>
      <c r="C9" s="416" t="s">
        <v>3122</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500" t="s">
        <v>2540</v>
      </c>
      <c r="Q9" s="1796" t="str">
        <f t="shared" ref="Q9:Q15" si="6">B9</f>
        <v>用途</v>
      </c>
      <c r="R9" s="768" t="s">
        <v>17</v>
      </c>
      <c r="S9" s="769">
        <f t="shared" si="0"/>
        <v>100</v>
      </c>
      <c r="T9" s="768" t="s">
        <v>17</v>
      </c>
      <c r="U9" s="769">
        <f t="shared" si="1"/>
        <v>100</v>
      </c>
      <c r="V9" s="768" t="s">
        <v>17</v>
      </c>
      <c r="W9" s="769">
        <f t="shared" si="2"/>
        <v>100</v>
      </c>
      <c r="X9" s="770"/>
      <c r="Y9" s="3360" t="s">
        <v>2541</v>
      </c>
      <c r="Z9" s="54" t="str">
        <f t="shared" ref="Z9:Z15" si="7">Q9</f>
        <v>用途</v>
      </c>
      <c r="AA9" s="771">
        <f t="shared" si="3"/>
        <v>1</v>
      </c>
      <c r="AB9" s="771">
        <f t="shared" si="4"/>
        <v>1</v>
      </c>
      <c r="AC9" s="771">
        <f t="shared" si="5"/>
        <v>1</v>
      </c>
    </row>
    <row r="10" spans="1:29" s="427" customFormat="1" ht="27">
      <c r="A10" s="421"/>
      <c r="B10" s="422" t="s">
        <v>2542</v>
      </c>
      <c r="C10" s="423" t="s">
        <v>3906</v>
      </c>
      <c r="D10" s="135">
        <v>100</v>
      </c>
      <c r="E10" s="424" t="s">
        <v>3123</v>
      </c>
      <c r="F10" s="425">
        <f>SUMIF(65:65,E10,66:66)-SUMIF(65:65,C10,66:66)+100</f>
        <v>101</v>
      </c>
      <c r="G10" s="423" t="s">
        <v>3123</v>
      </c>
      <c r="H10" s="135">
        <f>SUMIF(65:65,G10,66:66)-SUMIF(65:65,C10,66:66)+100</f>
        <v>101</v>
      </c>
      <c r="I10" s="423" t="s">
        <v>3906</v>
      </c>
      <c r="J10" s="135">
        <f>SUMIF(65:65,I10,66:66)-SUMIF(65:65,C10,66:66)+100</f>
        <v>100</v>
      </c>
      <c r="K10" s="612">
        <v>1</v>
      </c>
      <c r="L10" s="1135"/>
      <c r="M10" s="1136"/>
      <c r="N10" s="1136"/>
      <c r="O10" s="1136"/>
      <c r="P10" s="3500"/>
      <c r="Q10" s="1796" t="str">
        <f t="shared" si="6"/>
        <v>土地使用年限（年）</v>
      </c>
      <c r="R10" s="768" t="s">
        <v>17</v>
      </c>
      <c r="S10" s="769">
        <f t="shared" si="0"/>
        <v>101</v>
      </c>
      <c r="T10" s="768" t="s">
        <v>17</v>
      </c>
      <c r="U10" s="769">
        <f t="shared" si="1"/>
        <v>101</v>
      </c>
      <c r="V10" s="768" t="s">
        <v>17</v>
      </c>
      <c r="W10" s="769">
        <f t="shared" si="2"/>
        <v>100</v>
      </c>
      <c r="X10" s="770"/>
      <c r="Y10" s="3360"/>
      <c r="Z10" s="54" t="str">
        <f t="shared" si="7"/>
        <v>土地使用年限（年）</v>
      </c>
      <c r="AA10" s="771">
        <f t="shared" si="3"/>
        <v>0.99009900990099009</v>
      </c>
      <c r="AB10" s="771">
        <f t="shared" si="4"/>
        <v>0.99009900990099009</v>
      </c>
      <c r="AC10" s="771">
        <f t="shared" si="5"/>
        <v>1</v>
      </c>
    </row>
    <row r="11" spans="1:29" ht="15.75" thickBot="1">
      <c r="A11" s="428"/>
      <c r="B11" s="422" t="s">
        <v>2543</v>
      </c>
      <c r="C11" s="429"/>
      <c r="D11" s="135">
        <v>100</v>
      </c>
      <c r="E11" s="2936"/>
      <c r="F11" s="425">
        <f>LOOKUP(E11,68:68,69:69)-LOOKUP(C11,68:68,69:69)+100</f>
        <v>100</v>
      </c>
      <c r="G11" s="2937"/>
      <c r="H11" s="135">
        <f>LOOKUP(G11,68:68,69:69)-LOOKUP(C11,68:68,69:69)+100</f>
        <v>100</v>
      </c>
      <c r="I11" s="2937"/>
      <c r="J11" s="135">
        <f>LOOKUP(I11,68:68,69:69)-LOOKUP(C11,68:68,69:69)+100</f>
        <v>100</v>
      </c>
      <c r="K11" s="612">
        <v>1</v>
      </c>
      <c r="L11" s="1138"/>
      <c r="M11" s="1131"/>
      <c r="N11" s="1131"/>
      <c r="O11" s="1131"/>
      <c r="P11" s="3500"/>
      <c r="Q11" s="1796" t="str">
        <f t="shared" si="6"/>
        <v>容积率</v>
      </c>
      <c r="R11" s="768" t="s">
        <v>17</v>
      </c>
      <c r="S11" s="769">
        <f t="shared" si="0"/>
        <v>100</v>
      </c>
      <c r="T11" s="768" t="s">
        <v>17</v>
      </c>
      <c r="U11" s="769">
        <f t="shared" si="1"/>
        <v>100</v>
      </c>
      <c r="V11" s="768" t="s">
        <v>17</v>
      </c>
      <c r="W11" s="769">
        <f t="shared" si="2"/>
        <v>100</v>
      </c>
      <c r="X11" s="770"/>
      <c r="Y11" s="3360"/>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500"/>
      <c r="Q12" s="1796">
        <f t="shared" si="6"/>
        <v>111</v>
      </c>
      <c r="R12" s="768" t="s">
        <v>17</v>
      </c>
      <c r="S12" s="769">
        <f t="shared" si="0"/>
        <v>100</v>
      </c>
      <c r="T12" s="768" t="s">
        <v>17</v>
      </c>
      <c r="U12" s="769">
        <f t="shared" si="1"/>
        <v>100</v>
      </c>
      <c r="V12" s="768" t="s">
        <v>17</v>
      </c>
      <c r="W12" s="769">
        <f t="shared" si="2"/>
        <v>100</v>
      </c>
      <c r="X12" s="770"/>
      <c r="Y12" s="3360"/>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00"/>
      <c r="Q13" s="1796">
        <f t="shared" si="6"/>
        <v>111</v>
      </c>
      <c r="R13" s="768" t="s">
        <v>17</v>
      </c>
      <c r="S13" s="769">
        <f t="shared" si="0"/>
        <v>100</v>
      </c>
      <c r="T13" s="768" t="s">
        <v>17</v>
      </c>
      <c r="U13" s="769">
        <f t="shared" si="1"/>
        <v>100</v>
      </c>
      <c r="V13" s="768" t="s">
        <v>17</v>
      </c>
      <c r="W13" s="769">
        <f t="shared" si="2"/>
        <v>100</v>
      </c>
      <c r="X13" s="770"/>
      <c r="Y13" s="3360"/>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00"/>
      <c r="Q14" s="1796">
        <f t="shared" si="6"/>
        <v>111</v>
      </c>
      <c r="R14" s="768" t="s">
        <v>17</v>
      </c>
      <c r="S14" s="769">
        <f t="shared" si="0"/>
        <v>100</v>
      </c>
      <c r="T14" s="768" t="s">
        <v>17</v>
      </c>
      <c r="U14" s="769">
        <f t="shared" si="1"/>
        <v>100</v>
      </c>
      <c r="V14" s="768" t="s">
        <v>17</v>
      </c>
      <c r="W14" s="769">
        <f t="shared" si="2"/>
        <v>100</v>
      </c>
      <c r="X14" s="770"/>
      <c r="Y14" s="3360"/>
      <c r="Z14" s="54">
        <f t="shared" si="7"/>
        <v>111</v>
      </c>
      <c r="AA14" s="771">
        <f t="shared" si="3"/>
        <v>1</v>
      </c>
      <c r="AB14" s="771">
        <f t="shared" si="4"/>
        <v>1</v>
      </c>
      <c r="AC14" s="771">
        <f t="shared" si="5"/>
        <v>1</v>
      </c>
    </row>
    <row r="15" spans="1:29" ht="85.5">
      <c r="A15" s="440" t="s">
        <v>2544</v>
      </c>
      <c r="B15" s="68" t="s">
        <v>2638</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98</v>
      </c>
      <c r="G15" s="444"/>
      <c r="H15" s="441">
        <f>SUMIF(76:76,G16,77:77)-SUMIF(76:76,C16,77:77)+100</f>
        <v>98</v>
      </c>
      <c r="I15" s="442"/>
      <c r="J15" s="441">
        <f>SUMIF(76:76,I16,77:77)-SUMIF(76:76,C16,77:77)+100</f>
        <v>100</v>
      </c>
      <c r="K15" s="614">
        <v>2</v>
      </c>
      <c r="L15" s="1140"/>
      <c r="M15" s="1131"/>
      <c r="N15" s="1131"/>
      <c r="O15" s="1131"/>
      <c r="P15" s="3527" t="s">
        <v>2545</v>
      </c>
      <c r="Q15" s="1811" t="str">
        <f t="shared" si="6"/>
        <v>商业繁华度</v>
      </c>
      <c r="R15" s="772" t="s">
        <v>17</v>
      </c>
      <c r="S15" s="773">
        <f t="shared" si="0"/>
        <v>98</v>
      </c>
      <c r="T15" s="772" t="s">
        <v>17</v>
      </c>
      <c r="U15" s="773">
        <f t="shared" si="1"/>
        <v>98</v>
      </c>
      <c r="V15" s="772" t="s">
        <v>17</v>
      </c>
      <c r="W15" s="773">
        <f t="shared" si="2"/>
        <v>100</v>
      </c>
      <c r="X15" s="1814"/>
      <c r="Y15" s="3520" t="s">
        <v>2545</v>
      </c>
      <c r="Z15" s="1815" t="str">
        <f t="shared" si="7"/>
        <v>商业繁华度</v>
      </c>
      <c r="AA15" s="1812">
        <f t="shared" si="3"/>
        <v>1.0204081632653061</v>
      </c>
      <c r="AB15" s="1812">
        <f t="shared" si="4"/>
        <v>1.0204081632653061</v>
      </c>
      <c r="AC15" s="1812">
        <f t="shared" si="5"/>
        <v>1</v>
      </c>
    </row>
    <row r="16" spans="1:29" ht="15">
      <c r="A16" s="428"/>
      <c r="B16" s="446"/>
      <c r="C16" s="447" t="s">
        <v>3900</v>
      </c>
      <c r="D16" s="448"/>
      <c r="E16" s="447" t="s">
        <v>3049</v>
      </c>
      <c r="F16" s="449"/>
      <c r="G16" s="447" t="s">
        <v>3049</v>
      </c>
      <c r="H16" s="450"/>
      <c r="I16" s="447" t="s">
        <v>3900</v>
      </c>
      <c r="J16" s="448"/>
      <c r="K16" s="615"/>
      <c r="L16" s="1140"/>
      <c r="M16" s="1131"/>
      <c r="N16" s="1131"/>
      <c r="O16" s="1131"/>
      <c r="P16" s="3528"/>
      <c r="Q16" s="1811"/>
      <c r="R16" s="772"/>
      <c r="S16" s="773"/>
      <c r="T16" s="772"/>
      <c r="U16" s="773"/>
      <c r="V16" s="772"/>
      <c r="W16" s="773"/>
      <c r="X16" s="1814"/>
      <c r="Y16" s="3521"/>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98</v>
      </c>
      <c r="G17" s="454"/>
      <c r="H17" s="455">
        <f>SUMIF(78:78,G18,79:79)-SUMIF(78:78,C18,79:79)+100</f>
        <v>100</v>
      </c>
      <c r="I17" s="452"/>
      <c r="J17" s="455">
        <f>SUMIF(78:78,I18,79:79)-SUMIF(78:78,C18,79:79)+100</f>
        <v>100</v>
      </c>
      <c r="K17" s="614">
        <v>2</v>
      </c>
      <c r="L17" s="1140"/>
      <c r="M17" s="1131"/>
      <c r="N17" s="1131"/>
      <c r="O17" s="1131"/>
      <c r="P17" s="3528"/>
      <c r="Q17" s="1811" t="str">
        <f>B17</f>
        <v>交通便捷度</v>
      </c>
      <c r="R17" s="772" t="s">
        <v>17</v>
      </c>
      <c r="S17" s="773">
        <f>F17</f>
        <v>98</v>
      </c>
      <c r="T17" s="772" t="s">
        <v>17</v>
      </c>
      <c r="U17" s="773">
        <f>H17</f>
        <v>100</v>
      </c>
      <c r="V17" s="772" t="s">
        <v>17</v>
      </c>
      <c r="W17" s="773">
        <f>J17</f>
        <v>100</v>
      </c>
      <c r="X17" s="1814"/>
      <c r="Y17" s="3521"/>
      <c r="Z17" s="1815" t="str">
        <f>Q17</f>
        <v>交通便捷度</v>
      </c>
      <c r="AA17" s="1812">
        <f t="shared" si="3"/>
        <v>1.0204081632653061</v>
      </c>
      <c r="AB17" s="1812">
        <f t="shared" si="4"/>
        <v>1</v>
      </c>
      <c r="AC17" s="1812">
        <f t="shared" si="5"/>
        <v>1</v>
      </c>
    </row>
    <row r="18" spans="1:29" ht="15">
      <c r="A18" s="428"/>
      <c r="B18" s="456"/>
      <c r="C18" s="2608" t="s">
        <v>3049</v>
      </c>
      <c r="D18" s="450"/>
      <c r="E18" s="2610" t="s">
        <v>3050</v>
      </c>
      <c r="F18" s="453"/>
      <c r="G18" s="2610" t="s">
        <v>3049</v>
      </c>
      <c r="H18" s="448"/>
      <c r="I18" s="2610" t="s">
        <v>3049</v>
      </c>
      <c r="J18" s="448"/>
      <c r="K18" s="615"/>
      <c r="L18" s="1140"/>
      <c r="M18" s="1131"/>
      <c r="N18" s="1131"/>
      <c r="O18" s="1131"/>
      <c r="P18" s="3528"/>
      <c r="Q18" s="1811"/>
      <c r="R18" s="772"/>
      <c r="S18" s="773"/>
      <c r="T18" s="772"/>
      <c r="U18" s="773"/>
      <c r="V18" s="772"/>
      <c r="W18" s="773"/>
      <c r="X18" s="1814"/>
      <c r="Y18" s="3521"/>
      <c r="Z18" s="1815"/>
      <c r="AA18" s="1812">
        <v>1</v>
      </c>
      <c r="AB18" s="1812">
        <v>1</v>
      </c>
      <c r="AC18" s="1812">
        <v>1</v>
      </c>
    </row>
    <row r="19" spans="1:29" ht="114">
      <c r="A19" s="428"/>
      <c r="B19" s="451" t="s">
        <v>2639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528"/>
      <c r="Q19" s="1811" t="str">
        <f>B19</f>
        <v>公共配套设施</v>
      </c>
      <c r="R19" s="772" t="s">
        <v>17</v>
      </c>
      <c r="S19" s="773">
        <f>F19</f>
        <v>100</v>
      </c>
      <c r="T19" s="772" t="s">
        <v>17</v>
      </c>
      <c r="U19" s="773">
        <f>H19</f>
        <v>100</v>
      </c>
      <c r="V19" s="772" t="s">
        <v>17</v>
      </c>
      <c r="W19" s="773">
        <f>J19</f>
        <v>100</v>
      </c>
      <c r="X19" s="1814"/>
      <c r="Y19" s="3521"/>
      <c r="Z19" s="1815" t="str">
        <f>Q19</f>
        <v>公共配套设施</v>
      </c>
      <c r="AA19" s="1812">
        <f t="shared" si="3"/>
        <v>1</v>
      </c>
      <c r="AB19" s="1812">
        <f t="shared" si="4"/>
        <v>1</v>
      </c>
      <c r="AC19" s="1812">
        <f t="shared" si="5"/>
        <v>1</v>
      </c>
    </row>
    <row r="20" spans="1:29" ht="15">
      <c r="A20" s="428"/>
      <c r="B20" s="456"/>
      <c r="C20" s="447" t="s">
        <v>3049</v>
      </c>
      <c r="D20" s="448"/>
      <c r="E20" s="2605" t="s">
        <v>3049</v>
      </c>
      <c r="F20" s="449"/>
      <c r="G20" s="2605" t="s">
        <v>3049</v>
      </c>
      <c r="H20" s="448"/>
      <c r="I20" s="2605" t="s">
        <v>3049</v>
      </c>
      <c r="J20" s="448"/>
      <c r="K20" s="615"/>
      <c r="L20" s="1140"/>
      <c r="M20" s="1131"/>
      <c r="N20" s="1131"/>
      <c r="O20" s="1131"/>
      <c r="P20" s="3528"/>
      <c r="Q20" s="1811"/>
      <c r="R20" s="772"/>
      <c r="S20" s="773"/>
      <c r="T20" s="772"/>
      <c r="U20" s="773"/>
      <c r="V20" s="772"/>
      <c r="W20" s="773"/>
      <c r="X20" s="1814"/>
      <c r="Y20" s="3521"/>
      <c r="Z20" s="1815"/>
      <c r="AA20" s="1812">
        <v>1</v>
      </c>
      <c r="AB20" s="1812">
        <v>1</v>
      </c>
      <c r="AC20" s="1812">
        <v>1</v>
      </c>
    </row>
    <row r="21" spans="1:29" ht="28.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528"/>
      <c r="Q21" s="1811" t="str">
        <f>B21</f>
        <v>基础设施水平</v>
      </c>
      <c r="R21" s="772" t="s">
        <v>17</v>
      </c>
      <c r="S21" s="773">
        <f>F21</f>
        <v>100</v>
      </c>
      <c r="T21" s="772" t="s">
        <v>17</v>
      </c>
      <c r="U21" s="773">
        <f>H21</f>
        <v>100</v>
      </c>
      <c r="V21" s="772" t="s">
        <v>17</v>
      </c>
      <c r="W21" s="773">
        <f>J21</f>
        <v>100</v>
      </c>
      <c r="X21" s="1814"/>
      <c r="Y21" s="3521"/>
      <c r="Z21" s="1815" t="str">
        <f>Q21</f>
        <v>基础设施水平</v>
      </c>
      <c r="AA21" s="1812">
        <f t="shared" ref="AA21" si="8">D21/F21</f>
        <v>1</v>
      </c>
      <c r="AB21" s="1812">
        <f t="shared" ref="AB21" si="9">D21/H21</f>
        <v>1</v>
      </c>
      <c r="AC21" s="1812">
        <f t="shared" ref="AC21" si="10">D21/J21</f>
        <v>1</v>
      </c>
    </row>
    <row r="22" spans="1:29" ht="15">
      <c r="A22" s="428"/>
      <c r="B22" s="1384"/>
      <c r="C22" s="2608" t="s">
        <v>3052</v>
      </c>
      <c r="D22" s="448"/>
      <c r="E22" s="447" t="s">
        <v>3052</v>
      </c>
      <c r="F22" s="449"/>
      <c r="G22" s="447" t="s">
        <v>3052</v>
      </c>
      <c r="H22" s="448"/>
      <c r="I22" s="447" t="s">
        <v>3052</v>
      </c>
      <c r="J22" s="448"/>
      <c r="K22" s="1383"/>
      <c r="L22" s="1140"/>
      <c r="M22" s="1131"/>
      <c r="N22" s="1131"/>
      <c r="O22" s="1131"/>
      <c r="P22" s="3528"/>
      <c r="Q22" s="1811"/>
      <c r="R22" s="772"/>
      <c r="S22" s="773"/>
      <c r="T22" s="772"/>
      <c r="U22" s="773"/>
      <c r="V22" s="772"/>
      <c r="W22" s="773"/>
      <c r="X22" s="1814"/>
      <c r="Y22" s="3521"/>
      <c r="Z22" s="1815"/>
      <c r="AA22" s="1812">
        <v>1</v>
      </c>
      <c r="AB22" s="1812">
        <v>1</v>
      </c>
      <c r="AC22" s="1812">
        <v>1</v>
      </c>
    </row>
    <row r="23" spans="1:29" ht="114">
      <c r="A23" s="428"/>
      <c r="B23" s="451" t="s">
        <v>2093</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528"/>
      <c r="Q23" s="1811" t="str">
        <f>B23</f>
        <v>自然及人文环境</v>
      </c>
      <c r="R23" s="772" t="s">
        <v>17</v>
      </c>
      <c r="S23" s="773">
        <f>F23</f>
        <v>100</v>
      </c>
      <c r="T23" s="772" t="s">
        <v>17</v>
      </c>
      <c r="U23" s="773">
        <f>H23</f>
        <v>100</v>
      </c>
      <c r="V23" s="772" t="s">
        <v>17</v>
      </c>
      <c r="W23" s="773">
        <f>J23</f>
        <v>100</v>
      </c>
      <c r="X23" s="1814"/>
      <c r="Y23" s="3521"/>
      <c r="Z23" s="1815" t="str">
        <f>Q23</f>
        <v>自然及人文环境</v>
      </c>
      <c r="AA23" s="1812">
        <f t="shared" si="3"/>
        <v>1</v>
      </c>
      <c r="AB23" s="1812">
        <f t="shared" si="4"/>
        <v>1</v>
      </c>
      <c r="AC23" s="1812">
        <f t="shared" si="5"/>
        <v>1</v>
      </c>
    </row>
    <row r="24" spans="1:29" ht="15">
      <c r="A24" s="428"/>
      <c r="B24" s="456"/>
      <c r="C24" s="447" t="s">
        <v>3049</v>
      </c>
      <c r="D24" s="448"/>
      <c r="E24" s="2605" t="s">
        <v>3049</v>
      </c>
      <c r="F24" s="449"/>
      <c r="G24" s="2605" t="s">
        <v>3049</v>
      </c>
      <c r="H24" s="448"/>
      <c r="I24" s="2605" t="s">
        <v>3049</v>
      </c>
      <c r="J24" s="448"/>
      <c r="K24" s="615"/>
      <c r="L24" s="1140"/>
      <c r="M24" s="1131"/>
      <c r="N24" s="1131"/>
      <c r="O24" s="1131"/>
      <c r="P24" s="3528"/>
      <c r="Q24" s="1811"/>
      <c r="R24" s="772"/>
      <c r="S24" s="773"/>
      <c r="T24" s="772"/>
      <c r="U24" s="773"/>
      <c r="V24" s="772"/>
      <c r="W24" s="773"/>
      <c r="X24" s="1814"/>
      <c r="Y24" s="3521"/>
      <c r="Z24" s="1815"/>
      <c r="AA24" s="1812">
        <v>1</v>
      </c>
      <c r="AB24" s="1812">
        <v>1</v>
      </c>
      <c r="AC24" s="1812">
        <v>1</v>
      </c>
    </row>
    <row r="25" spans="1:29" ht="15">
      <c r="A25" s="428"/>
      <c r="B25" s="422" t="s">
        <v>2641</v>
      </c>
      <c r="C25" s="2943" t="s">
        <v>3156</v>
      </c>
      <c r="D25" s="2944">
        <v>100</v>
      </c>
      <c r="E25" s="2943" t="s">
        <v>3156</v>
      </c>
      <c r="F25" s="2945">
        <f>SUMIF(86:86,E25,87:87)-SUMIF(86:86,C25,87:87)+100</f>
        <v>100</v>
      </c>
      <c r="G25" s="2943" t="s">
        <v>3156</v>
      </c>
      <c r="H25" s="2944">
        <f>SUMIF(86:86,G25,87:87)-SUMIF(86:86,C25,87:87)+100</f>
        <v>100</v>
      </c>
      <c r="I25" s="2943" t="s">
        <v>3156</v>
      </c>
      <c r="J25" s="2944">
        <f>SUMIF(86:86,I25,87:87)-SUMIF(86:86,C25,87:87)+100</f>
        <v>100</v>
      </c>
      <c r="K25" s="612">
        <v>2</v>
      </c>
      <c r="L25" s="1140"/>
      <c r="M25" s="1131"/>
      <c r="N25" s="1131"/>
      <c r="O25" s="1131"/>
      <c r="P25" s="3528"/>
      <c r="Q25" s="1811" t="str">
        <f t="shared" ref="Q25:Q46" si="11">B25</f>
        <v>临街状况</v>
      </c>
      <c r="R25" s="772" t="s">
        <v>17</v>
      </c>
      <c r="S25" s="773">
        <f>F25</f>
        <v>100</v>
      </c>
      <c r="T25" s="772" t="s">
        <v>17</v>
      </c>
      <c r="U25" s="773">
        <f>H25</f>
        <v>100</v>
      </c>
      <c r="V25" s="772" t="s">
        <v>17</v>
      </c>
      <c r="W25" s="773">
        <f>J25</f>
        <v>100</v>
      </c>
      <c r="X25" s="1814"/>
      <c r="Y25" s="3521"/>
      <c r="Z25" s="1815" t="str">
        <f>Q25</f>
        <v>临街状况</v>
      </c>
      <c r="AA25" s="1812">
        <f t="shared" si="3"/>
        <v>1</v>
      </c>
      <c r="AB25" s="1812">
        <f t="shared" si="4"/>
        <v>1</v>
      </c>
      <c r="AC25" s="1812">
        <f t="shared" si="5"/>
        <v>1</v>
      </c>
    </row>
    <row r="26" spans="1:29" ht="15">
      <c r="A26" s="428"/>
      <c r="B26" s="2938" t="s">
        <v>3127</v>
      </c>
      <c r="C26" s="434" t="s">
        <v>3091</v>
      </c>
      <c r="D26" s="435">
        <v>100</v>
      </c>
      <c r="E26" s="434" t="s">
        <v>3091</v>
      </c>
      <c r="F26" s="461">
        <f>SUMIF(88:88,E26,89:89)-SUMIF(88:88,C26,89:89)+100</f>
        <v>100</v>
      </c>
      <c r="G26" s="434" t="s">
        <v>3091</v>
      </c>
      <c r="H26" s="435">
        <f>SUMIF(88:88,G26,89:89)-SUMIF(88:88,C26,89:89)+100</f>
        <v>100</v>
      </c>
      <c r="I26" s="434" t="s">
        <v>3091</v>
      </c>
      <c r="J26" s="435">
        <f>SUMIF(88:88,I26,89:89)-SUMIF(88:88,C26,89:89)+100</f>
        <v>100</v>
      </c>
      <c r="K26" s="613"/>
      <c r="L26" s="1140"/>
      <c r="M26" s="1131"/>
      <c r="N26" s="1131"/>
      <c r="O26" s="1131"/>
      <c r="P26" s="3528"/>
      <c r="Q26" s="1811" t="str">
        <f t="shared" si="11"/>
        <v>可视性</v>
      </c>
      <c r="R26" s="772" t="s">
        <v>17</v>
      </c>
      <c r="S26" s="773">
        <f>F26</f>
        <v>100</v>
      </c>
      <c r="T26" s="772" t="s">
        <v>17</v>
      </c>
      <c r="U26" s="773">
        <f>H26</f>
        <v>100</v>
      </c>
      <c r="V26" s="772" t="s">
        <v>17</v>
      </c>
      <c r="W26" s="773">
        <f>J26</f>
        <v>100</v>
      </c>
      <c r="X26" s="1814"/>
      <c r="Y26" s="3521"/>
      <c r="Z26" s="1815" t="str">
        <f>Q26</f>
        <v>可视性</v>
      </c>
      <c r="AA26" s="1812">
        <f t="shared" si="3"/>
        <v>1</v>
      </c>
      <c r="AB26" s="1812">
        <f t="shared" si="4"/>
        <v>1</v>
      </c>
      <c r="AC26" s="1812">
        <f t="shared" si="5"/>
        <v>1</v>
      </c>
    </row>
    <row r="27" spans="1:29" s="116" customFormat="1" ht="15">
      <c r="A27" s="431"/>
      <c r="B27" s="451" t="s">
        <v>2642</v>
      </c>
      <c r="C27" s="2663" t="s">
        <v>3900</v>
      </c>
      <c r="D27" s="462">
        <v>100</v>
      </c>
      <c r="E27" s="2663" t="s">
        <v>3049</v>
      </c>
      <c r="F27" s="464">
        <f>SUMIF(90:90,E27,91:91)-SUMIF(90:90,C27,91:91)+100</f>
        <v>97</v>
      </c>
      <c r="G27" s="2663" t="s">
        <v>3049</v>
      </c>
      <c r="H27" s="462">
        <f>SUMIF(90:90,G27,91:91)-SUMIF(90:90,C27,91:91)+100</f>
        <v>97</v>
      </c>
      <c r="I27" s="2663" t="s">
        <v>3900</v>
      </c>
      <c r="J27" s="462">
        <f>SUMIF(90:90,I27,91:91)-SUMIF(90:90,C27,91:91)+100</f>
        <v>100</v>
      </c>
      <c r="K27" s="612">
        <v>3</v>
      </c>
      <c r="L27" s="1132"/>
      <c r="M27" s="1133"/>
      <c r="N27" s="1133"/>
      <c r="O27" s="1133"/>
      <c r="P27" s="3528"/>
      <c r="Q27" s="1796" t="str">
        <f t="shared" si="11"/>
        <v>人流量</v>
      </c>
      <c r="R27" s="768" t="s">
        <v>17</v>
      </c>
      <c r="S27" s="769">
        <f>F27</f>
        <v>97</v>
      </c>
      <c r="T27" s="768" t="s">
        <v>17</v>
      </c>
      <c r="U27" s="769">
        <f>H27</f>
        <v>97</v>
      </c>
      <c r="V27" s="768" t="s">
        <v>17</v>
      </c>
      <c r="W27" s="769">
        <f>J27</f>
        <v>100</v>
      </c>
      <c r="X27" s="770"/>
      <c r="Y27" s="3521"/>
      <c r="Z27" s="54" t="str">
        <f>Q27</f>
        <v>人流量</v>
      </c>
      <c r="AA27" s="1812">
        <f>D27/F27</f>
        <v>1.0309278350515463</v>
      </c>
      <c r="AB27" s="1812">
        <f>D27/H27</f>
        <v>1.0309278350515463</v>
      </c>
      <c r="AC27" s="1812">
        <f>D27/J27</f>
        <v>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3092</v>
      </c>
      <c r="J28" s="435">
        <f>SUMIF(92:92,I28,93:93)-SUMIF(92:92,C28,93:93)+100</f>
        <v>80</v>
      </c>
      <c r="K28" s="613"/>
      <c r="L28" s="1140"/>
      <c r="M28" s="1131"/>
      <c r="N28" s="1131"/>
      <c r="O28" s="1131"/>
      <c r="P28" s="3528"/>
      <c r="Q28" s="1811" t="str">
        <f t="shared" si="11"/>
        <v>楼层</v>
      </c>
      <c r="R28" s="772" t="s">
        <v>17</v>
      </c>
      <c r="S28" s="773">
        <f t="shared" ref="S28:S46" si="12">F28</f>
        <v>100</v>
      </c>
      <c r="T28" s="772" t="s">
        <v>17</v>
      </c>
      <c r="U28" s="773">
        <f t="shared" ref="U28:U46" si="13">H28</f>
        <v>100</v>
      </c>
      <c r="V28" s="772" t="s">
        <v>17</v>
      </c>
      <c r="W28" s="773">
        <f t="shared" ref="W28:W46" si="14">J28</f>
        <v>80</v>
      </c>
      <c r="X28" s="1814"/>
      <c r="Y28" s="3521"/>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528"/>
      <c r="Q29" s="1811">
        <f t="shared" si="11"/>
        <v>111</v>
      </c>
      <c r="R29" s="772" t="s">
        <v>17</v>
      </c>
      <c r="S29" s="773">
        <f t="shared" si="12"/>
        <v>100</v>
      </c>
      <c r="T29" s="772" t="s">
        <v>17</v>
      </c>
      <c r="U29" s="773">
        <f t="shared" si="13"/>
        <v>100</v>
      </c>
      <c r="V29" s="772" t="s">
        <v>17</v>
      </c>
      <c r="W29" s="773">
        <f t="shared" si="14"/>
        <v>100</v>
      </c>
      <c r="X29" s="1814"/>
      <c r="Y29" s="3521"/>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528"/>
      <c r="Q30" s="1811">
        <f t="shared" si="11"/>
        <v>111</v>
      </c>
      <c r="R30" s="772" t="s">
        <v>17</v>
      </c>
      <c r="S30" s="773">
        <f t="shared" si="12"/>
        <v>100</v>
      </c>
      <c r="T30" s="772" t="s">
        <v>17</v>
      </c>
      <c r="U30" s="773">
        <f t="shared" si="13"/>
        <v>100</v>
      </c>
      <c r="V30" s="772" t="s">
        <v>17</v>
      </c>
      <c r="W30" s="773">
        <f t="shared" si="14"/>
        <v>100</v>
      </c>
      <c r="X30" s="1814"/>
      <c r="Y30" s="3521"/>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528"/>
      <c r="Q31" s="1811">
        <f t="shared" si="11"/>
        <v>111</v>
      </c>
      <c r="R31" s="772" t="s">
        <v>17</v>
      </c>
      <c r="S31" s="773">
        <f t="shared" si="12"/>
        <v>100</v>
      </c>
      <c r="T31" s="772" t="s">
        <v>17</v>
      </c>
      <c r="U31" s="773">
        <f t="shared" si="13"/>
        <v>100</v>
      </c>
      <c r="V31" s="772" t="s">
        <v>17</v>
      </c>
      <c r="W31" s="773">
        <f t="shared" si="14"/>
        <v>100</v>
      </c>
      <c r="X31" s="1814"/>
      <c r="Y31" s="3521"/>
      <c r="Z31" s="1815">
        <f t="shared" si="15"/>
        <v>111</v>
      </c>
      <c r="AA31" s="1812">
        <f t="shared" si="3"/>
        <v>1</v>
      </c>
      <c r="AB31" s="1812">
        <f t="shared" si="4"/>
        <v>1</v>
      </c>
      <c r="AC31" s="1812">
        <f t="shared" si="5"/>
        <v>1</v>
      </c>
    </row>
    <row r="32" spans="1:29" ht="15">
      <c r="A32" s="440" t="s">
        <v>2548</v>
      </c>
      <c r="B32" s="70" t="s">
        <v>2644</v>
      </c>
      <c r="C32" s="3149" t="s">
        <v>3901</v>
      </c>
      <c r="D32" s="3150">
        <v>100</v>
      </c>
      <c r="E32" s="3149" t="s">
        <v>3095</v>
      </c>
      <c r="F32" s="3151">
        <f>SUMIF(100:100,E32,101:101)-SUMIF(100:100,C32,101:101)+100</f>
        <v>107.5</v>
      </c>
      <c r="G32" s="3149" t="s">
        <v>3097</v>
      </c>
      <c r="H32" s="3152">
        <f>SUMIF(100:100,G32,101:101)-SUMIF(100:100,C32,101:101)+100</f>
        <v>102.5</v>
      </c>
      <c r="I32" s="3149" t="s">
        <v>3097</v>
      </c>
      <c r="J32" s="3150">
        <f>SUMIF(100:100,I32,101:101)-SUMIF(100:100,C32,101:101)+100</f>
        <v>102.5</v>
      </c>
      <c r="K32" s="612">
        <v>2.5</v>
      </c>
      <c r="L32" s="1140"/>
      <c r="M32" s="1131"/>
      <c r="N32" s="1131"/>
      <c r="O32" s="1131"/>
      <c r="P32" s="3522" t="s">
        <v>2550</v>
      </c>
      <c r="Q32" s="1811" t="str">
        <f t="shared" si="11"/>
        <v>商业类型</v>
      </c>
      <c r="R32" s="772" t="s">
        <v>17</v>
      </c>
      <c r="S32" s="773">
        <f t="shared" si="12"/>
        <v>107.5</v>
      </c>
      <c r="T32" s="772" t="s">
        <v>17</v>
      </c>
      <c r="U32" s="773">
        <f t="shared" si="13"/>
        <v>102.5</v>
      </c>
      <c r="V32" s="772" t="s">
        <v>17</v>
      </c>
      <c r="W32" s="773">
        <f t="shared" si="14"/>
        <v>102.5</v>
      </c>
      <c r="X32" s="1814"/>
      <c r="Y32" s="3525" t="s">
        <v>2550</v>
      </c>
      <c r="Z32" s="1815" t="str">
        <f t="shared" si="15"/>
        <v>商业类型</v>
      </c>
      <c r="AA32" s="1812">
        <f t="shared" si="3"/>
        <v>0.93023255813953487</v>
      </c>
      <c r="AB32" s="1812">
        <f t="shared" si="4"/>
        <v>0.97560975609756095</v>
      </c>
      <c r="AC32" s="1812">
        <f t="shared" si="5"/>
        <v>0.97560975609756095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523"/>
      <c r="Q33" s="774" t="str">
        <f t="shared" si="11"/>
        <v>项目建筑规模</v>
      </c>
      <c r="R33" s="775" t="s">
        <v>17</v>
      </c>
      <c r="S33" s="776">
        <f t="shared" si="12"/>
        <v>100</v>
      </c>
      <c r="T33" s="775" t="s">
        <v>17</v>
      </c>
      <c r="U33" s="776">
        <f t="shared" si="13"/>
        <v>100</v>
      </c>
      <c r="V33" s="775" t="s">
        <v>17</v>
      </c>
      <c r="W33" s="776">
        <f t="shared" si="14"/>
        <v>100</v>
      </c>
      <c r="X33" s="777"/>
      <c r="Y33" s="3525"/>
      <c r="Z33" s="778" t="str">
        <f t="shared" si="15"/>
        <v>项目建筑规模</v>
      </c>
      <c r="AA33" s="1812">
        <f t="shared" si="3"/>
        <v>1</v>
      </c>
      <c r="AB33" s="1812">
        <f t="shared" si="4"/>
        <v>1</v>
      </c>
      <c r="AC33" s="1812">
        <f t="shared" si="5"/>
        <v>1</v>
      </c>
    </row>
    <row r="34" spans="1:29" ht="15">
      <c r="A34" s="472"/>
      <c r="B34" s="422" t="s">
        <v>2552</v>
      </c>
      <c r="C34" s="2618" t="s">
        <v>3055</v>
      </c>
      <c r="D34" s="435">
        <v>100</v>
      </c>
      <c r="E34" s="2618" t="s">
        <v>3055</v>
      </c>
      <c r="F34" s="461">
        <f>SUMIF(105:105,E34,106:106)-SUMIF(105:105,C34,106:106)+100</f>
        <v>100</v>
      </c>
      <c r="G34" s="2618" t="s">
        <v>3055</v>
      </c>
      <c r="H34" s="435">
        <f>SUMIF(105:105,G34,106:106)-SUMIF(105:105,C34,106:106)+100</f>
        <v>100</v>
      </c>
      <c r="I34" s="2618" t="s">
        <v>3055</v>
      </c>
      <c r="J34" s="435">
        <f>SUMIF(105:105,I34,106:106)-SUMIF(105:105,C34,106:106)+100</f>
        <v>100</v>
      </c>
      <c r="K34" s="612">
        <v>2</v>
      </c>
      <c r="L34" s="1140"/>
      <c r="M34" s="1131"/>
      <c r="N34" s="1131"/>
      <c r="O34" s="1131"/>
      <c r="P34" s="3523"/>
      <c r="Q34" s="1811" t="str">
        <f t="shared" si="11"/>
        <v>建筑结构</v>
      </c>
      <c r="R34" s="772" t="s">
        <v>17</v>
      </c>
      <c r="S34" s="773">
        <f t="shared" si="12"/>
        <v>100</v>
      </c>
      <c r="T34" s="772" t="s">
        <v>17</v>
      </c>
      <c r="U34" s="773">
        <f t="shared" si="13"/>
        <v>100</v>
      </c>
      <c r="V34" s="772" t="s">
        <v>17</v>
      </c>
      <c r="W34" s="773">
        <f t="shared" si="14"/>
        <v>100</v>
      </c>
      <c r="X34" s="1814"/>
      <c r="Y34" s="3525"/>
      <c r="Z34" s="1815" t="str">
        <f t="shared" si="15"/>
        <v>建筑结构</v>
      </c>
      <c r="AA34" s="1812">
        <f t="shared" si="3"/>
        <v>1</v>
      </c>
      <c r="AB34" s="1812">
        <f t="shared" si="4"/>
        <v>1</v>
      </c>
      <c r="AC34" s="1812">
        <f t="shared" si="5"/>
        <v>1</v>
      </c>
    </row>
    <row r="35" spans="1:29" ht="15" hidden="1">
      <c r="A35" s="472"/>
      <c r="B35" s="422" t="s">
        <v>2645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1</v>
      </c>
      <c r="L35" s="1140"/>
      <c r="M35" s="1131"/>
      <c r="N35" s="1131"/>
      <c r="O35" s="1131"/>
      <c r="P35" s="3523"/>
      <c r="Q35" s="1811" t="str">
        <f t="shared" si="11"/>
        <v>公共部分装修</v>
      </c>
      <c r="R35" s="772" t="s">
        <v>17</v>
      </c>
      <c r="S35" s="773">
        <f t="shared" si="12"/>
        <v>100</v>
      </c>
      <c r="T35" s="772" t="s">
        <v>17</v>
      </c>
      <c r="U35" s="773">
        <f t="shared" si="13"/>
        <v>100</v>
      </c>
      <c r="V35" s="772" t="s">
        <v>17</v>
      </c>
      <c r="W35" s="773">
        <f t="shared" si="14"/>
        <v>100</v>
      </c>
      <c r="X35" s="1814"/>
      <c r="Y35" s="3525"/>
      <c r="Z35" s="1815" t="str">
        <f t="shared" si="15"/>
        <v>公共部分装修</v>
      </c>
      <c r="AA35" s="1812">
        <f t="shared" si="3"/>
        <v>1</v>
      </c>
      <c r="AB35" s="1812">
        <f t="shared" si="4"/>
        <v>1</v>
      </c>
      <c r="AC35" s="1812">
        <f t="shared" si="5"/>
        <v>1</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523"/>
      <c r="Q36" s="1811" t="str">
        <f t="shared" si="11"/>
        <v>成新度</v>
      </c>
      <c r="R36" s="772" t="s">
        <v>17</v>
      </c>
      <c r="S36" s="773">
        <f t="shared" si="12"/>
        <v>99</v>
      </c>
      <c r="T36" s="772" t="s">
        <v>17</v>
      </c>
      <c r="U36" s="773">
        <f t="shared" si="13"/>
        <v>100</v>
      </c>
      <c r="V36" s="772" t="s">
        <v>17</v>
      </c>
      <c r="W36" s="773">
        <f t="shared" si="14"/>
        <v>99</v>
      </c>
      <c r="X36" s="1814"/>
      <c r="Y36" s="3525"/>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3052</v>
      </c>
      <c r="D37" s="135">
        <v>100</v>
      </c>
      <c r="E37" s="2613" t="s">
        <v>3106</v>
      </c>
      <c r="F37" s="461">
        <f>SUMIF(112:112,E37,113:113)-SUMIF(112:112,C37,113:113)+100</f>
        <v>99</v>
      </c>
      <c r="G37" s="2613" t="s">
        <v>3106</v>
      </c>
      <c r="H37" s="435">
        <f>SUMIF(112:112,G37,113:113)-SUMIF(112:112,C37,113:113)+100</f>
        <v>99</v>
      </c>
      <c r="I37" s="2613" t="s">
        <v>3106</v>
      </c>
      <c r="J37" s="435">
        <f>SUMIF(112:112,I37,113:113)-SUMIF(112:112,C37,113:113)+100</f>
        <v>99</v>
      </c>
      <c r="K37" s="612">
        <v>1</v>
      </c>
      <c r="L37" s="1132"/>
      <c r="M37" s="1133"/>
      <c r="N37" s="1133"/>
      <c r="O37" s="1133"/>
      <c r="P37" s="3523"/>
      <c r="Q37" s="1796" t="str">
        <f t="shared" si="11"/>
        <v>市政基础设施</v>
      </c>
      <c r="R37" s="768" t="s">
        <v>17</v>
      </c>
      <c r="S37" s="769">
        <f t="shared" si="12"/>
        <v>99</v>
      </c>
      <c r="T37" s="768" t="s">
        <v>17</v>
      </c>
      <c r="U37" s="769">
        <f t="shared" si="13"/>
        <v>99</v>
      </c>
      <c r="V37" s="768" t="s">
        <v>17</v>
      </c>
      <c r="W37" s="769">
        <f t="shared" si="14"/>
        <v>99</v>
      </c>
      <c r="X37" s="770"/>
      <c r="Y37" s="3525"/>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3108</v>
      </c>
      <c r="D38" s="435">
        <v>100</v>
      </c>
      <c r="E38" s="2613" t="s">
        <v>3108</v>
      </c>
      <c r="F38" s="461">
        <f>SUMIF(114:114,E38,115:115)-SUMIF(114:114,C38,115:115)+100</f>
        <v>100</v>
      </c>
      <c r="G38" s="2613" t="s">
        <v>3110</v>
      </c>
      <c r="H38" s="435">
        <f>SUMIF(114:114,G38,115:115)-SUMIF(114:114,C38,115:115)+100</f>
        <v>98</v>
      </c>
      <c r="I38" s="2613" t="s">
        <v>3110</v>
      </c>
      <c r="J38" s="435">
        <f>SUMIF(114:114,I38,115:115)-SUMIF(114:114,C38,115:115)+100</f>
        <v>98</v>
      </c>
      <c r="K38" s="612">
        <v>2</v>
      </c>
      <c r="L38" s="1140"/>
      <c r="M38" s="1131"/>
      <c r="N38" s="1131"/>
      <c r="O38" s="1131"/>
      <c r="P38" s="3523" t="s">
        <v>2550</v>
      </c>
      <c r="Q38" s="1811" t="str">
        <f t="shared" si="11"/>
        <v>业态</v>
      </c>
      <c r="R38" s="772" t="s">
        <v>17</v>
      </c>
      <c r="S38" s="773">
        <f t="shared" si="12"/>
        <v>100</v>
      </c>
      <c r="T38" s="772" t="s">
        <v>17</v>
      </c>
      <c r="U38" s="773">
        <f t="shared" si="13"/>
        <v>98</v>
      </c>
      <c r="V38" s="772" t="s">
        <v>17</v>
      </c>
      <c r="W38" s="773">
        <f t="shared" si="14"/>
        <v>98</v>
      </c>
      <c r="X38" s="1814"/>
      <c r="Y38" s="3525" t="s">
        <v>2550</v>
      </c>
      <c r="Z38" s="1815" t="str">
        <f t="shared" si="15"/>
        <v>业态</v>
      </c>
      <c r="AA38" s="1812">
        <f t="shared" si="3"/>
        <v>1</v>
      </c>
      <c r="AB38" s="1812">
        <f t="shared" si="4"/>
        <v>1.0204081632653061</v>
      </c>
      <c r="AC38" s="1812">
        <f t="shared" si="5"/>
        <v>1.0204081632653061</v>
      </c>
    </row>
    <row r="39" spans="1:29" ht="15">
      <c r="A39" s="472"/>
      <c r="B39" s="422" t="s">
        <v>2649</v>
      </c>
      <c r="C39" s="2613" t="s">
        <v>3112</v>
      </c>
      <c r="D39" s="435">
        <v>100</v>
      </c>
      <c r="E39" s="2613" t="s">
        <v>3112</v>
      </c>
      <c r="F39" s="461">
        <f>SUMIF(116:116,E39,117:117)-SUMIF(116:116,C39,117:117)+100</f>
        <v>100</v>
      </c>
      <c r="G39" s="2613" t="s">
        <v>3112</v>
      </c>
      <c r="H39" s="435">
        <f>SUMIF(116:116,G39,117:117)-SUMIF(116:116,C39,117:117)+100</f>
        <v>100</v>
      </c>
      <c r="I39" s="2613" t="s">
        <v>3112</v>
      </c>
      <c r="J39" s="435">
        <f>SUMIF(116:116,I39,117:117)-SUMIF(116:116,C39,117:117)+100</f>
        <v>100</v>
      </c>
      <c r="K39" s="612">
        <v>2</v>
      </c>
      <c r="L39" s="1140"/>
      <c r="M39" s="1131"/>
      <c r="N39" s="1131"/>
      <c r="O39" s="1131"/>
      <c r="P39" s="3523"/>
      <c r="Q39" s="1811" t="str">
        <f t="shared" si="11"/>
        <v>层高</v>
      </c>
      <c r="R39" s="772" t="s">
        <v>17</v>
      </c>
      <c r="S39" s="773">
        <f t="shared" si="12"/>
        <v>100</v>
      </c>
      <c r="T39" s="772" t="s">
        <v>17</v>
      </c>
      <c r="U39" s="773">
        <f t="shared" si="13"/>
        <v>100</v>
      </c>
      <c r="V39" s="772" t="s">
        <v>17</v>
      </c>
      <c r="W39" s="773">
        <f t="shared" si="14"/>
        <v>100</v>
      </c>
      <c r="X39" s="1814"/>
      <c r="Y39" s="3525"/>
      <c r="Z39" s="1815" t="str">
        <f t="shared" si="15"/>
        <v>层高</v>
      </c>
      <c r="AA39" s="1812">
        <f t="shared" si="3"/>
        <v>1</v>
      </c>
      <c r="AB39" s="1812">
        <f t="shared" si="4"/>
        <v>1</v>
      </c>
      <c r="AC39" s="1812">
        <f t="shared" si="5"/>
        <v>1</v>
      </c>
    </row>
    <row r="40" spans="1:29" ht="15" hidden="1">
      <c r="A40" s="472"/>
      <c r="B40" s="422" t="s">
        <v>2650</v>
      </c>
      <c r="C40" s="2946" t="s">
        <v>3119</v>
      </c>
      <c r="D40" s="2941">
        <v>100</v>
      </c>
      <c r="E40" s="2947" t="str">
        <f>F118</f>
        <v>200-500</v>
      </c>
      <c r="F40" s="2942">
        <f>SUMIF(118:118,E40,119:119)-SUMIF(118:118,C40,119:119)+100</f>
        <v>100</v>
      </c>
      <c r="G40" s="2947" t="str">
        <f>C118</f>
        <v>0-50</v>
      </c>
      <c r="H40" s="2941">
        <f>SUMIF(118:118,G40,119:119)-SUMIF(118:118,C40,119:119)+100</f>
        <v>100</v>
      </c>
      <c r="I40" s="2947" t="str">
        <f>E118</f>
        <v>100-200</v>
      </c>
      <c r="J40" s="2941">
        <f>SUMIF(118:118,I40,119:119)-SUMIF(118:118,C40,119:119)+100</f>
        <v>100</v>
      </c>
      <c r="K40" s="613"/>
      <c r="L40" s="1140"/>
      <c r="M40" s="1131"/>
      <c r="N40" s="1131"/>
      <c r="O40" s="1131"/>
      <c r="P40" s="3523"/>
      <c r="Q40" s="1811" t="str">
        <f t="shared" si="11"/>
        <v>单套建筑面积</v>
      </c>
      <c r="R40" s="772" t="s">
        <v>17</v>
      </c>
      <c r="S40" s="773">
        <f t="shared" si="12"/>
        <v>100</v>
      </c>
      <c r="T40" s="772" t="s">
        <v>17</v>
      </c>
      <c r="U40" s="773">
        <f t="shared" si="13"/>
        <v>100</v>
      </c>
      <c r="V40" s="772" t="s">
        <v>17</v>
      </c>
      <c r="W40" s="773">
        <f t="shared" si="14"/>
        <v>100</v>
      </c>
      <c r="X40" s="1814"/>
      <c r="Y40" s="3525"/>
      <c r="Z40" s="1815" t="str">
        <f t="shared" si="15"/>
        <v>单套建筑面积</v>
      </c>
      <c r="AA40" s="1812">
        <f t="shared" si="3"/>
        <v>1</v>
      </c>
      <c r="AB40" s="1812">
        <f t="shared" si="4"/>
        <v>1</v>
      </c>
      <c r="AC40" s="1812">
        <f t="shared" si="5"/>
        <v>1</v>
      </c>
    </row>
    <row r="41" spans="1:29" s="471" customFormat="1" ht="15" hidden="1">
      <c r="A41" s="468"/>
      <c r="B41" s="1813" t="s">
        <v>2651</v>
      </c>
      <c r="C41" s="616" t="s">
        <v>3120</v>
      </c>
      <c r="D41" s="435">
        <v>100</v>
      </c>
      <c r="E41" s="616" t="s">
        <v>3120</v>
      </c>
      <c r="F41" s="461">
        <f>SUMIF(120:120,E41,121:121)-SUMIF(120:120,C41,121:121)+100</f>
        <v>100</v>
      </c>
      <c r="G41" s="616" t="s">
        <v>3120</v>
      </c>
      <c r="H41" s="435">
        <f>SUMIF(120:120,G41,121:121)-SUMIF(120:120,C41,121:121)+100</f>
        <v>100</v>
      </c>
      <c r="I41" s="616" t="s">
        <v>3120</v>
      </c>
      <c r="J41" s="435">
        <f>SUMIF(120:120,I41,121:121)-SUMIF(120:120,C41,121:121)+100</f>
        <v>100</v>
      </c>
      <c r="K41" s="612">
        <v>2</v>
      </c>
      <c r="L41" s="1138"/>
      <c r="M41" s="1141"/>
      <c r="N41" s="1141"/>
      <c r="O41" s="1141"/>
      <c r="P41" s="3523"/>
      <c r="Q41" s="774" t="str">
        <f t="shared" si="11"/>
        <v>进深比</v>
      </c>
      <c r="R41" s="775" t="s">
        <v>17</v>
      </c>
      <c r="S41" s="776">
        <f t="shared" si="12"/>
        <v>100</v>
      </c>
      <c r="T41" s="775" t="s">
        <v>17</v>
      </c>
      <c r="U41" s="776">
        <f t="shared" si="13"/>
        <v>100</v>
      </c>
      <c r="V41" s="775" t="s">
        <v>17</v>
      </c>
      <c r="W41" s="776">
        <f t="shared" si="14"/>
        <v>100</v>
      </c>
      <c r="X41" s="777"/>
      <c r="Y41" s="3525"/>
      <c r="Z41" s="778" t="str">
        <f t="shared" si="15"/>
        <v>进深比</v>
      </c>
      <c r="AA41" s="1812">
        <f t="shared" si="3"/>
        <v>1</v>
      </c>
      <c r="AB41" s="1812">
        <f t="shared" si="4"/>
        <v>1</v>
      </c>
      <c r="AC41" s="1812">
        <f t="shared" si="5"/>
        <v>1</v>
      </c>
    </row>
    <row r="42" spans="1:29" ht="15">
      <c r="A42" s="472"/>
      <c r="B42" s="422" t="s">
        <v>2652</v>
      </c>
      <c r="C42" s="2613" t="s">
        <v>3100</v>
      </c>
      <c r="D42" s="435">
        <v>100</v>
      </c>
      <c r="E42" s="2613" t="s">
        <v>3100</v>
      </c>
      <c r="F42" s="461">
        <f>SUMIF(122:122,E42,123:123)-SUMIF(122:122,C42,123:123)+100</f>
        <v>100</v>
      </c>
      <c r="G42" s="2613" t="s">
        <v>3063</v>
      </c>
      <c r="H42" s="435">
        <f>SUMIF(122:122,G42,123:123)-SUMIF(122:122,C42,123:123)+100</f>
        <v>97</v>
      </c>
      <c r="I42" s="2613" t="s">
        <v>3910</v>
      </c>
      <c r="J42" s="435">
        <f>SUMIF(122:122,I42,123:123)-SUMIF(122:122,C42,123:123)+100</f>
        <v>99</v>
      </c>
      <c r="K42" s="612">
        <v>1</v>
      </c>
      <c r="L42" s="1140"/>
      <c r="M42" s="1131"/>
      <c r="N42" s="1131"/>
      <c r="O42" s="1131"/>
      <c r="P42" s="3523"/>
      <c r="Q42" s="1811" t="str">
        <f t="shared" si="11"/>
        <v>内部装修</v>
      </c>
      <c r="R42" s="772" t="s">
        <v>17</v>
      </c>
      <c r="S42" s="773">
        <f t="shared" si="12"/>
        <v>100</v>
      </c>
      <c r="T42" s="772" t="s">
        <v>17</v>
      </c>
      <c r="U42" s="773">
        <f t="shared" si="13"/>
        <v>97</v>
      </c>
      <c r="V42" s="772" t="s">
        <v>17</v>
      </c>
      <c r="W42" s="773">
        <f t="shared" si="14"/>
        <v>99</v>
      </c>
      <c r="X42" s="1814"/>
      <c r="Y42" s="3525"/>
      <c r="Z42" s="1815" t="str">
        <f t="shared" si="15"/>
        <v>内部装修</v>
      </c>
      <c r="AA42" s="1812">
        <f t="shared" si="3"/>
        <v>1</v>
      </c>
      <c r="AB42" s="1812">
        <f t="shared" si="4"/>
        <v>1.0309278350515463</v>
      </c>
      <c r="AC42" s="1812">
        <f t="shared" si="5"/>
        <v>1.0101010101010102</v>
      </c>
    </row>
    <row r="43" spans="1:29" ht="15.75" thickBot="1">
      <c r="A43" s="472"/>
      <c r="B43" s="422" t="s">
        <v>2561</v>
      </c>
      <c r="C43" s="2613" t="s">
        <v>3049</v>
      </c>
      <c r="D43" s="435">
        <v>100</v>
      </c>
      <c r="E43" s="2613" t="s">
        <v>3049</v>
      </c>
      <c r="F43" s="461">
        <f>SUMIF(124:124,E43,125:125)-SUMIF(124:124,C43,125:125)+100</f>
        <v>100</v>
      </c>
      <c r="G43" s="2613" t="s">
        <v>3049</v>
      </c>
      <c r="H43" s="435">
        <f>SUMIF(124:124,G43,125:125)-SUMIF(124:124,C43,125:125)+100</f>
        <v>100</v>
      </c>
      <c r="I43" s="2613" t="s">
        <v>3049</v>
      </c>
      <c r="J43" s="435">
        <f>SUMIF(124:124,I43,125:125)-SUMIF(124:124,C43,125:125)+100</f>
        <v>100</v>
      </c>
      <c r="K43" s="612">
        <v>2</v>
      </c>
      <c r="L43" s="1140"/>
      <c r="M43" s="1131"/>
      <c r="N43" s="1131"/>
      <c r="O43" s="1131"/>
      <c r="P43" s="3523"/>
      <c r="Q43" s="1811" t="str">
        <f t="shared" si="11"/>
        <v>内部装修维护情况</v>
      </c>
      <c r="R43" s="772" t="s">
        <v>17</v>
      </c>
      <c r="S43" s="773">
        <f t="shared" si="12"/>
        <v>100</v>
      </c>
      <c r="T43" s="772" t="s">
        <v>17</v>
      </c>
      <c r="U43" s="773">
        <f t="shared" si="13"/>
        <v>100</v>
      </c>
      <c r="V43" s="772" t="s">
        <v>17</v>
      </c>
      <c r="W43" s="773">
        <f t="shared" si="14"/>
        <v>100</v>
      </c>
      <c r="X43" s="1814"/>
      <c r="Y43" s="3525"/>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523"/>
      <c r="Q44" s="1796">
        <f t="shared" si="11"/>
        <v>111</v>
      </c>
      <c r="R44" s="768" t="s">
        <v>17</v>
      </c>
      <c r="S44" s="769">
        <f t="shared" si="12"/>
        <v>100</v>
      </c>
      <c r="T44" s="768" t="s">
        <v>17</v>
      </c>
      <c r="U44" s="769">
        <f t="shared" si="13"/>
        <v>100</v>
      </c>
      <c r="V44" s="768" t="s">
        <v>17</v>
      </c>
      <c r="W44" s="769">
        <f t="shared" si="14"/>
        <v>100</v>
      </c>
      <c r="X44" s="770"/>
      <c r="Y44" s="3525"/>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523"/>
      <c r="Q45" s="1811">
        <f t="shared" si="11"/>
        <v>111</v>
      </c>
      <c r="R45" s="772" t="s">
        <v>17</v>
      </c>
      <c r="S45" s="773">
        <f t="shared" si="12"/>
        <v>100</v>
      </c>
      <c r="T45" s="772" t="s">
        <v>17</v>
      </c>
      <c r="U45" s="773">
        <f t="shared" si="13"/>
        <v>100</v>
      </c>
      <c r="V45" s="772" t="s">
        <v>17</v>
      </c>
      <c r="W45" s="773">
        <f t="shared" si="14"/>
        <v>100</v>
      </c>
      <c r="X45" s="1814"/>
      <c r="Y45" s="3525"/>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524"/>
      <c r="Q46" s="1811">
        <f t="shared" si="11"/>
        <v>111</v>
      </c>
      <c r="R46" s="772" t="s">
        <v>17</v>
      </c>
      <c r="S46" s="773">
        <f t="shared" si="12"/>
        <v>100</v>
      </c>
      <c r="T46" s="772" t="s">
        <v>17</v>
      </c>
      <c r="U46" s="773">
        <f t="shared" si="13"/>
        <v>100</v>
      </c>
      <c r="V46" s="772" t="s">
        <v>17</v>
      </c>
      <c r="W46" s="773">
        <f t="shared" si="14"/>
        <v>100</v>
      </c>
      <c r="X46" s="1814"/>
      <c r="Y46" s="3526"/>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518" t="str">
        <f>A47</f>
        <v>成交单价（元/平方米）</v>
      </c>
      <c r="Q47" s="3518"/>
      <c r="R47" s="3513">
        <f>E47</f>
        <v>44531</v>
      </c>
      <c r="S47" s="3513"/>
      <c r="T47" s="3513">
        <f>G47</f>
        <v>43043</v>
      </c>
      <c r="U47" s="3513"/>
      <c r="V47" s="3513">
        <f>I47</f>
        <v>39285</v>
      </c>
      <c r="W47" s="3513"/>
      <c r="X47" s="757"/>
      <c r="Y47" s="779"/>
      <c r="Z47" s="757"/>
      <c r="AA47" s="757"/>
      <c r="AB47" s="757"/>
      <c r="AC47" s="757"/>
    </row>
    <row r="48" spans="1:29" ht="15.75" thickBot="1">
      <c r="A48" s="486" t="s">
        <v>2653</v>
      </c>
      <c r="B48" s="487"/>
      <c r="C48" s="1413">
        <f>R49</f>
        <v>47260</v>
      </c>
      <c r="D48" s="1414"/>
      <c r="E48" s="1415">
        <f>R48</f>
        <v>44920</v>
      </c>
      <c r="F48" s="1415"/>
      <c r="G48" s="1413">
        <f>T48</f>
        <v>46476</v>
      </c>
      <c r="H48" s="1414"/>
      <c r="I48" s="1415">
        <f>V48</f>
        <v>50383</v>
      </c>
      <c r="J48" s="1414"/>
      <c r="K48" s="782"/>
      <c r="L48" s="1143"/>
      <c r="M48" s="1144"/>
      <c r="N48" s="1131"/>
      <c r="O48" s="1144"/>
      <c r="P48" s="3518" t="str">
        <f>A48</f>
        <v>比较价值（元/平方米）</v>
      </c>
      <c r="Q48" s="3518"/>
      <c r="R48" s="3519">
        <f>IF(F1="售价",ROUND(PRODUCT(R47,AA7:AA46),0),ROUND(PRODUCT(R47,AA7:AA46),1))</f>
        <v>44920</v>
      </c>
      <c r="S48" s="3519"/>
      <c r="T48" s="3519">
        <f>IF(F1="售价",ROUND(PRODUCT(T47,AB7:AB46),0),ROUND(PRODUCT(T47,AB7:AB46),1))</f>
        <v>46476</v>
      </c>
      <c r="U48" s="3519"/>
      <c r="V48" s="3519">
        <f>IF(F1="售价",ROUND(PRODUCT(V47,AC7:AC46),0),ROUND(PRODUCT(V47,AC7:AC46),1))</f>
        <v>50383</v>
      </c>
      <c r="W48" s="3519"/>
      <c r="X48" s="757"/>
      <c r="Y48" s="757"/>
      <c r="Z48" s="757"/>
      <c r="AA48" s="757"/>
      <c r="AB48" s="757"/>
      <c r="AC48" s="757"/>
    </row>
    <row r="49" spans="1:29" ht="15.75" thickBot="1">
      <c r="A49" s="492" t="s">
        <v>2654</v>
      </c>
      <c r="B49" s="493"/>
      <c r="C49" s="1417">
        <f>R49</f>
        <v>47260</v>
      </c>
      <c r="D49" s="1417"/>
      <c r="E49" s="1417"/>
      <c r="F49" s="1417"/>
      <c r="G49" s="1417"/>
      <c r="H49" s="1417"/>
      <c r="I49" s="1417"/>
      <c r="J49" s="1417"/>
      <c r="K49" s="783"/>
      <c r="L49" s="1143"/>
      <c r="M49" s="1144"/>
      <c r="N49" s="1131"/>
      <c r="O49" s="1144"/>
      <c r="P49" s="3515" t="str">
        <f>A49</f>
        <v>估价对象XX用房的比较价值（楼面单价，元/平方米）</v>
      </c>
      <c r="Q49" s="3516"/>
      <c r="R49" s="3517">
        <f>IF(F1="售价",ROUND(AVERAGE(R48:V48),0),ROUND(AVERAGE(R48:V48),1))</f>
        <v>47260</v>
      </c>
      <c r="S49" s="3517"/>
      <c r="T49" s="3517"/>
      <c r="U49" s="3517"/>
      <c r="V49" s="3517"/>
      <c r="W49" s="3517"/>
      <c r="X49" s="757"/>
      <c r="Y49" s="757"/>
      <c r="Z49" s="757"/>
      <c r="AA49" s="757"/>
      <c r="AB49" s="757"/>
      <c r="AC49" s="757"/>
    </row>
    <row r="50" spans="1:29">
      <c r="A50" s="1144"/>
      <c r="B50" s="1144"/>
      <c r="C50" s="1144">
        <f>ROUND(C49*面积分摊表!K61,0)</f>
        <v>15123</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8.7354876378253898E-3</v>
      </c>
      <c r="F52" s="500" t="str">
        <f>IF(OR(E52&gt;=0.3,E52&lt;=-0.3),"超过30%","")</f>
        <v/>
      </c>
      <c r="G52" s="499">
        <f>IF(G47&lt;G48,G48/G47-1,G47/G48-1)</f>
        <v>7.9757451850475114E-2</v>
      </c>
      <c r="H52" s="500" t="str">
        <f>IF(OR(G52&gt;=0.3,G52&lt;=-0.3),"超过30%","")</f>
        <v/>
      </c>
      <c r="I52" s="499">
        <f>IF(I47&lt;I48,I48/I47-1,I47/I48-1)</f>
        <v>0.2824996818123966</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3.4639358860195868E-2</v>
      </c>
      <c r="F53" s="500" t="str">
        <f>IF(OR(E53&gt;=0.2,E53&lt;=-0.2),"超过20%","")</f>
        <v/>
      </c>
      <c r="G53" s="499">
        <f>IF(G48&lt;I48,I48/G48-1,G48/I48-1)</f>
        <v>8.4064893708580835E-2</v>
      </c>
      <c r="H53" s="500" t="str">
        <f>IF(OR(G53&gt;=0.2,G53&lt;=-0.2),"超过20%","")</f>
        <v/>
      </c>
      <c r="I53" s="499">
        <f>IF(I48&lt;E48,E48/I48-1,I48/E48-1)</f>
        <v>0.12161620658949235</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2958" t="s">
        <v>3154</v>
      </c>
      <c r="D86" s="2958" t="s">
        <v>3155</v>
      </c>
      <c r="E86" s="554" t="s">
        <v>3157</v>
      </c>
      <c r="F86" s="2958" t="s">
        <v>4282</v>
      </c>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4" t="s">
        <v>2582</v>
      </c>
      <c r="D88" s="2934" t="s">
        <v>2583</v>
      </c>
      <c r="E88" s="2934" t="s">
        <v>2584</v>
      </c>
      <c r="F88" s="2934" t="s">
        <v>2585</v>
      </c>
      <c r="G88" s="2934"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4" t="s">
        <v>2582</v>
      </c>
      <c r="D90" s="2934" t="s">
        <v>2583</v>
      </c>
      <c r="E90" s="2934" t="s">
        <v>2584</v>
      </c>
      <c r="F90" s="2934" t="s">
        <v>2585</v>
      </c>
      <c r="G90" s="2934"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5" t="s">
        <v>3093</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3094</v>
      </c>
      <c r="D100" s="530" t="s">
        <v>3096</v>
      </c>
      <c r="E100" s="3153" t="s">
        <v>3908</v>
      </c>
      <c r="F100" s="530" t="s">
        <v>3098</v>
      </c>
      <c r="G100" s="3153" t="s">
        <v>3902</v>
      </c>
      <c r="H100" s="530"/>
      <c r="I100" s="3153" t="s">
        <v>3907</v>
      </c>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2599</v>
      </c>
      <c r="C105" s="554" t="s">
        <v>3099</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2601</v>
      </c>
      <c r="C107" s="554" t="s">
        <v>3101</v>
      </c>
      <c r="D107" s="554" t="s">
        <v>3102</v>
      </c>
      <c r="E107" s="554" t="s">
        <v>3103</v>
      </c>
      <c r="F107" s="583" t="s">
        <v>3104</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2603</v>
      </c>
      <c r="C112" s="554" t="s">
        <v>3105</v>
      </c>
      <c r="D112" s="554" t="s">
        <v>3107</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2666</v>
      </c>
      <c r="C114" s="554" t="s">
        <v>3109</v>
      </c>
      <c r="D114" s="554" t="s">
        <v>3111</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2667</v>
      </c>
      <c r="C116" s="554" t="s">
        <v>3113</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t="s">
        <v>3114</v>
      </c>
      <c r="D118" s="625" t="s">
        <v>3115</v>
      </c>
      <c r="E118" s="625" t="s">
        <v>3116</v>
      </c>
      <c r="F118" s="625" t="s">
        <v>3117</v>
      </c>
      <c r="G118" s="625" t="s">
        <v>3118</v>
      </c>
      <c r="H118" s="555" t="s">
        <v>3119</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2669</v>
      </c>
      <c r="C120" s="583" t="s">
        <v>3121</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2605</v>
      </c>
      <c r="C122" s="554" t="s">
        <v>3101</v>
      </c>
      <c r="D122" s="554" t="s">
        <v>3102</v>
      </c>
      <c r="E122" s="554" t="s">
        <v>3103</v>
      </c>
      <c r="F122" s="583" t="s">
        <v>3104</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530" t="s">
        <v>2992</v>
      </c>
      <c r="D1" s="3531"/>
      <c r="E1" s="3531"/>
      <c r="F1" s="3531"/>
      <c r="G1" s="3531"/>
      <c r="H1" s="3531"/>
      <c r="I1" s="3531"/>
      <c r="J1" s="3531"/>
      <c r="K1" s="3531"/>
      <c r="L1" s="3531"/>
      <c r="M1" s="3531"/>
      <c r="N1" s="3531"/>
      <c r="O1" s="3531"/>
      <c r="P1" s="3531"/>
      <c r="Q1" s="3531"/>
      <c r="R1" s="3531"/>
      <c r="S1" s="3532"/>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3128</v>
      </c>
      <c r="C13" s="1216" t="s">
        <v>3130</v>
      </c>
      <c r="D13" s="1216" t="s">
        <v>3131</v>
      </c>
      <c r="E13" s="1216" t="s">
        <v>3133</v>
      </c>
      <c r="F13" s="1216" t="s">
        <v>3135</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140253</v>
      </c>
      <c r="C20" s="168"/>
      <c r="D20" s="2917" t="s">
        <v>70</v>
      </c>
      <c r="E20" s="1794"/>
      <c r="F20" s="1204" t="e">
        <f ca="1">SUMIF(INDIRECT("'"&amp;H20&amp;"'"&amp;"!A:A"),"承租人权益价值",INDIRECT("'"&amp;H20&amp;"'"&amp;"!c:c"))</f>
        <v>#REF!</v>
      </c>
      <c r="G20" s="1204" t="s">
        <v>3000</v>
      </c>
      <c r="H20" s="2918" t="s">
        <v>3136</v>
      </c>
      <c r="I20" s="168"/>
      <c r="J20" s="168"/>
      <c r="K20" s="168"/>
      <c r="L20" s="168"/>
      <c r="M20" s="168"/>
      <c r="N20" s="168"/>
      <c r="O20" s="168"/>
      <c r="P20" s="168"/>
      <c r="Q20" s="168"/>
      <c r="R20" s="786"/>
      <c r="S20" s="137"/>
    </row>
    <row r="21" spans="1:45" ht="15.75">
      <c r="A21" s="713" t="s">
        <v>3001</v>
      </c>
      <c r="B21" s="338">
        <f>R22</f>
        <v>33082</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42395.67</v>
      </c>
      <c r="C22" s="3395" t="s">
        <v>33</v>
      </c>
      <c r="D22" s="3396"/>
      <c r="E22" s="3396"/>
      <c r="F22" s="3396"/>
      <c r="G22" s="3396"/>
      <c r="H22" s="3396"/>
      <c r="I22" s="3396"/>
      <c r="J22" s="3396"/>
      <c r="K22" s="3396"/>
      <c r="L22" s="3396"/>
      <c r="M22" s="3396"/>
      <c r="N22" s="3396"/>
      <c r="O22" s="3396"/>
      <c r="P22" s="3396"/>
      <c r="Q22" s="3529"/>
      <c r="R22" s="714">
        <f>ROUND(S22*10000/B22,0)</f>
        <v>33082</v>
      </c>
      <c r="S22" s="23">
        <f>SUM(S24:S10000)</f>
        <v>140253</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14131.89</v>
      </c>
      <c r="C24" s="717">
        <v>1</v>
      </c>
      <c r="D24" s="718"/>
      <c r="E24" s="717">
        <v>1</v>
      </c>
      <c r="F24" s="718"/>
      <c r="G24" s="717">
        <v>1</v>
      </c>
      <c r="H24" s="718"/>
      <c r="I24" s="717">
        <v>1</v>
      </c>
      <c r="J24" s="718" t="s">
        <v>3063</v>
      </c>
      <c r="K24" s="717">
        <v>1</v>
      </c>
      <c r="L24" s="718" t="s">
        <v>3129</v>
      </c>
      <c r="M24" s="717">
        <v>1</v>
      </c>
      <c r="N24" s="718"/>
      <c r="O24" s="717">
        <v>1</v>
      </c>
      <c r="P24" s="718"/>
      <c r="Q24" s="717">
        <v>1</v>
      </c>
      <c r="R24" s="719">
        <f>'比较法-商业'!C49</f>
        <v>47260</v>
      </c>
      <c r="S24" s="717">
        <f t="shared" ref="S24:S54" si="11">ROUND(R24*B24/10000,0)</f>
        <v>66787</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14131.89</v>
      </c>
      <c r="C25" s="23">
        <f>IF(B25="",1,(LOOKUP(B25,$3:$3,$4:$4)-LOOKUP($B$24,$3:$3,$4:$4)+100)/100)</f>
        <v>1</v>
      </c>
      <c r="D25" s="718"/>
      <c r="E25" s="23">
        <f>(SUMIF($5:$5,D25,$6:$6)-SUMIF($5:$5,$D$24,$6:$6)+100)/100</f>
        <v>1</v>
      </c>
      <c r="F25" s="718"/>
      <c r="G25" s="23">
        <f>(SUMIF($7:$7,F25,$8:$8)-SUMIF($7:$7,$F$24,$8:$8)+100)/100</f>
        <v>1</v>
      </c>
      <c r="H25" s="718"/>
      <c r="I25" s="23">
        <f>(SUMIF($9:$9,H25,$10:$10)-SUMIF($9:$9,$H$24,$10:$10)+100)/100</f>
        <v>1</v>
      </c>
      <c r="J25" s="718" t="s">
        <v>3063</v>
      </c>
      <c r="K25" s="23">
        <f>(SUMIF($11:$11,J25,$12:$12)-SUMIF($11:$11,$J$24,$12:$12)+100)/100</f>
        <v>1</v>
      </c>
      <c r="L25" s="718" t="s">
        <v>3132</v>
      </c>
      <c r="M25" s="23">
        <f>(SUMIF($13:$13,L25,$14:$14)-SUMIF($13:$13,$L$24,$14:$14)+100)/100</f>
        <v>0.6</v>
      </c>
      <c r="N25" s="718"/>
      <c r="O25" s="23">
        <f>(SUMIF($15:$15,N25,$16:$16)-SUMIF($15:$15,$N$24,$16:$16)+100)/100</f>
        <v>1</v>
      </c>
      <c r="P25" s="718"/>
      <c r="Q25" s="23">
        <f>(SUMIF($17:$17,P25,$18:$18)-SUMIF($17:$17,$P$24,$18:$18)+100)/100</f>
        <v>1</v>
      </c>
      <c r="R25" s="714">
        <f>IF(B25="",0,ROUND($R$24*C25*E25*G25*I25*K25*M25*O25*Q25,0))</f>
        <v>28356</v>
      </c>
      <c r="S25" s="361">
        <f t="shared" si="11"/>
        <v>40072</v>
      </c>
    </row>
    <row r="26" spans="1:45">
      <c r="A26" s="159"/>
      <c r="B26" s="58">
        <f>'数据-汇总表'!E3-典型户型修正!B24-典型户型修正!B25</f>
        <v>14131.89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3063</v>
      </c>
      <c r="K26" s="23">
        <f t="shared" ref="K26:K89" si="16">(SUMIF($11:$11,J26,$12:$12)-SUMIF($11:$11,$J$24,$12:$12)+100)/100</f>
        <v>1</v>
      </c>
      <c r="L26" s="718" t="s">
        <v>3134</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23630</v>
      </c>
      <c r="S26" s="361">
        <f t="shared" si="11"/>
        <v>33394</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3" sqref="I33"/>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23485</v>
      </c>
      <c r="C2" s="2567" t="s">
        <v>2504</v>
      </c>
      <c r="D2" s="2568" t="s">
        <v>2505</v>
      </c>
      <c r="E2" s="2569">
        <f>SUM(E6:E13)</f>
        <v>42395.67</v>
      </c>
    </row>
    <row r="3" spans="1:6" ht="15.75">
      <c r="A3" s="2565" t="s">
        <v>1396</v>
      </c>
      <c r="B3" s="2566">
        <f ca="1">ROUND(B2*10000/E2,0)</f>
        <v>5539</v>
      </c>
      <c r="C3" s="2567" t="s">
        <v>2512</v>
      </c>
      <c r="D3" s="2570"/>
      <c r="E3" s="2571"/>
    </row>
    <row r="4" spans="1:6" ht="15.75">
      <c r="A4" s="2572"/>
      <c r="B4" s="2570"/>
      <c r="C4" s="2570"/>
      <c r="D4" s="2570"/>
      <c r="E4" s="2571"/>
    </row>
    <row r="5" spans="1:6" ht="15">
      <c r="A5" s="2573" t="s">
        <v>2506</v>
      </c>
      <c r="B5" s="3533" t="s">
        <v>2507</v>
      </c>
      <c r="C5" s="3533"/>
      <c r="D5" s="2574"/>
      <c r="E5" s="2575" t="s">
        <v>2508</v>
      </c>
      <c r="F5" s="2576" t="s">
        <v>2509</v>
      </c>
    </row>
    <row r="6" spans="1:6">
      <c r="A6" s="2577" t="str">
        <f>'数据-取费表'!AN6</f>
        <v>收益法-出租</v>
      </c>
      <c r="B6" s="2576">
        <f ca="1">IF(F6="是",'数据-取费表'!AO6,0)</f>
        <v>21744</v>
      </c>
      <c r="C6" s="2567" t="s">
        <v>2504</v>
      </c>
      <c r="D6" s="2570"/>
      <c r="E6" s="2578">
        <f>IF(OR(A6=0,F6="否"),0,'数据-取费表'!K6+'数据-取费表'!S6)</f>
        <v>39808.720000000001</v>
      </c>
      <c r="F6" s="2579" t="s">
        <v>2510</v>
      </c>
    </row>
    <row r="7" spans="1:6">
      <c r="A7" s="2577" t="str">
        <f>'数据-取费表'!AN7</f>
        <v>收益法-自用</v>
      </c>
      <c r="B7" s="2576">
        <f ca="1">IF(F7="是",'数据-取费表'!AO7,0)</f>
        <v>1741</v>
      </c>
      <c r="C7" s="2567" t="s">
        <v>2504</v>
      </c>
      <c r="D7" s="2570"/>
      <c r="E7" s="2578">
        <f>IF(OR(A7=0,F7="否"),0,'数据-取费表'!K7+'数据-取费表'!S7)</f>
        <v>2586.9499999999971</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I39" sqref="I39"/>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3148</v>
      </c>
      <c r="D1" s="1821" t="s">
        <v>70</v>
      </c>
      <c r="E1" s="1822" t="s">
        <v>1388</v>
      </c>
      <c r="F1" s="1283">
        <f ca="1">J53</f>
        <v>29.71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21744</v>
      </c>
      <c r="C2" s="1846" t="s">
        <v>1518</v>
      </c>
      <c r="D2" s="1846"/>
      <c r="E2" s="1847"/>
      <c r="F2" s="1848"/>
      <c r="G2" s="1849"/>
      <c r="H2" s="1841"/>
      <c r="I2" s="1841"/>
      <c r="J2" s="1841"/>
      <c r="K2" s="1842"/>
      <c r="L2" s="1841"/>
      <c r="M2" s="1841"/>
    </row>
    <row r="3" spans="1:37" ht="18" customHeight="1" thickBot="1">
      <c r="A3" s="1850" t="s">
        <v>1519</v>
      </c>
      <c r="B3" s="1851">
        <f ca="1">IF(ISERROR(B2*10000/F43),0,ROUND(B2*10000/F43,0))</f>
        <v>5462</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873</v>
      </c>
      <c r="D5" s="1823" t="s">
        <v>1403</v>
      </c>
      <c r="E5" s="1293"/>
      <c r="F5" s="1294"/>
      <c r="G5" s="1852"/>
      <c r="H5" s="344">
        <v>1</v>
      </c>
      <c r="I5" s="345" t="s">
        <v>1402</v>
      </c>
      <c r="J5" s="1292">
        <f ca="1">J6+J10+J12</f>
        <v>2488</v>
      </c>
      <c r="K5" s="1823" t="s">
        <v>1403</v>
      </c>
      <c r="L5" s="1293"/>
      <c r="M5" s="1294"/>
    </row>
    <row r="6" spans="1:37" ht="18" customHeight="1">
      <c r="A6" s="1291" t="s">
        <v>1035</v>
      </c>
      <c r="B6" s="3536" t="s">
        <v>1404</v>
      </c>
      <c r="C6" s="1296">
        <f ca="1">ROUND(F6*F8*F7*(1-F9)/10000,0)</f>
        <v>872</v>
      </c>
      <c r="D6" s="164" t="s">
        <v>3014</v>
      </c>
      <c r="E6" s="347" t="s">
        <v>1406</v>
      </c>
      <c r="F6" s="348">
        <f ca="1">INDIRECT("'数据-取费表'!u"&amp;$G$1)</f>
        <v>0.6</v>
      </c>
      <c r="G6" s="1852"/>
      <c r="H6" s="1291" t="s">
        <v>1035</v>
      </c>
      <c r="I6" s="3536" t="s">
        <v>1404</v>
      </c>
      <c r="J6" s="346">
        <f ca="1">ROUND(M6*M8*M7*(1-M9)/10000,0)</f>
        <v>2485</v>
      </c>
      <c r="K6" s="164" t="s">
        <v>3013</v>
      </c>
      <c r="L6" s="347" t="s">
        <v>1406</v>
      </c>
      <c r="M6" s="348">
        <f ca="1">INDIRECT("'数据-取费表'!z"&amp;$G$1)</f>
        <v>1.8</v>
      </c>
    </row>
    <row r="7" spans="1:37" ht="18" customHeight="1">
      <c r="A7" s="1295"/>
      <c r="B7" s="3537"/>
      <c r="C7" s="1297"/>
      <c r="D7" s="352"/>
      <c r="E7" s="1298" t="s">
        <v>1407</v>
      </c>
      <c r="F7" s="348">
        <f ca="1">IF(INDIRECT("'数据-取费表'!ah"&amp;$G$1)="",INDIRECT("'数据-取费表'!k"&amp;$G$1),INDIRECT("'数据-取费表'!ah"&amp;$G$1))</f>
        <v>39808.720000000001</v>
      </c>
      <c r="G7" s="1852"/>
      <c r="H7" s="349"/>
      <c r="I7" s="3537"/>
      <c r="J7" s="351"/>
      <c r="K7" s="352"/>
      <c r="L7" s="347" t="s">
        <v>1407</v>
      </c>
      <c r="M7" s="348">
        <f ca="1">F7</f>
        <v>39808.720000000001</v>
      </c>
    </row>
    <row r="8" spans="1:37" ht="18" customHeight="1">
      <c r="A8" s="349"/>
      <c r="B8" s="3537"/>
      <c r="C8" s="351"/>
      <c r="D8" s="352"/>
      <c r="E8" s="347" t="s">
        <v>1408</v>
      </c>
      <c r="F8" s="348">
        <f ca="1">INDIRECT("'数据-取费表'!ai"&amp;$G$1)</f>
        <v>365</v>
      </c>
      <c r="G8" s="1852"/>
      <c r="H8" s="349"/>
      <c r="I8" s="3537"/>
      <c r="J8" s="351"/>
      <c r="K8" s="352"/>
      <c r="L8" s="347" t="s">
        <v>1408</v>
      </c>
      <c r="M8" s="348">
        <f ca="1">INDIRECT("'数据-取费表'!ai"&amp;$G$1)</f>
        <v>365</v>
      </c>
    </row>
    <row r="9" spans="1:37" ht="18" customHeight="1">
      <c r="A9" s="349"/>
      <c r="B9" s="3538"/>
      <c r="C9" s="351"/>
      <c r="D9" s="352"/>
      <c r="E9" s="347" t="s">
        <v>1409</v>
      </c>
      <c r="F9" s="357">
        <f ca="1">INDIRECT("'数据-取费表'!w"&amp;$G$1)</f>
        <v>0</v>
      </c>
      <c r="G9" s="1852"/>
      <c r="H9" s="349"/>
      <c r="I9" s="3538"/>
      <c r="J9" s="351"/>
      <c r="K9" s="352"/>
      <c r="L9" s="358" t="s">
        <v>1409</v>
      </c>
      <c r="M9" s="359">
        <f ca="1">INDIRECT("'数据-取费表'!ab"&amp;$G$1)</f>
        <v>0.05</v>
      </c>
    </row>
    <row r="10" spans="1:37" ht="18" customHeight="1">
      <c r="A10" s="1291" t="s">
        <v>1039</v>
      </c>
      <c r="B10" s="1824" t="s">
        <v>1410</v>
      </c>
      <c r="C10" s="361">
        <f ca="1">ROUND(IF(F10="押一",F6*F8*F7/12*F11,IF(F10="押二",F6*F8*F7/12*2*F11,IF(F10="押三",F6*F8*F7/12*3*F11,C11*F11)))/10000,0)</f>
        <v>1</v>
      </c>
      <c r="D10" s="1825" t="s">
        <v>3015</v>
      </c>
      <c r="E10" s="358" t="s">
        <v>1412</v>
      </c>
      <c r="F10" s="1366" t="s">
        <v>3075</v>
      </c>
      <c r="G10" s="1852"/>
      <c r="H10" s="1291" t="s">
        <v>1039</v>
      </c>
      <c r="I10" s="1824" t="s">
        <v>1410</v>
      </c>
      <c r="J10" s="346">
        <f ca="1">ROUND(IF(M10="押一",M6*M8*M7/12*M11,IF(M10="押二",M6*M8*M7/12*2*M11,IF(M10="押三",M6*M8*M7/12*3*M11,J11*M11)))/10000,0)</f>
        <v>3</v>
      </c>
      <c r="K10" s="1825" t="s">
        <v>3016</v>
      </c>
      <c r="L10" s="358" t="s">
        <v>1412</v>
      </c>
      <c r="M10" s="1366" t="s">
        <v>3075</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22387</v>
      </c>
      <c r="D13" s="1331" t="s">
        <v>1417</v>
      </c>
      <c r="E13" s="1331" t="s">
        <v>1418</v>
      </c>
      <c r="F13" s="1332">
        <f ca="1">INDIRECT("'数据-取费表'!y"&amp;$G$1)</f>
        <v>0.93</v>
      </c>
      <c r="G13" s="1852"/>
      <c r="H13" s="1329">
        <v>2</v>
      </c>
      <c r="I13" s="1330" t="s">
        <v>1416</v>
      </c>
      <c r="J13" s="1290">
        <f ca="1">ROUND(J14*J15,0)</f>
        <v>18776</v>
      </c>
      <c r="K13" s="1337" t="s">
        <v>1417</v>
      </c>
      <c r="L13" s="1853"/>
      <c r="M13" s="1854"/>
    </row>
    <row r="14" spans="1:37" ht="18" customHeight="1">
      <c r="A14" s="1201" t="s">
        <v>1034</v>
      </c>
      <c r="B14" s="347" t="s">
        <v>1419</v>
      </c>
      <c r="C14" s="363">
        <f ca="1">INDIRECT("'数据-取费表'!m"&amp;$G$1)+INDIRECT("'数据-取费表'!t"&amp;$G$1)</f>
        <v>15923</v>
      </c>
      <c r="D14" s="1801" t="s">
        <v>1420</v>
      </c>
      <c r="E14" s="1795"/>
      <c r="F14" s="364"/>
      <c r="G14" s="1852"/>
      <c r="H14" s="1201" t="s">
        <v>1035</v>
      </c>
      <c r="I14" s="347" t="s">
        <v>1421</v>
      </c>
      <c r="J14" s="23">
        <f ca="1">C29</f>
        <v>24072</v>
      </c>
      <c r="K14" s="14"/>
      <c r="L14" s="980"/>
      <c r="M14" s="981"/>
    </row>
    <row r="15" spans="1:37" s="1859" customFormat="1" ht="18" customHeight="1" thickBot="1">
      <c r="A15" s="1201" t="s">
        <v>1036</v>
      </c>
      <c r="B15" s="347" t="s">
        <v>1422</v>
      </c>
      <c r="C15" s="23">
        <f ca="1">ROUND(C14*F15,0)</f>
        <v>478</v>
      </c>
      <c r="D15" s="365" t="s">
        <v>1423</v>
      </c>
      <c r="E15" s="365" t="s">
        <v>1424</v>
      </c>
      <c r="F15" s="366">
        <f>'数据-取费表'!B33</f>
        <v>0.03</v>
      </c>
      <c r="G15" s="1855"/>
      <c r="H15" s="1339" t="s">
        <v>1039</v>
      </c>
      <c r="I15" s="1340" t="s">
        <v>1418</v>
      </c>
      <c r="J15" s="1349">
        <f ca="1">INDIRECT("'数据-取费表'!ad"&amp;$G$1)</f>
        <v>0.78</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503</v>
      </c>
      <c r="K16" s="1337" t="s">
        <v>1427</v>
      </c>
      <c r="L16" s="1338"/>
      <c r="M16" s="1294"/>
    </row>
    <row r="17" spans="1:37" s="1859" customFormat="1" ht="18" customHeight="1">
      <c r="A17" s="1201" t="s">
        <v>1391</v>
      </c>
      <c r="B17" s="347" t="s">
        <v>1428</v>
      </c>
      <c r="C17" s="23">
        <f ca="1">ROUND(F17*(F43+INDIRECT("'数据-取费表'!S"&amp;$G$1))/10000,0)</f>
        <v>796</v>
      </c>
      <c r="D17" s="347" t="s">
        <v>1429</v>
      </c>
      <c r="E17" s="347" t="s">
        <v>1430</v>
      </c>
      <c r="F17" s="25">
        <f>'数据-取费表'!B35</f>
        <v>200</v>
      </c>
      <c r="G17" s="1855"/>
      <c r="H17" s="1201" t="s">
        <v>1035</v>
      </c>
      <c r="I17" s="347" t="s">
        <v>1431</v>
      </c>
      <c r="J17" s="23">
        <f ca="1">ROUND(IF(项目基本情况!B11="自然人",J5*M17,J18+J19+J20),1)</f>
        <v>338.4</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239</v>
      </c>
      <c r="D18" s="347" t="s">
        <v>1423</v>
      </c>
      <c r="E18" s="347" t="s">
        <v>1424</v>
      </c>
      <c r="F18" s="367">
        <f>'数据-取费表'!B36</f>
        <v>1.4999999999999999E-2</v>
      </c>
      <c r="G18" s="1855"/>
      <c r="H18" s="1201" t="s">
        <v>1034</v>
      </c>
      <c r="I18" s="347" t="s">
        <v>1435</v>
      </c>
      <c r="J18" s="23">
        <f ca="1">ROUND(J5*M18/(1+'数据-取费表'!C42),2)</f>
        <v>132.69</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17436</v>
      </c>
      <c r="D19" s="139" t="s">
        <v>1438</v>
      </c>
      <c r="E19" s="1819"/>
      <c r="F19" s="25"/>
      <c r="G19" s="1852"/>
      <c r="H19" s="1201" t="s">
        <v>1036</v>
      </c>
      <c r="I19" s="347" t="s">
        <v>1439</v>
      </c>
      <c r="J19" s="23">
        <f ca="1">IF(K19="按租金收入计税",ROUND(J5*M19,2),ROUND(C29*M19*0.7,2))</f>
        <v>202.2</v>
      </c>
      <c r="K19" s="1829" t="s">
        <v>1440</v>
      </c>
      <c r="L19" s="347" t="s">
        <v>1424</v>
      </c>
      <c r="M19" s="367">
        <f>IF(K19="按租金收入计税",'数据-取费表'!B51,'数据-取费表'!B50)</f>
        <v>1.2E-2</v>
      </c>
    </row>
    <row r="20" spans="1:37" s="1859" customFormat="1" ht="18" customHeight="1">
      <c r="A20" s="1201" t="s">
        <v>1039</v>
      </c>
      <c r="B20" s="347" t="s">
        <v>1441</v>
      </c>
      <c r="C20" s="23">
        <f ca="1">ROUND(C19*F20,0)</f>
        <v>349</v>
      </c>
      <c r="D20" s="369" t="s">
        <v>1442</v>
      </c>
      <c r="E20" s="347" t="s">
        <v>1424</v>
      </c>
      <c r="F20" s="367">
        <f>'数据-取费表'!B37</f>
        <v>0.02</v>
      </c>
      <c r="G20" s="1855"/>
      <c r="H20" s="1201" t="s">
        <v>1390</v>
      </c>
      <c r="I20" s="164" t="s">
        <v>1443</v>
      </c>
      <c r="J20" s="24">
        <f ca="1">ROUND(M20*M21/10000,2)</f>
        <v>3.55</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5913.94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120.4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845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18.8</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24.9</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1985</v>
      </c>
      <c r="K25" s="1345" t="s">
        <v>1466</v>
      </c>
      <c r="L25" s="1346"/>
      <c r="M25" s="1347"/>
    </row>
    <row r="26" spans="1:37">
      <c r="A26" s="1201" t="s">
        <v>1034</v>
      </c>
      <c r="B26" s="347" t="s">
        <v>1467</v>
      </c>
      <c r="C26" s="23">
        <f ca="1">ROUND((C19+C20)*F26,0)</f>
        <v>3557</v>
      </c>
      <c r="D26" s="369" t="s">
        <v>1468</v>
      </c>
      <c r="E26" s="358" t="s">
        <v>1469</v>
      </c>
      <c r="F26" s="357">
        <f ca="1">INDIRECT("'数据-取费表'!q"&amp;$G$1)</f>
        <v>0.2</v>
      </c>
      <c r="G26" s="1852"/>
      <c r="H26" s="344" t="s">
        <v>1032</v>
      </c>
      <c r="I26" s="345" t="s">
        <v>1470</v>
      </c>
      <c r="J26" s="346">
        <f ca="1">IF(J5&lt;&gt;0,ROUND(J25*(1-((1+M28)/(1+M26))^M27)/(M26-M28),0),0)</f>
        <v>30393</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21.42</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24072</v>
      </c>
      <c r="D29" s="1342"/>
      <c r="E29" s="1340"/>
      <c r="F29" s="1343"/>
      <c r="G29" s="1855"/>
      <c r="H29" s="380" t="s">
        <v>1033</v>
      </c>
      <c r="I29" s="381" t="s">
        <v>1481</v>
      </c>
      <c r="J29" s="382">
        <f ca="1">ROUND(J26/(1+F40)^F41,0)</f>
        <v>18749</v>
      </c>
      <c r="K29" s="383" t="s">
        <v>1482</v>
      </c>
      <c r="L29" s="384"/>
      <c r="M29" s="385">
        <f ca="1">INDIRECT("'数据-取费表'!k"&amp;$G$1)</f>
        <v>39808.720000000001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404</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252.3</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46.56</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202.2</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3.55</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5913.94</v>
      </c>
      <c r="G35" s="1852"/>
      <c r="H35" s="743"/>
      <c r="I35" s="1861"/>
      <c r="J35" s="1862"/>
      <c r="K35" s="1863"/>
      <c r="L35" s="1860"/>
      <c r="M35" s="1860"/>
    </row>
    <row r="36" spans="1:18" ht="18" customHeight="1">
      <c r="A36" s="1352" t="s">
        <v>1039</v>
      </c>
      <c r="B36" s="347" t="s">
        <v>1451</v>
      </c>
      <c r="C36" s="23">
        <f ca="1">ROUND(C29*F36,1)</f>
        <v>120.4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22.4</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8.6999999999999993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469</v>
      </c>
      <c r="D39" s="1345" t="s">
        <v>1486</v>
      </c>
      <c r="E39" s="1346"/>
      <c r="F39" s="1347"/>
      <c r="G39" s="1852"/>
      <c r="H39" s="1860"/>
      <c r="I39" s="1861">
        <f ca="1">J29+C40</f>
        <v>21744</v>
      </c>
      <c r="J39" s="1862"/>
      <c r="K39" s="1866"/>
      <c r="L39" s="1860"/>
      <c r="M39" s="1860"/>
    </row>
    <row r="40" spans="1:18" ht="18" customHeight="1">
      <c r="A40" s="344" t="s">
        <v>1032</v>
      </c>
      <c r="B40" s="345" t="s">
        <v>1487</v>
      </c>
      <c r="C40" s="346">
        <f ca="1">ROUND(C39*(1-((1+F42)/(1+F40))^F41)/(F40-F42),0)</f>
        <v>2995</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8.2899999999999991</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752</v>
      </c>
      <c r="D43" s="383" t="s">
        <v>1490</v>
      </c>
      <c r="E43" s="384" t="s">
        <v>1491</v>
      </c>
      <c r="F43" s="385">
        <f ca="1">INDIRECT("'数据-取费表'!k"&amp;$G$1)</f>
        <v>39808.720000000001</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-5223</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3055</v>
      </c>
      <c r="K47" s="1883" t="s">
        <v>1529</v>
      </c>
      <c r="L47" s="1884">
        <f ca="1">INDIRECT("'数据-取费表'!d"&amp;$G$1)</f>
        <v>40</v>
      </c>
      <c r="M47" s="1839" t="str">
        <f>IF(ISNUMBER(FIND("住宅",C1)),"住宅","非住宅")</f>
        <v>非住宅</v>
      </c>
      <c r="O47" s="1885" t="s">
        <v>1040</v>
      </c>
      <c r="P47" s="1886" t="s">
        <v>1530</v>
      </c>
      <c r="Q47" s="1887">
        <f ca="1">C40+J29</f>
        <v>21744</v>
      </c>
      <c r="R47" s="1887" t="s">
        <v>1531</v>
      </c>
    </row>
    <row r="48" spans="1:18" s="1843" customFormat="1" ht="28.5" thickBot="1">
      <c r="A48" s="1360" t="s">
        <v>1135</v>
      </c>
      <c r="B48" s="345" t="s">
        <v>1402</v>
      </c>
      <c r="C48" s="1818">
        <f ca="1">C49+C53+C55</f>
        <v>0</v>
      </c>
      <c r="D48" s="1362"/>
      <c r="E48" s="1363"/>
      <c r="F48" s="1181"/>
      <c r="G48" s="790"/>
      <c r="H48" s="791"/>
      <c r="I48" s="1888" t="s">
        <v>1532</v>
      </c>
      <c r="J48" s="1889" t="s">
        <v>3076</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24072</v>
      </c>
      <c r="R49" s="1887" t="s">
        <v>1531</v>
      </c>
    </row>
    <row r="50" spans="1:18" s="1843" customFormat="1" ht="13.5" thickBot="1">
      <c r="A50" s="1195"/>
      <c r="B50" s="1198"/>
      <c r="C50" s="1368"/>
      <c r="D50" s="1172"/>
      <c r="E50" s="1277" t="s">
        <v>1407</v>
      </c>
      <c r="F50" s="1278">
        <f ca="1">F7</f>
        <v>39808.720000000001</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-24669</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534" t="s">
        <v>1550</v>
      </c>
      <c r="L53" s="3535"/>
      <c r="O53" s="1885" t="s">
        <v>1046</v>
      </c>
      <c r="P53" s="1886" t="s">
        <v>1551</v>
      </c>
      <c r="Q53" s="1887">
        <f ca="1">Q47+Q48</f>
        <v>21744</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22387</v>
      </c>
      <c r="D56" s="1915"/>
      <c r="E56" s="1916"/>
      <c r="F56" s="1908"/>
      <c r="I56" s="1917" t="s">
        <v>1556</v>
      </c>
      <c r="J56" s="1918" t="s">
        <v>3040</v>
      </c>
      <c r="K56" s="1888" t="s">
        <v>1557</v>
      </c>
      <c r="L56" s="1891" t="str">
        <f ca="1">IF(L48&lt;J51,"——",L48-J53)</f>
        <v>——</v>
      </c>
      <c r="O56" s="1885" t="s">
        <v>1040</v>
      </c>
      <c r="P56" s="1886" t="s">
        <v>1530</v>
      </c>
      <c r="Q56" s="1887">
        <f ca="1">C40+J29</f>
        <v>21744</v>
      </c>
      <c r="R56" s="1887" t="s">
        <v>1531</v>
      </c>
    </row>
    <row r="57" spans="1:18" s="1843" customFormat="1" ht="24.75" thickBot="1">
      <c r="A57" s="1919"/>
      <c r="B57" s="1169" t="s">
        <v>1480</v>
      </c>
      <c r="C57" s="282">
        <f ca="1">C29</f>
        <v>24072</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349</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205.8</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202.2</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3.55</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21744</v>
      </c>
      <c r="R62" s="1887" t="s">
        <v>1047</v>
      </c>
    </row>
    <row r="63" spans="1:18" s="1843" customFormat="1" ht="13.5" thickBot="1">
      <c r="A63" s="372"/>
      <c r="B63" s="1175"/>
      <c r="C63" s="28"/>
      <c r="D63" s="1185"/>
      <c r="E63" s="1169" t="s">
        <v>1501</v>
      </c>
      <c r="F63" s="348">
        <f t="shared" ca="1" si="0"/>
        <v>5913.94</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120.4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22.4</v>
      </c>
      <c r="D65" s="1183" t="s">
        <v>1456</v>
      </c>
      <c r="E65" s="1169" t="s">
        <v>1457</v>
      </c>
      <c r="F65" s="376">
        <f t="shared" ca="1" si="0"/>
        <v>1E-3</v>
      </c>
      <c r="I65" s="1930" t="s">
        <v>1581</v>
      </c>
      <c r="J65" s="1931">
        <v>40</v>
      </c>
      <c r="K65" s="1931">
        <v>30</v>
      </c>
      <c r="L65" s="1931">
        <v>50</v>
      </c>
      <c r="M65" s="1933">
        <v>0.02</v>
      </c>
      <c r="O65" s="1885" t="s">
        <v>1040</v>
      </c>
      <c r="P65" s="1886" t="s">
        <v>1582</v>
      </c>
      <c r="Q65" s="1887">
        <f ca="1">C40+J29</f>
        <v>21744</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-349</v>
      </c>
      <c r="D67" s="1182" t="s">
        <v>1466</v>
      </c>
      <c r="E67" s="1187"/>
      <c r="F67" s="1188"/>
      <c r="O67" s="1895" t="s">
        <v>1042</v>
      </c>
      <c r="P67" s="1886" t="s">
        <v>1564</v>
      </c>
      <c r="Q67" s="1934">
        <f ca="1">L51</f>
        <v>-24669</v>
      </c>
      <c r="R67" s="1887" t="s">
        <v>1584</v>
      </c>
    </row>
    <row r="68" spans="1:18" s="1843" customFormat="1" ht="16.5" thickBot="1">
      <c r="A68" s="1166" t="s">
        <v>1032</v>
      </c>
      <c r="B68" s="1167" t="s">
        <v>1487</v>
      </c>
      <c r="C68" s="346">
        <f ca="1">ROUND(C67*(1-((1+F70)/(1+F68))^F69)/(F68-F70),0)</f>
        <v>-2228</v>
      </c>
      <c r="D68" s="1184" t="s">
        <v>1471</v>
      </c>
      <c r="E68" s="1169" t="s">
        <v>1472</v>
      </c>
      <c r="F68" s="357">
        <f ca="1">F40</f>
        <v>0.06</v>
      </c>
      <c r="O68" s="1895" t="s">
        <v>1043</v>
      </c>
      <c r="P68" s="1935" t="s">
        <v>1585</v>
      </c>
      <c r="Q68" s="1887">
        <f ca="1">ROUND(Q69-Q70*Q71,0)</f>
        <v>-1434</v>
      </c>
      <c r="R68" s="1887" t="s">
        <v>1051</v>
      </c>
    </row>
    <row r="69" spans="1:18" s="1843" customFormat="1" ht="13.5" thickBot="1">
      <c r="A69" s="1170"/>
      <c r="B69" s="1171"/>
      <c r="C69" s="351"/>
      <c r="D69" s="1189" t="s">
        <v>1475</v>
      </c>
      <c r="E69" s="1169" t="s">
        <v>1476</v>
      </c>
      <c r="F69" s="379">
        <f ca="1">F41</f>
        <v>8.2899999999999991</v>
      </c>
      <c r="O69" s="1895" t="s">
        <v>1048</v>
      </c>
      <c r="P69" s="1935" t="s">
        <v>1586</v>
      </c>
      <c r="Q69" s="1887">
        <f ca="1">C39</f>
        <v>469</v>
      </c>
      <c r="R69" s="1887" t="s">
        <v>1531</v>
      </c>
    </row>
    <row r="70" spans="1:18" s="1843" customFormat="1" ht="13.5" thickBot="1">
      <c r="A70" s="1173"/>
      <c r="B70" s="1174"/>
      <c r="C70" s="355"/>
      <c r="D70" s="1185"/>
      <c r="E70" s="1169" t="s">
        <v>1479</v>
      </c>
      <c r="F70" s="1275"/>
      <c r="O70" s="1895" t="s">
        <v>1049</v>
      </c>
      <c r="P70" s="1935" t="s">
        <v>1587</v>
      </c>
      <c r="Q70" s="1887">
        <f ca="1">C13</f>
        <v>22387</v>
      </c>
      <c r="R70" s="1887" t="s">
        <v>1531</v>
      </c>
    </row>
    <row r="71" spans="1:18" s="1843" customFormat="1" ht="13.5" thickBot="1">
      <c r="A71" s="1190" t="s">
        <v>1033</v>
      </c>
      <c r="B71" s="1191" t="s">
        <v>1489</v>
      </c>
      <c r="C71" s="382">
        <f ca="1">ROUND(C68*10000/F71,0)</f>
        <v>-560</v>
      </c>
      <c r="D71" s="1192" t="s">
        <v>1490</v>
      </c>
      <c r="E71" s="1193" t="s">
        <v>1491</v>
      </c>
      <c r="F71" s="385">
        <f ca="1">F43</f>
        <v>39808.720000000001</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1903</v>
      </c>
      <c r="D75" s="1843"/>
      <c r="E75" s="1843"/>
      <c r="F75" s="1843"/>
      <c r="K75" s="1869"/>
      <c r="L75" s="1843"/>
      <c r="O75" s="1885" t="s">
        <v>1046</v>
      </c>
      <c r="P75" s="1886" t="s">
        <v>1551</v>
      </c>
      <c r="Q75" s="1887">
        <f ca="1">Q65+Q66</f>
        <v>21744</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-3.0579999999999998</v>
      </c>
    </row>
    <row r="80" spans="1:18">
      <c r="B80" s="386" t="s">
        <v>1513</v>
      </c>
      <c r="C80" s="318">
        <f ca="1">ROUND(C75/C39,3)</f>
        <v>4.0579999999999998</v>
      </c>
    </row>
    <row r="81" spans="2:3">
      <c r="B81" s="314" t="s">
        <v>1514</v>
      </c>
      <c r="C81" s="282"/>
    </row>
    <row r="82" spans="2:3">
      <c r="B82" s="317" t="s">
        <v>1515</v>
      </c>
      <c r="C82" s="319">
        <f ca="1">1-C83</f>
        <v>-6.4749999999999996</v>
      </c>
    </row>
    <row r="83" spans="2:3">
      <c r="B83" s="317" t="s">
        <v>1516</v>
      </c>
      <c r="C83" s="318">
        <f ca="1">ROUND(C13/C40,3)</f>
        <v>7.4749999999999996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536" t="s">
        <v>1404</v>
      </c>
      <c r="C6" s="1296">
        <f ca="1">ROUND(F6*F8*F7*(1-F9),0)</f>
        <v>0</v>
      </c>
      <c r="D6" s="164" t="s">
        <v>3009</v>
      </c>
      <c r="E6" s="347" t="s">
        <v>1406</v>
      </c>
      <c r="F6" s="348">
        <f ca="1">INDIRECT("'数据-取费表'!u"&amp;$G$1)</f>
        <v>0</v>
      </c>
      <c r="G6" s="1852"/>
      <c r="H6" s="1291" t="s">
        <v>1035</v>
      </c>
      <c r="I6" s="3536" t="s">
        <v>1404</v>
      </c>
      <c r="J6" s="346">
        <f ca="1">ROUND(M6*M8*M7*(1-M9),0)</f>
        <v>0</v>
      </c>
      <c r="K6" s="1835" t="s">
        <v>3012</v>
      </c>
      <c r="L6" s="347" t="s">
        <v>1406</v>
      </c>
      <c r="M6" s="348">
        <f ca="1">INDIRECT("'数据-取费表'!z"&amp;$G$1)</f>
        <v>0</v>
      </c>
    </row>
    <row r="7" spans="1:37" ht="18" customHeight="1">
      <c r="A7" s="1295"/>
      <c r="B7" s="3537"/>
      <c r="C7" s="1297"/>
      <c r="D7" s="352"/>
      <c r="E7" s="1298" t="s">
        <v>1407</v>
      </c>
      <c r="F7" s="348">
        <f ca="1">IF(INDIRECT("'数据-取费表'!ah"&amp;$G$1)="",INDIRECT("'数据-取费表'!k"&amp;$G$1),INDIRECT("'数据-取费表'!ah"&amp;$G$1))</f>
        <v>0</v>
      </c>
      <c r="G7" s="1852"/>
      <c r="H7" s="349"/>
      <c r="I7" s="3537"/>
      <c r="J7" s="351"/>
      <c r="K7" s="352"/>
      <c r="L7" s="347" t="s">
        <v>1407</v>
      </c>
      <c r="M7" s="348">
        <f ca="1">F7</f>
        <v>0</v>
      </c>
    </row>
    <row r="8" spans="1:37" ht="18" customHeight="1">
      <c r="A8" s="349"/>
      <c r="B8" s="3537"/>
      <c r="C8" s="351"/>
      <c r="D8" s="352"/>
      <c r="E8" s="347" t="s">
        <v>1408</v>
      </c>
      <c r="F8" s="348">
        <f ca="1">INDIRECT("'数据-取费表'!ai"&amp;$G$1)</f>
        <v>0</v>
      </c>
      <c r="G8" s="1852"/>
      <c r="H8" s="349"/>
      <c r="I8" s="3537"/>
      <c r="J8" s="351"/>
      <c r="K8" s="352"/>
      <c r="L8" s="347" t="s">
        <v>1408</v>
      </c>
      <c r="M8" s="348">
        <f ca="1">INDIRECT("'数据-取费表'!ai"&amp;$G$1)</f>
        <v>0</v>
      </c>
    </row>
    <row r="9" spans="1:37" ht="18" customHeight="1">
      <c r="A9" s="349"/>
      <c r="B9" s="3538"/>
      <c r="C9" s="351"/>
      <c r="D9" s="352"/>
      <c r="E9" s="347" t="s">
        <v>1409</v>
      </c>
      <c r="F9" s="357">
        <f ca="1">INDIRECT("'数据-取费表'!w"&amp;$G$1)</f>
        <v>0</v>
      </c>
      <c r="G9" s="1852"/>
      <c r="H9" s="349"/>
      <c r="I9" s="35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534" t="s">
        <v>1550</v>
      </c>
      <c r="L53" s="3535"/>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539" t="s">
        <v>1076</v>
      </c>
      <c r="B1" s="3540"/>
      <c r="C1" s="3541"/>
      <c r="D1" s="3542">
        <f>SUM(I10,I15,I20,I21,I23)</f>
        <v>0</v>
      </c>
      <c r="E1" s="3542"/>
      <c r="F1" s="3542"/>
      <c r="G1" s="3542"/>
      <c r="H1" s="3542"/>
      <c r="I1" s="3543"/>
    </row>
    <row r="2" spans="1:9">
      <c r="A2" s="3544" t="s">
        <v>1077</v>
      </c>
      <c r="B2" s="3545" t="s">
        <v>1078</v>
      </c>
      <c r="C2" s="3545"/>
      <c r="D2" s="1301" t="s">
        <v>1079</v>
      </c>
      <c r="E2" s="1301" t="s">
        <v>1080</v>
      </c>
      <c r="F2" s="1301" t="s">
        <v>1081</v>
      </c>
      <c r="G2" s="1301" t="s">
        <v>1082</v>
      </c>
      <c r="H2" s="1301" t="s">
        <v>1083</v>
      </c>
      <c r="I2" s="1302" t="s">
        <v>1084</v>
      </c>
    </row>
    <row r="3" spans="1:9">
      <c r="A3" s="3544"/>
      <c r="B3" s="3545" t="s">
        <v>1085</v>
      </c>
      <c r="C3" s="3545"/>
      <c r="D3" s="1303"/>
      <c r="E3" s="1301"/>
      <c r="F3" s="1304"/>
      <c r="G3" s="1304"/>
      <c r="H3" s="1305"/>
      <c r="I3" s="1306">
        <f>ROUND(D3*E3*F3*G3*H3/10000,0)</f>
        <v>0</v>
      </c>
    </row>
    <row r="4" spans="1:9">
      <c r="A4" s="3544"/>
      <c r="B4" s="3545" t="s">
        <v>1086</v>
      </c>
      <c r="C4" s="3545"/>
      <c r="D4" s="1303"/>
      <c r="E4" s="1301"/>
      <c r="F4" s="1304"/>
      <c r="G4" s="1304"/>
      <c r="H4" s="1305"/>
      <c r="I4" s="1306">
        <f t="shared" ref="I4:I9" si="0">ROUND(D4*E4*F4*G4*H4/10000,0)</f>
        <v>0</v>
      </c>
    </row>
    <row r="5" spans="1:9">
      <c r="A5" s="3544"/>
      <c r="B5" s="3545" t="s">
        <v>1087</v>
      </c>
      <c r="C5" s="3545"/>
      <c r="D5" s="1303"/>
      <c r="E5" s="1301"/>
      <c r="F5" s="1304"/>
      <c r="G5" s="1304"/>
      <c r="H5" s="1305"/>
      <c r="I5" s="1306">
        <f t="shared" si="0"/>
        <v>0</v>
      </c>
    </row>
    <row r="6" spans="1:9">
      <c r="A6" s="3544"/>
      <c r="B6" s="3545" t="s">
        <v>1088</v>
      </c>
      <c r="C6" s="3545"/>
      <c r="D6" s="1303"/>
      <c r="E6" s="1301"/>
      <c r="F6" s="1304"/>
      <c r="G6" s="1304"/>
      <c r="H6" s="1305"/>
      <c r="I6" s="1306">
        <f t="shared" si="0"/>
        <v>0</v>
      </c>
    </row>
    <row r="7" spans="1:9">
      <c r="A7" s="3544"/>
      <c r="B7" s="3545" t="s">
        <v>1089</v>
      </c>
      <c r="C7" s="3545"/>
      <c r="D7" s="1303"/>
      <c r="E7" s="1301"/>
      <c r="F7" s="1304"/>
      <c r="G7" s="1304"/>
      <c r="H7" s="1305"/>
      <c r="I7" s="1306">
        <f t="shared" si="0"/>
        <v>0</v>
      </c>
    </row>
    <row r="8" spans="1:9">
      <c r="A8" s="3544"/>
      <c r="B8" s="3545" t="s">
        <v>1090</v>
      </c>
      <c r="C8" s="3545"/>
      <c r="D8" s="1303"/>
      <c r="E8" s="1301"/>
      <c r="F8" s="1304"/>
      <c r="G8" s="1304"/>
      <c r="H8" s="1305"/>
      <c r="I8" s="1306">
        <f t="shared" si="0"/>
        <v>0</v>
      </c>
    </row>
    <row r="9" spans="1:9">
      <c r="A9" s="3544"/>
      <c r="B9" s="3545" t="s">
        <v>1091</v>
      </c>
      <c r="C9" s="3545"/>
      <c r="D9" s="1303"/>
      <c r="E9" s="1301"/>
      <c r="F9" s="1304"/>
      <c r="G9" s="1304"/>
      <c r="H9" s="1305"/>
      <c r="I9" s="1306">
        <f t="shared" si="0"/>
        <v>0</v>
      </c>
    </row>
    <row r="10" spans="1:9">
      <c r="A10" s="3544"/>
      <c r="B10" s="3546" t="s">
        <v>1092</v>
      </c>
      <c r="C10" s="3546"/>
      <c r="D10" s="1307"/>
      <c r="E10" s="1307" t="e">
        <f>ROUND(D1*10000/D10/H9,0)</f>
        <v>#DIV/0!</v>
      </c>
      <c r="F10" s="1308"/>
      <c r="G10" s="1308"/>
      <c r="H10" s="1309"/>
      <c r="I10" s="1310">
        <f>SUM(I3:I9)</f>
        <v>0</v>
      </c>
    </row>
    <row r="11" spans="1:9" ht="14.25">
      <c r="A11" s="3544" t="s">
        <v>1093</v>
      </c>
      <c r="B11" s="3545" t="s">
        <v>1094</v>
      </c>
      <c r="C11" s="3545"/>
      <c r="D11" s="1303" t="s">
        <v>1095</v>
      </c>
      <c r="E11" s="1303" t="s">
        <v>1096</v>
      </c>
      <c r="F11" s="1304" t="s">
        <v>1097</v>
      </c>
      <c r="G11" s="1304" t="s">
        <v>1083</v>
      </c>
      <c r="H11" s="1311" t="s">
        <v>1098</v>
      </c>
      <c r="I11" s="1302" t="s">
        <v>1084</v>
      </c>
    </row>
    <row r="12" spans="1:9">
      <c r="A12" s="3544"/>
      <c r="B12" s="3545" t="s">
        <v>1099</v>
      </c>
      <c r="C12" s="3545"/>
      <c r="D12" s="1303"/>
      <c r="E12" s="1303"/>
      <c r="F12" s="1304"/>
      <c r="G12" s="1305"/>
      <c r="H12" s="1312"/>
      <c r="I12" s="1302">
        <f>ROUND(D12*E12*F12*G12/10000,0)</f>
        <v>0</v>
      </c>
    </row>
    <row r="13" spans="1:9">
      <c r="A13" s="3544"/>
      <c r="B13" s="3545" t="s">
        <v>1100</v>
      </c>
      <c r="C13" s="3545"/>
      <c r="D13" s="1303"/>
      <c r="E13" s="1303"/>
      <c r="F13" s="1304"/>
      <c r="G13" s="1305"/>
      <c r="H13" s="1312"/>
      <c r="I13" s="1302">
        <f>ROUND(D13*E13*F13*G13/10000,0)</f>
        <v>0</v>
      </c>
    </row>
    <row r="14" spans="1:9">
      <c r="A14" s="3544"/>
      <c r="B14" s="3545" t="s">
        <v>1101</v>
      </c>
      <c r="C14" s="3545"/>
      <c r="D14" s="1303"/>
      <c r="E14" s="1303"/>
      <c r="F14" s="1304"/>
      <c r="G14" s="1305"/>
      <c r="H14" s="1312"/>
      <c r="I14" s="1302">
        <f>ROUND(D14*E14*F14*G14/10000,0)</f>
        <v>0</v>
      </c>
    </row>
    <row r="15" spans="1:9">
      <c r="A15" s="3544"/>
      <c r="B15" s="3546" t="s">
        <v>1092</v>
      </c>
      <c r="C15" s="3546"/>
      <c r="D15" s="1307"/>
      <c r="E15" s="1307">
        <f>SUM(E12:E14)</f>
        <v>0</v>
      </c>
      <c r="F15" s="1308"/>
      <c r="G15" s="1305"/>
      <c r="H15" s="1312"/>
      <c r="I15" s="1313">
        <f>SUM(I12:I14)</f>
        <v>0</v>
      </c>
    </row>
    <row r="16" spans="1:9" ht="24">
      <c r="A16" s="3544" t="s">
        <v>1102</v>
      </c>
      <c r="B16" s="3545" t="s">
        <v>1103</v>
      </c>
      <c r="C16" s="3545"/>
      <c r="D16" s="1303" t="s">
        <v>1079</v>
      </c>
      <c r="E16" s="1314" t="s">
        <v>1104</v>
      </c>
      <c r="F16" s="1304" t="s">
        <v>1105</v>
      </c>
      <c r="G16" s="1305" t="s">
        <v>1083</v>
      </c>
      <c r="H16" s="1311" t="s">
        <v>1098</v>
      </c>
      <c r="I16" s="1302" t="s">
        <v>1084</v>
      </c>
    </row>
    <row r="17" spans="1:9" ht="14.25">
      <c r="A17" s="3544"/>
      <c r="B17" s="3545" t="s">
        <v>1106</v>
      </c>
      <c r="C17" s="3545"/>
      <c r="D17" s="1303"/>
      <c r="E17" s="1303"/>
      <c r="F17" s="1304"/>
      <c r="G17" s="1305"/>
      <c r="H17" s="1315"/>
      <c r="I17" s="1316">
        <f>ROUND(D17*E17*F17*G17/10000,0)</f>
        <v>0</v>
      </c>
    </row>
    <row r="18" spans="1:9" ht="14.25">
      <c r="A18" s="3544"/>
      <c r="B18" s="3545" t="s">
        <v>1107</v>
      </c>
      <c r="C18" s="3545"/>
      <c r="D18" s="1303"/>
      <c r="E18" s="1303"/>
      <c r="F18" s="1304"/>
      <c r="G18" s="1305"/>
      <c r="H18" s="1315"/>
      <c r="I18" s="1316">
        <f>ROUND(D18*E18*F18*G18/10000,0)</f>
        <v>0</v>
      </c>
    </row>
    <row r="19" spans="1:9" ht="14.25">
      <c r="A19" s="3544"/>
      <c r="B19" s="3545" t="s">
        <v>1108</v>
      </c>
      <c r="C19" s="3545"/>
      <c r="D19" s="1303"/>
      <c r="E19" s="1303"/>
      <c r="F19" s="1304"/>
      <c r="G19" s="1305"/>
      <c r="H19" s="1315"/>
      <c r="I19" s="1316">
        <f>ROUND(D19*E19*F19*G19/10000,0)</f>
        <v>0</v>
      </c>
    </row>
    <row r="20" spans="1:9">
      <c r="A20" s="3544"/>
      <c r="B20" s="3546" t="s">
        <v>1092</v>
      </c>
      <c r="C20" s="3546"/>
      <c r="D20" s="1307">
        <f>SUM(D17:D19)</f>
        <v>0</v>
      </c>
      <c r="E20" s="1307"/>
      <c r="F20" s="1308"/>
      <c r="G20" s="1305"/>
      <c r="H20" s="1312"/>
      <c r="I20" s="1313">
        <f>SUM(I17:I19)</f>
        <v>0</v>
      </c>
    </row>
    <row r="21" spans="1:9">
      <c r="A21" s="3544" t="s">
        <v>1109</v>
      </c>
      <c r="B21" s="3548"/>
      <c r="C21" s="3548"/>
      <c r="D21" s="3548"/>
      <c r="E21" s="3548"/>
      <c r="F21" s="3548"/>
      <c r="G21" s="3548"/>
      <c r="H21" s="1766">
        <v>0.1</v>
      </c>
      <c r="I21" s="1310">
        <f>ROUND(I10*H21,0)</f>
        <v>0</v>
      </c>
    </row>
    <row r="22" spans="1:9" ht="14.25">
      <c r="A22" s="3549" t="s">
        <v>1110</v>
      </c>
      <c r="B22" s="3550"/>
      <c r="C22" s="3551"/>
      <c r="D22" s="1317" t="s">
        <v>1111</v>
      </c>
      <c r="E22" s="1317" t="s">
        <v>1112</v>
      </c>
      <c r="F22" s="1318" t="s">
        <v>1113</v>
      </c>
      <c r="G22" s="1318" t="s">
        <v>1114</v>
      </c>
      <c r="H22" s="1311" t="s">
        <v>1115</v>
      </c>
      <c r="I22" s="1302" t="s">
        <v>1116</v>
      </c>
    </row>
    <row r="23" spans="1:9" ht="14.25" thickBot="1">
      <c r="A23" s="3552"/>
      <c r="B23" s="3553"/>
      <c r="C23" s="3554"/>
      <c r="D23" s="1319"/>
      <c r="E23" s="1319"/>
      <c r="F23" s="1319"/>
      <c r="G23" s="1320"/>
      <c r="H23" s="1321"/>
      <c r="I23" s="1322">
        <f>ROUND(E23*D23*F23*(1-G23)/10000,0)</f>
        <v>0</v>
      </c>
    </row>
    <row r="26" spans="1:9">
      <c r="A26" s="1323" t="s">
        <v>1117</v>
      </c>
      <c r="B26" s="1323"/>
      <c r="C26" s="1323"/>
      <c r="D26" s="1323"/>
      <c r="E26" s="3555">
        <f>C27-C30-C31-C32</f>
        <v>0</v>
      </c>
      <c r="F26" s="3555"/>
      <c r="G26" s="3555"/>
      <c r="H26" s="1738" t="s">
        <v>1341</v>
      </c>
    </row>
    <row r="27" spans="1:9">
      <c r="A27" s="1324">
        <v>1</v>
      </c>
      <c r="B27" s="1325" t="s">
        <v>1118</v>
      </c>
      <c r="C27" s="1325">
        <f>C28+C29</f>
        <v>0</v>
      </c>
      <c r="D27" s="1325"/>
      <c r="E27" s="3556"/>
      <c r="F27" s="3556"/>
      <c r="G27" s="3556"/>
    </row>
    <row r="28" spans="1:9">
      <c r="A28" s="1326" t="s">
        <v>1119</v>
      </c>
      <c r="B28" s="1325" t="s">
        <v>1120</v>
      </c>
      <c r="C28" s="1325"/>
      <c r="D28" s="1325"/>
      <c r="E28" s="3556"/>
      <c r="F28" s="3556"/>
      <c r="G28" s="355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547"/>
      <c r="F32" s="3547"/>
      <c r="G32" s="3547"/>
    </row>
    <row r="33" spans="1:7" hidden="1">
      <c r="A33" s="3557" t="s">
        <v>1129</v>
      </c>
      <c r="B33" s="3558"/>
      <c r="C33" s="3558"/>
      <c r="D33" s="3559"/>
      <c r="E33" s="3555"/>
      <c r="F33" s="3555"/>
      <c r="G33" s="3555"/>
    </row>
    <row r="34" spans="1:7" hidden="1">
      <c r="A34" s="1328">
        <v>1</v>
      </c>
      <c r="B34" s="1325" t="s">
        <v>1130</v>
      </c>
      <c r="C34" s="1325"/>
      <c r="D34" s="1325"/>
      <c r="E34" s="3556"/>
      <c r="F34" s="3556"/>
      <c r="G34" s="3556"/>
    </row>
    <row r="35" spans="1:7" hidden="1">
      <c r="A35" s="1328">
        <v>2</v>
      </c>
      <c r="B35" s="1325" t="s">
        <v>1131</v>
      </c>
      <c r="C35" s="1325"/>
      <c r="D35" s="1325"/>
      <c r="E35" s="3556"/>
      <c r="F35" s="3556"/>
      <c r="G35" s="3556"/>
    </row>
    <row r="36" spans="1:7" hidden="1">
      <c r="A36" s="1328">
        <v>3</v>
      </c>
      <c r="B36" s="1325" t="s">
        <v>1132</v>
      </c>
      <c r="C36" s="1325"/>
      <c r="D36" s="1325"/>
      <c r="E36" s="3556"/>
      <c r="F36" s="3556"/>
      <c r="G36" s="3556"/>
    </row>
    <row r="37" spans="1:7" hidden="1">
      <c r="A37" s="1328">
        <v>4</v>
      </c>
      <c r="B37" s="1325" t="s">
        <v>1133</v>
      </c>
      <c r="C37" s="1325"/>
      <c r="D37" s="1325"/>
      <c r="E37" s="3556"/>
      <c r="F37" s="3556"/>
      <c r="G37" s="3556"/>
    </row>
    <row r="38" spans="1:7" hidden="1">
      <c r="A38" s="3557" t="s">
        <v>1134</v>
      </c>
      <c r="B38" s="3558"/>
      <c r="C38" s="3558"/>
      <c r="D38" s="3559"/>
      <c r="E38" s="3555"/>
      <c r="F38" s="3555"/>
      <c r="G38" s="35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42395.67</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501" t="s">
        <v>2631</v>
      </c>
      <c r="D4" s="3502"/>
      <c r="E4" s="3503" t="s">
        <v>2632</v>
      </c>
      <c r="F4" s="3504"/>
      <c r="G4" s="3501" t="s">
        <v>2633</v>
      </c>
      <c r="H4" s="3502"/>
      <c r="I4" s="3501" t="s">
        <v>2634</v>
      </c>
      <c r="J4" s="3502"/>
      <c r="K4" s="610" t="s">
        <v>2635</v>
      </c>
      <c r="L4" s="1130"/>
      <c r="M4" s="1131"/>
      <c r="N4" s="1131"/>
      <c r="O4" s="1131"/>
      <c r="P4" s="3568" t="s">
        <v>2636</v>
      </c>
      <c r="Q4" s="3569"/>
      <c r="R4" s="3561" t="s">
        <v>2632</v>
      </c>
      <c r="S4" s="3562"/>
      <c r="T4" s="3561" t="s">
        <v>2633</v>
      </c>
      <c r="U4" s="3562"/>
      <c r="V4" s="3572" t="s">
        <v>2634</v>
      </c>
      <c r="W4" s="3572"/>
      <c r="X4" s="2668"/>
      <c r="Y4" s="3561" t="s">
        <v>2636</v>
      </c>
      <c r="Z4" s="3562"/>
      <c r="AA4" s="3560" t="s">
        <v>2632</v>
      </c>
      <c r="AB4" s="3560" t="s">
        <v>2633</v>
      </c>
      <c r="AC4" s="3565" t="s">
        <v>2634</v>
      </c>
    </row>
    <row r="5" spans="1:29" ht="15">
      <c r="A5" s="404"/>
      <c r="B5" s="405"/>
      <c r="C5" s="3564" t="s">
        <v>2527</v>
      </c>
      <c r="D5" s="3495"/>
      <c r="E5" s="3563" t="s">
        <v>2528</v>
      </c>
      <c r="F5" s="3493"/>
      <c r="G5" s="3564" t="s">
        <v>2529</v>
      </c>
      <c r="H5" s="3495"/>
      <c r="I5" s="3564" t="s">
        <v>2530</v>
      </c>
      <c r="J5" s="3495"/>
      <c r="K5" s="610"/>
      <c r="L5" s="1130"/>
      <c r="M5" s="1131"/>
      <c r="N5" s="1131"/>
      <c r="O5" s="1131"/>
      <c r="P5" s="3570"/>
      <c r="Q5" s="3508"/>
      <c r="R5" s="3490"/>
      <c r="S5" s="3491"/>
      <c r="T5" s="3490"/>
      <c r="U5" s="3491"/>
      <c r="V5" s="3513"/>
      <c r="W5" s="3513"/>
      <c r="X5" s="1814"/>
      <c r="Y5" s="3490"/>
      <c r="Z5" s="3491"/>
      <c r="AA5" s="3484"/>
      <c r="AB5" s="3484"/>
      <c r="AC5" s="3566"/>
    </row>
    <row r="6" spans="1:29" ht="15.75" thickBot="1">
      <c r="A6" s="406"/>
      <c r="B6" s="407"/>
      <c r="C6" s="3496" t="s">
        <v>2531</v>
      </c>
      <c r="D6" s="3497"/>
      <c r="E6" s="3498" t="s">
        <v>2531</v>
      </c>
      <c r="F6" s="3499"/>
      <c r="G6" s="3496" t="s">
        <v>2531</v>
      </c>
      <c r="H6" s="3497"/>
      <c r="I6" s="3496" t="s">
        <v>2531</v>
      </c>
      <c r="J6" s="3497"/>
      <c r="K6" s="610" t="s">
        <v>2532</v>
      </c>
      <c r="L6" s="1130"/>
      <c r="M6" s="1131"/>
      <c r="N6" s="1131"/>
      <c r="O6" s="1131"/>
      <c r="P6" s="3571"/>
      <c r="Q6" s="3510"/>
      <c r="R6" s="3490"/>
      <c r="S6" s="3491"/>
      <c r="T6" s="3511"/>
      <c r="U6" s="3512"/>
      <c r="V6" s="3513"/>
      <c r="W6" s="3513"/>
      <c r="X6" s="1814"/>
      <c r="Y6" s="3511"/>
      <c r="Z6" s="3512"/>
      <c r="AA6" s="3485"/>
      <c r="AB6" s="3485"/>
      <c r="AC6" s="3567"/>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73" t="s">
        <v>2534</v>
      </c>
      <c r="Q7" s="3514"/>
      <c r="R7" s="768" t="s">
        <v>17</v>
      </c>
      <c r="S7" s="769">
        <f t="shared" ref="S7:S15" si="0">F7</f>
        <v>0</v>
      </c>
      <c r="T7" s="768" t="s">
        <v>17</v>
      </c>
      <c r="U7" s="769">
        <f t="shared" ref="U7:U15" si="1">H7</f>
        <v>0</v>
      </c>
      <c r="V7" s="768" t="s">
        <v>17</v>
      </c>
      <c r="W7" s="769">
        <f t="shared" ref="W7:W15" si="2">J7</f>
        <v>0</v>
      </c>
      <c r="X7" s="770"/>
      <c r="Y7" s="3486" t="s">
        <v>2534</v>
      </c>
      <c r="Z7" s="3487"/>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73" t="s">
        <v>2537</v>
      </c>
      <c r="Q8" s="3487"/>
      <c r="R8" s="768" t="s">
        <v>17</v>
      </c>
      <c r="S8" s="769">
        <f t="shared" si="0"/>
        <v>0</v>
      </c>
      <c r="T8" s="768" t="s">
        <v>17</v>
      </c>
      <c r="U8" s="769">
        <f t="shared" si="1"/>
        <v>0</v>
      </c>
      <c r="V8" s="768" t="s">
        <v>17</v>
      </c>
      <c r="W8" s="769">
        <f t="shared" si="2"/>
        <v>0</v>
      </c>
      <c r="X8" s="770"/>
      <c r="Y8" s="3486" t="s">
        <v>2537</v>
      </c>
      <c r="Z8" s="3487"/>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500" t="s">
        <v>2540</v>
      </c>
      <c r="Q9" s="1796" t="str">
        <f t="shared" ref="Q9:Q15" si="6">B9</f>
        <v>用途</v>
      </c>
      <c r="R9" s="768" t="s">
        <v>17</v>
      </c>
      <c r="S9" s="769">
        <f t="shared" si="0"/>
        <v>100</v>
      </c>
      <c r="T9" s="768" t="s">
        <v>17</v>
      </c>
      <c r="U9" s="769">
        <f t="shared" si="1"/>
        <v>100</v>
      </c>
      <c r="V9" s="768" t="s">
        <v>17</v>
      </c>
      <c r="W9" s="769">
        <f t="shared" si="2"/>
        <v>100</v>
      </c>
      <c r="X9" s="770"/>
      <c r="Y9" s="3360"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500"/>
      <c r="Q10" s="1796" t="str">
        <f t="shared" si="6"/>
        <v>土地使用年限（年）</v>
      </c>
      <c r="R10" s="768" t="s">
        <v>17</v>
      </c>
      <c r="S10" s="769">
        <f t="shared" si="0"/>
        <v>100</v>
      </c>
      <c r="T10" s="768" t="s">
        <v>17</v>
      </c>
      <c r="U10" s="769">
        <f t="shared" si="1"/>
        <v>100</v>
      </c>
      <c r="V10" s="768" t="s">
        <v>17</v>
      </c>
      <c r="W10" s="769">
        <f t="shared" si="2"/>
        <v>100</v>
      </c>
      <c r="X10" s="770"/>
      <c r="Y10" s="3360"/>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500"/>
      <c r="Q11" s="1796" t="str">
        <f t="shared" si="6"/>
        <v>容积率</v>
      </c>
      <c r="R11" s="768" t="s">
        <v>17</v>
      </c>
      <c r="S11" s="769" t="e">
        <f t="shared" si="0"/>
        <v>#N/A</v>
      </c>
      <c r="T11" s="768" t="s">
        <v>17</v>
      </c>
      <c r="U11" s="769" t="e">
        <f t="shared" si="1"/>
        <v>#N/A</v>
      </c>
      <c r="V11" s="768" t="s">
        <v>17</v>
      </c>
      <c r="W11" s="769" t="e">
        <f t="shared" si="2"/>
        <v>#N/A</v>
      </c>
      <c r="X11" s="770"/>
      <c r="Y11" s="3360"/>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500"/>
      <c r="Q12" s="1796">
        <f t="shared" si="6"/>
        <v>111</v>
      </c>
      <c r="R12" s="768" t="s">
        <v>17</v>
      </c>
      <c r="S12" s="769">
        <f t="shared" si="0"/>
        <v>100</v>
      </c>
      <c r="T12" s="768" t="s">
        <v>17</v>
      </c>
      <c r="U12" s="769">
        <f t="shared" si="1"/>
        <v>100</v>
      </c>
      <c r="V12" s="768" t="s">
        <v>17</v>
      </c>
      <c r="W12" s="769">
        <f t="shared" si="2"/>
        <v>100</v>
      </c>
      <c r="X12" s="770"/>
      <c r="Y12" s="3360"/>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500"/>
      <c r="Q13" s="1796">
        <f t="shared" si="6"/>
        <v>111</v>
      </c>
      <c r="R13" s="768" t="s">
        <v>17</v>
      </c>
      <c r="S13" s="769">
        <f t="shared" si="0"/>
        <v>100</v>
      </c>
      <c r="T13" s="768" t="s">
        <v>17</v>
      </c>
      <c r="U13" s="769">
        <f t="shared" si="1"/>
        <v>100</v>
      </c>
      <c r="V13" s="768" t="s">
        <v>17</v>
      </c>
      <c r="W13" s="769">
        <f t="shared" si="2"/>
        <v>100</v>
      </c>
      <c r="X13" s="770"/>
      <c r="Y13" s="3360"/>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500"/>
      <c r="Q14" s="1796">
        <f t="shared" si="6"/>
        <v>111</v>
      </c>
      <c r="R14" s="768" t="s">
        <v>17</v>
      </c>
      <c r="S14" s="769">
        <f t="shared" si="0"/>
        <v>100</v>
      </c>
      <c r="T14" s="768" t="s">
        <v>17</v>
      </c>
      <c r="U14" s="769">
        <f t="shared" si="1"/>
        <v>100</v>
      </c>
      <c r="V14" s="768" t="s">
        <v>17</v>
      </c>
      <c r="W14" s="769">
        <f t="shared" si="2"/>
        <v>100</v>
      </c>
      <c r="X14" s="770"/>
      <c r="Y14" s="3360"/>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527" t="s">
        <v>2545</v>
      </c>
      <c r="Q15" s="1811" t="str">
        <f t="shared" si="6"/>
        <v>办公集聚程度</v>
      </c>
      <c r="R15" s="772" t="s">
        <v>17</v>
      </c>
      <c r="S15" s="773">
        <f t="shared" si="0"/>
        <v>100</v>
      </c>
      <c r="T15" s="772" t="s">
        <v>17</v>
      </c>
      <c r="U15" s="773">
        <f t="shared" si="1"/>
        <v>100</v>
      </c>
      <c r="V15" s="772" t="s">
        <v>17</v>
      </c>
      <c r="W15" s="773">
        <f t="shared" si="2"/>
        <v>100</v>
      </c>
      <c r="X15" s="1814"/>
      <c r="Y15" s="3520"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528"/>
      <c r="Q16" s="1811"/>
      <c r="R16" s="772"/>
      <c r="S16" s="773"/>
      <c r="T16" s="772"/>
      <c r="U16" s="773"/>
      <c r="V16" s="772"/>
      <c r="W16" s="773"/>
      <c r="X16" s="1814"/>
      <c r="Y16" s="3521"/>
      <c r="Z16" s="1815"/>
      <c r="AA16" s="1812">
        <v>1</v>
      </c>
      <c r="AB16" s="1812">
        <v>1</v>
      </c>
      <c r="AC16" s="2672">
        <v>1</v>
      </c>
    </row>
    <row r="17" spans="1:29" ht="156.75">
      <c r="A17" s="428"/>
      <c r="B17" s="629" t="s">
        <v>2090</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528"/>
      <c r="Q17" s="1811" t="str">
        <f>B17</f>
        <v>交通便捷度</v>
      </c>
      <c r="R17" s="772" t="s">
        <v>17</v>
      </c>
      <c r="S17" s="773">
        <f>F17</f>
        <v>100</v>
      </c>
      <c r="T17" s="772" t="s">
        <v>17</v>
      </c>
      <c r="U17" s="773">
        <f>H17</f>
        <v>100</v>
      </c>
      <c r="V17" s="772" t="s">
        <v>17</v>
      </c>
      <c r="W17" s="773">
        <f>J17</f>
        <v>100</v>
      </c>
      <c r="X17" s="1814"/>
      <c r="Y17" s="3521"/>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528"/>
      <c r="Q18" s="1811"/>
      <c r="R18" s="772"/>
      <c r="S18" s="773"/>
      <c r="T18" s="772"/>
      <c r="U18" s="773"/>
      <c r="V18" s="772"/>
      <c r="W18" s="773"/>
      <c r="X18" s="1814"/>
      <c r="Y18" s="3521"/>
      <c r="Z18" s="1815"/>
      <c r="AA18" s="1812">
        <v>1</v>
      </c>
      <c r="AB18" s="1812">
        <v>1</v>
      </c>
      <c r="AC18" s="2672">
        <v>1</v>
      </c>
    </row>
    <row r="19" spans="1:29" ht="156.75">
      <c r="A19" s="428"/>
      <c r="B19" s="629" t="s">
        <v>2672</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528"/>
      <c r="Q19" s="1811" t="str">
        <f>B19</f>
        <v>公共配套设施</v>
      </c>
      <c r="R19" s="772" t="s">
        <v>17</v>
      </c>
      <c r="S19" s="773">
        <f>F19</f>
        <v>100</v>
      </c>
      <c r="T19" s="772" t="s">
        <v>17</v>
      </c>
      <c r="U19" s="773">
        <f>H19</f>
        <v>100</v>
      </c>
      <c r="V19" s="772" t="s">
        <v>17</v>
      </c>
      <c r="W19" s="773">
        <f>J19</f>
        <v>100</v>
      </c>
      <c r="X19" s="1814"/>
      <c r="Y19" s="3521"/>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528"/>
      <c r="Q20" s="1811"/>
      <c r="R20" s="772"/>
      <c r="S20" s="773"/>
      <c r="T20" s="772"/>
      <c r="U20" s="773"/>
      <c r="V20" s="772"/>
      <c r="W20" s="773"/>
      <c r="X20" s="1814"/>
      <c r="Y20" s="3521"/>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528"/>
      <c r="Q21" s="1811" t="str">
        <f>B21</f>
        <v>基础设施水平</v>
      </c>
      <c r="R21" s="772" t="s">
        <v>17</v>
      </c>
      <c r="S21" s="773">
        <f>F21</f>
        <v>100</v>
      </c>
      <c r="T21" s="772" t="s">
        <v>17</v>
      </c>
      <c r="U21" s="773">
        <f>H21</f>
        <v>100</v>
      </c>
      <c r="V21" s="772" t="s">
        <v>17</v>
      </c>
      <c r="W21" s="773">
        <f>J21</f>
        <v>100</v>
      </c>
      <c r="X21" s="1814"/>
      <c r="Y21" s="3521"/>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528"/>
      <c r="Q22" s="1811"/>
      <c r="R22" s="772"/>
      <c r="S22" s="773"/>
      <c r="T22" s="772"/>
      <c r="U22" s="773"/>
      <c r="V22" s="772"/>
      <c r="W22" s="773"/>
      <c r="X22" s="1814"/>
      <c r="Y22" s="3521"/>
      <c r="Z22" s="1815"/>
      <c r="AA22" s="1812">
        <v>1</v>
      </c>
      <c r="AB22" s="1812">
        <v>1</v>
      </c>
      <c r="AC22" s="2672">
        <v>1</v>
      </c>
    </row>
    <row r="23" spans="1:29" ht="156.75">
      <c r="A23" s="428"/>
      <c r="B23" s="629" t="s">
        <v>2674</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528"/>
      <c r="Q23" s="1811" t="str">
        <f>B23</f>
        <v>环境质量</v>
      </c>
      <c r="R23" s="772" t="s">
        <v>17</v>
      </c>
      <c r="S23" s="773">
        <f>F23</f>
        <v>100</v>
      </c>
      <c r="T23" s="772" t="s">
        <v>17</v>
      </c>
      <c r="U23" s="773">
        <f>H23</f>
        <v>100</v>
      </c>
      <c r="V23" s="772" t="s">
        <v>17</v>
      </c>
      <c r="W23" s="773">
        <f>J23</f>
        <v>100</v>
      </c>
      <c r="X23" s="1814"/>
      <c r="Y23" s="3521"/>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528"/>
      <c r="Q24" s="1811"/>
      <c r="R24" s="772"/>
      <c r="S24" s="773"/>
      <c r="T24" s="772"/>
      <c r="U24" s="773"/>
      <c r="V24" s="772"/>
      <c r="W24" s="773"/>
      <c r="X24" s="1814"/>
      <c r="Y24" s="3521"/>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528"/>
      <c r="Q25" s="1811" t="str">
        <f>B25</f>
        <v>毗邻道路的类型与等级</v>
      </c>
      <c r="R25" s="772" t="s">
        <v>17</v>
      </c>
      <c r="S25" s="773">
        <f>F25</f>
        <v>100</v>
      </c>
      <c r="T25" s="772" t="s">
        <v>17</v>
      </c>
      <c r="U25" s="773">
        <f>H25</f>
        <v>100</v>
      </c>
      <c r="V25" s="772" t="s">
        <v>17</v>
      </c>
      <c r="W25" s="773">
        <f>J25</f>
        <v>100</v>
      </c>
      <c r="X25" s="1814"/>
      <c r="Y25" s="3521"/>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528"/>
      <c r="Q26" s="1811"/>
      <c r="R26" s="772"/>
      <c r="S26" s="773"/>
      <c r="T26" s="772"/>
      <c r="U26" s="773"/>
      <c r="V26" s="772"/>
      <c r="W26" s="773"/>
      <c r="X26" s="1814"/>
      <c r="Y26" s="3521"/>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528"/>
      <c r="Q27" s="1811" t="str">
        <f t="shared" ref="Q27:Q47" si="11">B27</f>
        <v>楼层</v>
      </c>
      <c r="R27" s="772" t="s">
        <v>17</v>
      </c>
      <c r="S27" s="773">
        <f>F27</f>
        <v>100</v>
      </c>
      <c r="T27" s="772" t="s">
        <v>17</v>
      </c>
      <c r="U27" s="773">
        <f>H27</f>
        <v>100</v>
      </c>
      <c r="V27" s="772" t="s">
        <v>17</v>
      </c>
      <c r="W27" s="773">
        <f>J27</f>
        <v>100</v>
      </c>
      <c r="X27" s="1814"/>
      <c r="Y27" s="3521"/>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528"/>
      <c r="Q28" s="1796" t="str">
        <f t="shared" si="11"/>
        <v>朝向</v>
      </c>
      <c r="R28" s="768" t="s">
        <v>17</v>
      </c>
      <c r="S28" s="769">
        <f>F28</f>
        <v>100</v>
      </c>
      <c r="T28" s="768" t="s">
        <v>17</v>
      </c>
      <c r="U28" s="769">
        <f>H28</f>
        <v>100</v>
      </c>
      <c r="V28" s="768" t="s">
        <v>17</v>
      </c>
      <c r="W28" s="769">
        <f>J28</f>
        <v>100</v>
      </c>
      <c r="X28" s="770"/>
      <c r="Y28" s="3521"/>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528"/>
      <c r="Q29" s="1811">
        <f t="shared" si="11"/>
        <v>111</v>
      </c>
      <c r="R29" s="772" t="s">
        <v>17</v>
      </c>
      <c r="S29" s="773">
        <f t="shared" ref="S29:S47" si="12">F29</f>
        <v>100</v>
      </c>
      <c r="T29" s="772" t="s">
        <v>17</v>
      </c>
      <c r="U29" s="773">
        <f t="shared" ref="U29:U47" si="13">H29</f>
        <v>100</v>
      </c>
      <c r="V29" s="772" t="s">
        <v>17</v>
      </c>
      <c r="W29" s="773">
        <f t="shared" ref="W29:W47" si="14">J29</f>
        <v>100</v>
      </c>
      <c r="X29" s="1814"/>
      <c r="Y29" s="3521"/>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528"/>
      <c r="Q30" s="1811">
        <f t="shared" si="11"/>
        <v>111</v>
      </c>
      <c r="R30" s="772" t="s">
        <v>17</v>
      </c>
      <c r="S30" s="773">
        <f t="shared" si="12"/>
        <v>100</v>
      </c>
      <c r="T30" s="772" t="s">
        <v>17</v>
      </c>
      <c r="U30" s="773">
        <f t="shared" si="13"/>
        <v>100</v>
      </c>
      <c r="V30" s="772" t="s">
        <v>17</v>
      </c>
      <c r="W30" s="773">
        <f t="shared" si="14"/>
        <v>100</v>
      </c>
      <c r="X30" s="1814"/>
      <c r="Y30" s="3521"/>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528"/>
      <c r="Q31" s="1811">
        <f t="shared" si="11"/>
        <v>111</v>
      </c>
      <c r="R31" s="772" t="s">
        <v>17</v>
      </c>
      <c r="S31" s="773">
        <f t="shared" si="12"/>
        <v>100</v>
      </c>
      <c r="T31" s="772" t="s">
        <v>17</v>
      </c>
      <c r="U31" s="773">
        <f t="shared" si="13"/>
        <v>100</v>
      </c>
      <c r="V31" s="772" t="s">
        <v>17</v>
      </c>
      <c r="W31" s="773">
        <f t="shared" si="14"/>
        <v>100</v>
      </c>
      <c r="X31" s="1814"/>
      <c r="Y31" s="3521"/>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528"/>
      <c r="Q32" s="1811">
        <f t="shared" si="11"/>
        <v>111</v>
      </c>
      <c r="R32" s="772" t="s">
        <v>17</v>
      </c>
      <c r="S32" s="773">
        <f t="shared" si="12"/>
        <v>100</v>
      </c>
      <c r="T32" s="772" t="s">
        <v>17</v>
      </c>
      <c r="U32" s="773">
        <f t="shared" si="13"/>
        <v>100</v>
      </c>
      <c r="V32" s="772" t="s">
        <v>17</v>
      </c>
      <c r="W32" s="773">
        <f t="shared" si="14"/>
        <v>100</v>
      </c>
      <c r="X32" s="1814"/>
      <c r="Y32" s="3521"/>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522" t="s">
        <v>2550</v>
      </c>
      <c r="Q33" s="1811" t="str">
        <f t="shared" si="11"/>
        <v>建筑类型</v>
      </c>
      <c r="R33" s="772" t="s">
        <v>17</v>
      </c>
      <c r="S33" s="773">
        <f t="shared" si="12"/>
        <v>100</v>
      </c>
      <c r="T33" s="772" t="s">
        <v>17</v>
      </c>
      <c r="U33" s="773">
        <f t="shared" si="13"/>
        <v>100</v>
      </c>
      <c r="V33" s="772" t="s">
        <v>17</v>
      </c>
      <c r="W33" s="773">
        <f t="shared" si="14"/>
        <v>100</v>
      </c>
      <c r="X33" s="1814"/>
      <c r="Y33" s="3525"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523"/>
      <c r="Q34" s="774" t="str">
        <f t="shared" si="11"/>
        <v>项目建筑规模</v>
      </c>
      <c r="R34" s="775" t="s">
        <v>17</v>
      </c>
      <c r="S34" s="776" t="e">
        <f t="shared" si="12"/>
        <v>#N/A</v>
      </c>
      <c r="T34" s="775" t="s">
        <v>17</v>
      </c>
      <c r="U34" s="776" t="e">
        <f t="shared" si="13"/>
        <v>#N/A</v>
      </c>
      <c r="V34" s="775" t="s">
        <v>17</v>
      </c>
      <c r="W34" s="776" t="e">
        <f t="shared" si="14"/>
        <v>#N/A</v>
      </c>
      <c r="X34" s="777"/>
      <c r="Y34" s="3525"/>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523"/>
      <c r="Q35" s="1811" t="str">
        <f t="shared" si="11"/>
        <v>建筑结构</v>
      </c>
      <c r="R35" s="772" t="s">
        <v>17</v>
      </c>
      <c r="S35" s="773">
        <f t="shared" si="12"/>
        <v>100</v>
      </c>
      <c r="T35" s="772" t="s">
        <v>17</v>
      </c>
      <c r="U35" s="773">
        <f t="shared" si="13"/>
        <v>100</v>
      </c>
      <c r="V35" s="772" t="s">
        <v>17</v>
      </c>
      <c r="W35" s="773">
        <f t="shared" si="14"/>
        <v>100</v>
      </c>
      <c r="X35" s="1814"/>
      <c r="Y35" s="3525"/>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523"/>
      <c r="Q36" s="1811" t="str">
        <f t="shared" si="11"/>
        <v>公共部分装修</v>
      </c>
      <c r="R36" s="772" t="s">
        <v>17</v>
      </c>
      <c r="S36" s="773">
        <f t="shared" si="12"/>
        <v>100</v>
      </c>
      <c r="T36" s="772" t="s">
        <v>17</v>
      </c>
      <c r="U36" s="773">
        <f t="shared" si="13"/>
        <v>100</v>
      </c>
      <c r="V36" s="772" t="s">
        <v>17</v>
      </c>
      <c r="W36" s="773">
        <f t="shared" si="14"/>
        <v>100</v>
      </c>
      <c r="X36" s="1814"/>
      <c r="Y36" s="3525"/>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523"/>
      <c r="Q37" s="1811" t="str">
        <f t="shared" si="11"/>
        <v>成新度</v>
      </c>
      <c r="R37" s="772" t="s">
        <v>17</v>
      </c>
      <c r="S37" s="773" t="e">
        <f t="shared" si="12"/>
        <v>#N/A</v>
      </c>
      <c r="T37" s="772" t="s">
        <v>17</v>
      </c>
      <c r="U37" s="773" t="e">
        <f t="shared" si="13"/>
        <v>#N/A</v>
      </c>
      <c r="V37" s="772" t="s">
        <v>17</v>
      </c>
      <c r="W37" s="773" t="e">
        <f t="shared" si="14"/>
        <v>#N/A</v>
      </c>
      <c r="X37" s="1814"/>
      <c r="Y37" s="3525"/>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523"/>
      <c r="Q38" s="1796" t="str">
        <f t="shared" si="11"/>
        <v>写字楼等级</v>
      </c>
      <c r="R38" s="768" t="s">
        <v>17</v>
      </c>
      <c r="S38" s="769">
        <f t="shared" si="12"/>
        <v>100</v>
      </c>
      <c r="T38" s="768" t="s">
        <v>17</v>
      </c>
      <c r="U38" s="769">
        <f t="shared" si="13"/>
        <v>100</v>
      </c>
      <c r="V38" s="768" t="s">
        <v>17</v>
      </c>
      <c r="W38" s="769">
        <f t="shared" si="14"/>
        <v>100</v>
      </c>
      <c r="X38" s="770"/>
      <c r="Y38" s="3525"/>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523" t="s">
        <v>2550</v>
      </c>
      <c r="Q39" s="1811" t="str">
        <f t="shared" si="11"/>
        <v>物业管理</v>
      </c>
      <c r="R39" s="772" t="s">
        <v>17</v>
      </c>
      <c r="S39" s="773">
        <f t="shared" si="12"/>
        <v>100</v>
      </c>
      <c r="T39" s="772" t="s">
        <v>17</v>
      </c>
      <c r="U39" s="773">
        <f t="shared" si="13"/>
        <v>100</v>
      </c>
      <c r="V39" s="772" t="s">
        <v>17</v>
      </c>
      <c r="W39" s="773">
        <f t="shared" si="14"/>
        <v>100</v>
      </c>
      <c r="X39" s="1814"/>
      <c r="Y39" s="3525"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523"/>
      <c r="Q40" s="1811" t="str">
        <f t="shared" si="11"/>
        <v>市政基础设施</v>
      </c>
      <c r="R40" s="772" t="s">
        <v>17</v>
      </c>
      <c r="S40" s="773">
        <f t="shared" si="12"/>
        <v>100</v>
      </c>
      <c r="T40" s="772" t="s">
        <v>17</v>
      </c>
      <c r="U40" s="773">
        <f t="shared" si="13"/>
        <v>100</v>
      </c>
      <c r="V40" s="772" t="s">
        <v>17</v>
      </c>
      <c r="W40" s="773">
        <f t="shared" si="14"/>
        <v>100</v>
      </c>
      <c r="X40" s="1814"/>
      <c r="Y40" s="3525"/>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523"/>
      <c r="Q41" s="1811" t="str">
        <f t="shared" si="11"/>
        <v>层高</v>
      </c>
      <c r="R41" s="772" t="s">
        <v>17</v>
      </c>
      <c r="S41" s="773">
        <f t="shared" si="12"/>
        <v>100</v>
      </c>
      <c r="T41" s="772" t="s">
        <v>17</v>
      </c>
      <c r="U41" s="773">
        <f t="shared" si="13"/>
        <v>100</v>
      </c>
      <c r="V41" s="772" t="s">
        <v>17</v>
      </c>
      <c r="W41" s="773">
        <f t="shared" si="14"/>
        <v>100</v>
      </c>
      <c r="X41" s="1814"/>
      <c r="Y41" s="3525"/>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523"/>
      <c r="Q42" s="774" t="str">
        <f t="shared" si="11"/>
        <v>单套建筑面积</v>
      </c>
      <c r="R42" s="775" t="s">
        <v>17</v>
      </c>
      <c r="S42" s="776">
        <f t="shared" si="12"/>
        <v>100</v>
      </c>
      <c r="T42" s="775" t="s">
        <v>17</v>
      </c>
      <c r="U42" s="776">
        <f t="shared" si="13"/>
        <v>100</v>
      </c>
      <c r="V42" s="775" t="s">
        <v>17</v>
      </c>
      <c r="W42" s="776">
        <f t="shared" si="14"/>
        <v>100</v>
      </c>
      <c r="X42" s="777"/>
      <c r="Y42" s="3525"/>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523"/>
      <c r="Q43" s="1811" t="str">
        <f t="shared" si="11"/>
        <v>内部装修</v>
      </c>
      <c r="R43" s="772" t="s">
        <v>17</v>
      </c>
      <c r="S43" s="773">
        <f t="shared" si="12"/>
        <v>100</v>
      </c>
      <c r="T43" s="772" t="s">
        <v>17</v>
      </c>
      <c r="U43" s="773">
        <f t="shared" si="13"/>
        <v>100</v>
      </c>
      <c r="V43" s="772" t="s">
        <v>17</v>
      </c>
      <c r="W43" s="773">
        <f t="shared" si="14"/>
        <v>100</v>
      </c>
      <c r="X43" s="1814"/>
      <c r="Y43" s="3525"/>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523"/>
      <c r="Q44" s="1811" t="str">
        <f t="shared" si="11"/>
        <v>内部装修维护情况</v>
      </c>
      <c r="R44" s="772" t="s">
        <v>17</v>
      </c>
      <c r="S44" s="773">
        <f t="shared" si="12"/>
        <v>100</v>
      </c>
      <c r="T44" s="772" t="s">
        <v>17</v>
      </c>
      <c r="U44" s="773">
        <f t="shared" si="13"/>
        <v>100</v>
      </c>
      <c r="V44" s="772" t="s">
        <v>17</v>
      </c>
      <c r="W44" s="773">
        <f t="shared" si="14"/>
        <v>100</v>
      </c>
      <c r="X44" s="1814"/>
      <c r="Y44" s="3525"/>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523"/>
      <c r="Q45" s="1796">
        <f t="shared" si="11"/>
        <v>111</v>
      </c>
      <c r="R45" s="768" t="s">
        <v>17</v>
      </c>
      <c r="S45" s="769">
        <f t="shared" si="12"/>
        <v>100</v>
      </c>
      <c r="T45" s="768" t="s">
        <v>17</v>
      </c>
      <c r="U45" s="769">
        <f t="shared" si="13"/>
        <v>100</v>
      </c>
      <c r="V45" s="768" t="s">
        <v>17</v>
      </c>
      <c r="W45" s="769">
        <f t="shared" si="14"/>
        <v>100</v>
      </c>
      <c r="X45" s="770"/>
      <c r="Y45" s="3525"/>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523"/>
      <c r="Q46" s="1811">
        <f t="shared" si="11"/>
        <v>111</v>
      </c>
      <c r="R46" s="772" t="s">
        <v>17</v>
      </c>
      <c r="S46" s="773">
        <f t="shared" si="12"/>
        <v>100</v>
      </c>
      <c r="T46" s="772" t="s">
        <v>17</v>
      </c>
      <c r="U46" s="773">
        <f t="shared" si="13"/>
        <v>100</v>
      </c>
      <c r="V46" s="772" t="s">
        <v>17</v>
      </c>
      <c r="W46" s="773">
        <f t="shared" si="14"/>
        <v>100</v>
      </c>
      <c r="X46" s="1814"/>
      <c r="Y46" s="3525"/>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524"/>
      <c r="Q47" s="1811">
        <f t="shared" si="11"/>
        <v>111</v>
      </c>
      <c r="R47" s="772" t="s">
        <v>17</v>
      </c>
      <c r="S47" s="773">
        <f t="shared" si="12"/>
        <v>100</v>
      </c>
      <c r="T47" s="772" t="s">
        <v>17</v>
      </c>
      <c r="U47" s="773">
        <f t="shared" si="13"/>
        <v>100</v>
      </c>
      <c r="V47" s="772" t="s">
        <v>17</v>
      </c>
      <c r="W47" s="773">
        <f t="shared" si="14"/>
        <v>100</v>
      </c>
      <c r="X47" s="1814"/>
      <c r="Y47" s="3526"/>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500" t="str">
        <f>A48</f>
        <v>成交单价（元/平方米）</v>
      </c>
      <c r="Q48" s="3518"/>
      <c r="R48" s="3519">
        <f>E48</f>
        <v>0</v>
      </c>
      <c r="S48" s="3519"/>
      <c r="T48" s="3519">
        <f>G48</f>
        <v>0</v>
      </c>
      <c r="U48" s="3519"/>
      <c r="V48" s="3519">
        <f>I48</f>
        <v>0</v>
      </c>
      <c r="W48" s="3519"/>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500" t="str">
        <f>A49</f>
        <v>比较价值（元/平方米）</v>
      </c>
      <c r="Q49" s="3518"/>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574" t="str">
        <f>A50</f>
        <v>估价对象XX用房的比较价值（楼面单价，元/平方米）</v>
      </c>
      <c r="Q50" s="3575"/>
      <c r="R50" s="3576" t="e">
        <f>IF(F1="售价",ROUND(AVERAGE(R49:V49),0),ROUND(AVERAGE(R49:V49),1))</f>
        <v>#DIV/0!</v>
      </c>
      <c r="S50" s="3576"/>
      <c r="T50" s="3576"/>
      <c r="U50" s="3576"/>
      <c r="V50" s="3576"/>
      <c r="W50" s="3576"/>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36">
      <c r="A4" s="1949" t="str">
        <f>"受贵公司委托，我公司对"&amp;项目基本情况!S1&amp;"进行了预评估。"</f>
        <v>受贵公司委托，我公司对河北省廊坊市三河市燕郊开发区规划路南北两侧天洋城天洋广场地下商业房地产抵押价值进行了预评估。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南北两侧天洋城天洋广场地下商业房地产，为天洋置地有限公司所有。根据《国有土地使用权》[三国用（燕开）第2010-026、029号]，估价对象（分摊）出让国有建设用地使用权面积为6298.25平方米，建筑面积为42395.67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南北两侧天洋城天洋广场地下商业房地产,为天洋置地有限公司开发建设的商业项目，该项目尚在开发建设中。根据《国有土地使用权》[三国用（燕开）第2010-026、029号]，估价对象（分摊）出让国有建设用地使用权面积为6298.25平方米，规划建筑面积为42395.67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42395.67</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501" t="s">
        <v>2631</v>
      </c>
      <c r="D4" s="3502"/>
      <c r="E4" s="3503" t="s">
        <v>2632</v>
      </c>
      <c r="F4" s="3504"/>
      <c r="G4" s="3501" t="s">
        <v>2633</v>
      </c>
      <c r="H4" s="3502"/>
      <c r="I4" s="3501" t="s">
        <v>2634</v>
      </c>
      <c r="J4" s="3502"/>
      <c r="K4" s="610" t="s">
        <v>2635</v>
      </c>
      <c r="L4" s="1130"/>
      <c r="M4" s="1131"/>
      <c r="N4" s="1131"/>
      <c r="O4" s="1131"/>
      <c r="P4" s="3505" t="s">
        <v>2636</v>
      </c>
      <c r="Q4" s="3506"/>
      <c r="R4" s="3488" t="s">
        <v>2632</v>
      </c>
      <c r="S4" s="3489"/>
      <c r="T4" s="3488" t="s">
        <v>2633</v>
      </c>
      <c r="U4" s="3489"/>
      <c r="V4" s="3513" t="s">
        <v>2634</v>
      </c>
      <c r="W4" s="3513"/>
      <c r="X4" s="1814"/>
      <c r="Y4" s="3488" t="s">
        <v>2636</v>
      </c>
      <c r="Z4" s="3489"/>
      <c r="AA4" s="3483" t="s">
        <v>2632</v>
      </c>
      <c r="AB4" s="3484" t="s">
        <v>2633</v>
      </c>
      <c r="AC4" s="3483" t="s">
        <v>2634</v>
      </c>
    </row>
    <row r="5" spans="1:29" ht="15">
      <c r="A5" s="404"/>
      <c r="B5" s="405"/>
      <c r="C5" s="3564" t="s">
        <v>2527</v>
      </c>
      <c r="D5" s="3495"/>
      <c r="E5" s="3563" t="s">
        <v>2528</v>
      </c>
      <c r="F5" s="3493"/>
      <c r="G5" s="3564" t="s">
        <v>2529</v>
      </c>
      <c r="H5" s="3495"/>
      <c r="I5" s="3564" t="s">
        <v>2530</v>
      </c>
      <c r="J5" s="3495"/>
      <c r="K5" s="610"/>
      <c r="L5" s="1130"/>
      <c r="M5" s="1131"/>
      <c r="N5" s="1131"/>
      <c r="O5" s="1131"/>
      <c r="P5" s="3507"/>
      <c r="Q5" s="3508"/>
      <c r="R5" s="3490"/>
      <c r="S5" s="3491"/>
      <c r="T5" s="3490"/>
      <c r="U5" s="3491"/>
      <c r="V5" s="3513"/>
      <c r="W5" s="3513"/>
      <c r="X5" s="1814"/>
      <c r="Y5" s="3490"/>
      <c r="Z5" s="3491"/>
      <c r="AA5" s="3484"/>
      <c r="AB5" s="3484"/>
      <c r="AC5" s="3484"/>
    </row>
    <row r="6" spans="1:29" ht="15.75" thickBot="1">
      <c r="A6" s="406"/>
      <c r="B6" s="407"/>
      <c r="C6" s="3496" t="s">
        <v>2531</v>
      </c>
      <c r="D6" s="3497"/>
      <c r="E6" s="3498" t="s">
        <v>2531</v>
      </c>
      <c r="F6" s="3499"/>
      <c r="G6" s="3496" t="s">
        <v>2531</v>
      </c>
      <c r="H6" s="3497"/>
      <c r="I6" s="3496" t="s">
        <v>2531</v>
      </c>
      <c r="J6" s="3497"/>
      <c r="K6" s="610" t="s">
        <v>2532</v>
      </c>
      <c r="L6" s="1130"/>
      <c r="M6" s="1131"/>
      <c r="N6" s="1131"/>
      <c r="O6" s="1131"/>
      <c r="P6" s="3509"/>
      <c r="Q6" s="3510"/>
      <c r="R6" s="3490"/>
      <c r="S6" s="3491"/>
      <c r="T6" s="3511"/>
      <c r="U6" s="3512"/>
      <c r="V6" s="3513"/>
      <c r="W6" s="3513"/>
      <c r="X6" s="1814"/>
      <c r="Y6" s="3511"/>
      <c r="Z6" s="3512"/>
      <c r="AA6" s="3485"/>
      <c r="AB6" s="3485"/>
      <c r="AC6" s="3485"/>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486" t="s">
        <v>2534</v>
      </c>
      <c r="Q7" s="3514"/>
      <c r="R7" s="768" t="s">
        <v>17</v>
      </c>
      <c r="S7" s="769">
        <f t="shared" ref="S7:S15" si="0">F7</f>
        <v>0</v>
      </c>
      <c r="T7" s="768" t="s">
        <v>17</v>
      </c>
      <c r="U7" s="769">
        <f t="shared" ref="U7:U15" si="1">H7</f>
        <v>0</v>
      </c>
      <c r="V7" s="768" t="s">
        <v>17</v>
      </c>
      <c r="W7" s="769">
        <f t="shared" ref="W7:W15" si="2">J7</f>
        <v>0</v>
      </c>
      <c r="X7" s="770"/>
      <c r="Y7" s="3486" t="s">
        <v>2534</v>
      </c>
      <c r="Z7" s="3487"/>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486" t="s">
        <v>2537</v>
      </c>
      <c r="Q8" s="3487"/>
      <c r="R8" s="768" t="s">
        <v>17</v>
      </c>
      <c r="S8" s="769">
        <f t="shared" si="0"/>
        <v>0</v>
      </c>
      <c r="T8" s="768" t="s">
        <v>17</v>
      </c>
      <c r="U8" s="769">
        <f t="shared" si="1"/>
        <v>0</v>
      </c>
      <c r="V8" s="768" t="s">
        <v>17</v>
      </c>
      <c r="W8" s="769">
        <f t="shared" si="2"/>
        <v>0</v>
      </c>
      <c r="X8" s="770"/>
      <c r="Y8" s="3486" t="s">
        <v>2537</v>
      </c>
      <c r="Z8" s="3487"/>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518" t="s">
        <v>2540</v>
      </c>
      <c r="Q9" s="1796" t="str">
        <f t="shared" ref="Q9:Q15" si="6">B9</f>
        <v>用途</v>
      </c>
      <c r="R9" s="768" t="s">
        <v>17</v>
      </c>
      <c r="S9" s="769">
        <f t="shared" si="0"/>
        <v>100</v>
      </c>
      <c r="T9" s="768" t="s">
        <v>17</v>
      </c>
      <c r="U9" s="769">
        <f t="shared" si="1"/>
        <v>100</v>
      </c>
      <c r="V9" s="768" t="s">
        <v>17</v>
      </c>
      <c r="W9" s="769">
        <f t="shared" si="2"/>
        <v>100</v>
      </c>
      <c r="X9" s="770"/>
      <c r="Y9" s="3360"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518"/>
      <c r="Q10" s="1796" t="str">
        <f t="shared" si="6"/>
        <v>土地使用年限（年）</v>
      </c>
      <c r="R10" s="768" t="s">
        <v>17</v>
      </c>
      <c r="S10" s="769">
        <f t="shared" si="0"/>
        <v>100</v>
      </c>
      <c r="T10" s="768" t="s">
        <v>17</v>
      </c>
      <c r="U10" s="769">
        <f t="shared" si="1"/>
        <v>100</v>
      </c>
      <c r="V10" s="768" t="s">
        <v>17</v>
      </c>
      <c r="W10" s="769">
        <f t="shared" si="2"/>
        <v>100</v>
      </c>
      <c r="X10" s="770"/>
      <c r="Y10" s="3360"/>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518"/>
      <c r="Q11" s="1796" t="str">
        <f t="shared" si="6"/>
        <v>容积率</v>
      </c>
      <c r="R11" s="768" t="s">
        <v>17</v>
      </c>
      <c r="S11" s="769" t="e">
        <f t="shared" si="0"/>
        <v>#N/A</v>
      </c>
      <c r="T11" s="768" t="s">
        <v>17</v>
      </c>
      <c r="U11" s="769" t="e">
        <f t="shared" si="1"/>
        <v>#N/A</v>
      </c>
      <c r="V11" s="768" t="s">
        <v>17</v>
      </c>
      <c r="W11" s="769" t="e">
        <f t="shared" si="2"/>
        <v>#N/A</v>
      </c>
      <c r="X11" s="770"/>
      <c r="Y11" s="3360"/>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518"/>
      <c r="Q12" s="1796">
        <f t="shared" si="6"/>
        <v>111</v>
      </c>
      <c r="R12" s="768" t="s">
        <v>17</v>
      </c>
      <c r="S12" s="769">
        <f t="shared" si="0"/>
        <v>100</v>
      </c>
      <c r="T12" s="768" t="s">
        <v>17</v>
      </c>
      <c r="U12" s="769">
        <f t="shared" si="1"/>
        <v>100</v>
      </c>
      <c r="V12" s="768" t="s">
        <v>17</v>
      </c>
      <c r="W12" s="769">
        <f t="shared" si="2"/>
        <v>100</v>
      </c>
      <c r="X12" s="770"/>
      <c r="Y12" s="3360"/>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518"/>
      <c r="Q13" s="1796">
        <f t="shared" si="6"/>
        <v>111</v>
      </c>
      <c r="R13" s="768" t="s">
        <v>17</v>
      </c>
      <c r="S13" s="769">
        <f t="shared" si="0"/>
        <v>100</v>
      </c>
      <c r="T13" s="768" t="s">
        <v>17</v>
      </c>
      <c r="U13" s="769">
        <f t="shared" si="1"/>
        <v>100</v>
      </c>
      <c r="V13" s="768" t="s">
        <v>17</v>
      </c>
      <c r="W13" s="769">
        <f t="shared" si="2"/>
        <v>100</v>
      </c>
      <c r="X13" s="770"/>
      <c r="Y13" s="3360"/>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518"/>
      <c r="Q14" s="1796">
        <f t="shared" si="6"/>
        <v>111</v>
      </c>
      <c r="R14" s="768" t="s">
        <v>17</v>
      </c>
      <c r="S14" s="769">
        <f t="shared" si="0"/>
        <v>100</v>
      </c>
      <c r="T14" s="768" t="s">
        <v>17</v>
      </c>
      <c r="U14" s="769">
        <f t="shared" si="1"/>
        <v>100</v>
      </c>
      <c r="V14" s="768" t="s">
        <v>17</v>
      </c>
      <c r="W14" s="769">
        <f t="shared" si="2"/>
        <v>100</v>
      </c>
      <c r="X14" s="770"/>
      <c r="Y14" s="3360"/>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520" t="s">
        <v>2545</v>
      </c>
      <c r="Q15" s="1811" t="str">
        <f t="shared" si="6"/>
        <v>产业集聚程度</v>
      </c>
      <c r="R15" s="772" t="s">
        <v>17</v>
      </c>
      <c r="S15" s="773">
        <f t="shared" si="0"/>
        <v>100</v>
      </c>
      <c r="T15" s="772" t="s">
        <v>17</v>
      </c>
      <c r="U15" s="773">
        <f t="shared" si="1"/>
        <v>100</v>
      </c>
      <c r="V15" s="772" t="s">
        <v>17</v>
      </c>
      <c r="W15" s="773">
        <f t="shared" si="2"/>
        <v>100</v>
      </c>
      <c r="X15" s="1814"/>
      <c r="Y15" s="3520"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521"/>
      <c r="Q16" s="1811"/>
      <c r="R16" s="772"/>
      <c r="S16" s="773"/>
      <c r="T16" s="772"/>
      <c r="U16" s="773"/>
      <c r="V16" s="772"/>
      <c r="W16" s="773"/>
      <c r="X16" s="1814"/>
      <c r="Y16" s="3521"/>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521"/>
      <c r="Q17" s="1811" t="str">
        <f>B17</f>
        <v>交通便捷度</v>
      </c>
      <c r="R17" s="772" t="s">
        <v>17</v>
      </c>
      <c r="S17" s="773">
        <f>F17</f>
        <v>100</v>
      </c>
      <c r="T17" s="772" t="s">
        <v>17</v>
      </c>
      <c r="U17" s="773">
        <f>H17</f>
        <v>100</v>
      </c>
      <c r="V17" s="772" t="s">
        <v>17</v>
      </c>
      <c r="W17" s="773">
        <f>J17</f>
        <v>100</v>
      </c>
      <c r="X17" s="1814"/>
      <c r="Y17" s="3521"/>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521"/>
      <c r="Q18" s="1811"/>
      <c r="R18" s="772"/>
      <c r="S18" s="773"/>
      <c r="T18" s="772"/>
      <c r="U18" s="773"/>
      <c r="V18" s="772"/>
      <c r="W18" s="773"/>
      <c r="X18" s="1814"/>
      <c r="Y18" s="3521"/>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521"/>
      <c r="Q19" s="1811" t="str">
        <f>B19</f>
        <v>公共配套设施</v>
      </c>
      <c r="R19" s="772" t="s">
        <v>17</v>
      </c>
      <c r="S19" s="773">
        <f>F19</f>
        <v>100</v>
      </c>
      <c r="T19" s="772" t="s">
        <v>17</v>
      </c>
      <c r="U19" s="773">
        <f>H19</f>
        <v>100</v>
      </c>
      <c r="V19" s="772" t="s">
        <v>17</v>
      </c>
      <c r="W19" s="773">
        <f>J19</f>
        <v>100</v>
      </c>
      <c r="X19" s="1814"/>
      <c r="Y19" s="3521"/>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521"/>
      <c r="Q20" s="1811"/>
      <c r="R20" s="772"/>
      <c r="S20" s="773"/>
      <c r="T20" s="772"/>
      <c r="U20" s="773"/>
      <c r="V20" s="772"/>
      <c r="W20" s="773"/>
      <c r="X20" s="1814"/>
      <c r="Y20" s="3521"/>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521"/>
      <c r="Q21" s="1811" t="str">
        <f>B21</f>
        <v>基础设施水平</v>
      </c>
      <c r="R21" s="772" t="s">
        <v>17</v>
      </c>
      <c r="S21" s="773">
        <f>F21</f>
        <v>100</v>
      </c>
      <c r="T21" s="772" t="s">
        <v>17</v>
      </c>
      <c r="U21" s="773">
        <f>H21</f>
        <v>100</v>
      </c>
      <c r="V21" s="772" t="s">
        <v>17</v>
      </c>
      <c r="W21" s="773">
        <f>J21</f>
        <v>100</v>
      </c>
      <c r="X21" s="1814"/>
      <c r="Y21" s="3521"/>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521"/>
      <c r="Q22" s="1811"/>
      <c r="R22" s="772"/>
      <c r="S22" s="773"/>
      <c r="T22" s="772"/>
      <c r="U22" s="773"/>
      <c r="V22" s="772"/>
      <c r="W22" s="773"/>
      <c r="X22" s="1814"/>
      <c r="Y22" s="3521"/>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521"/>
      <c r="Q23" s="1811" t="str">
        <f>B23</f>
        <v>环境质量</v>
      </c>
      <c r="R23" s="772" t="s">
        <v>17</v>
      </c>
      <c r="S23" s="773">
        <f>F23</f>
        <v>100</v>
      </c>
      <c r="T23" s="772" t="s">
        <v>17</v>
      </c>
      <c r="U23" s="773">
        <f>H23</f>
        <v>100</v>
      </c>
      <c r="V23" s="772" t="s">
        <v>17</v>
      </c>
      <c r="W23" s="773">
        <f>J23</f>
        <v>100</v>
      </c>
      <c r="X23" s="1814"/>
      <c r="Y23" s="3521"/>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521"/>
      <c r="Q24" s="1811"/>
      <c r="R24" s="772"/>
      <c r="S24" s="773"/>
      <c r="T24" s="772"/>
      <c r="U24" s="773"/>
      <c r="V24" s="772"/>
      <c r="W24" s="773"/>
      <c r="X24" s="1814"/>
      <c r="Y24" s="3521"/>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521"/>
      <c r="Q25" s="1811">
        <f>B25</f>
        <v>111</v>
      </c>
      <c r="R25" s="772" t="s">
        <v>17</v>
      </c>
      <c r="S25" s="773">
        <f>F25</f>
        <v>100</v>
      </c>
      <c r="T25" s="772" t="s">
        <v>17</v>
      </c>
      <c r="U25" s="773">
        <f>H25</f>
        <v>100</v>
      </c>
      <c r="V25" s="772" t="s">
        <v>17</v>
      </c>
      <c r="W25" s="773">
        <f>J25</f>
        <v>100</v>
      </c>
      <c r="X25" s="1814"/>
      <c r="Y25" s="3521"/>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521"/>
      <c r="Q26" s="1811">
        <f t="shared" ref="Q26:Q40" si="11">B26</f>
        <v>111</v>
      </c>
      <c r="R26" s="772" t="s">
        <v>17</v>
      </c>
      <c r="S26" s="773">
        <f>F26</f>
        <v>100</v>
      </c>
      <c r="T26" s="772" t="s">
        <v>17</v>
      </c>
      <c r="U26" s="773">
        <f>H26</f>
        <v>100</v>
      </c>
      <c r="V26" s="772" t="s">
        <v>17</v>
      </c>
      <c r="W26" s="773">
        <f>J26</f>
        <v>100</v>
      </c>
      <c r="X26" s="1814"/>
      <c r="Y26" s="3521"/>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521"/>
      <c r="Q27" s="1796">
        <f t="shared" si="11"/>
        <v>111</v>
      </c>
      <c r="R27" s="768" t="s">
        <v>17</v>
      </c>
      <c r="S27" s="769">
        <f>F27</f>
        <v>100</v>
      </c>
      <c r="T27" s="768" t="s">
        <v>17</v>
      </c>
      <c r="U27" s="769">
        <f>H27</f>
        <v>100</v>
      </c>
      <c r="V27" s="768" t="s">
        <v>17</v>
      </c>
      <c r="W27" s="769">
        <f>J27</f>
        <v>100</v>
      </c>
      <c r="X27" s="770"/>
      <c r="Y27" s="3521"/>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521"/>
      <c r="Q28" s="1811">
        <f t="shared" si="11"/>
        <v>111</v>
      </c>
      <c r="R28" s="772" t="s">
        <v>17</v>
      </c>
      <c r="S28" s="773">
        <f t="shared" ref="S28:S40" si="12">F28</f>
        <v>100</v>
      </c>
      <c r="T28" s="772" t="s">
        <v>17</v>
      </c>
      <c r="U28" s="773">
        <f t="shared" ref="U28:U40" si="13">H28</f>
        <v>100</v>
      </c>
      <c r="V28" s="772" t="s">
        <v>17</v>
      </c>
      <c r="W28" s="773">
        <f t="shared" ref="W28:W40" si="14">J28</f>
        <v>100</v>
      </c>
      <c r="X28" s="1814"/>
      <c r="Y28" s="3521"/>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577" t="s">
        <v>2550</v>
      </c>
      <c r="Q29" s="1811" t="str">
        <f t="shared" si="11"/>
        <v>建筑类型</v>
      </c>
      <c r="R29" s="772" t="s">
        <v>17</v>
      </c>
      <c r="S29" s="773">
        <f t="shared" si="12"/>
        <v>100</v>
      </c>
      <c r="T29" s="772" t="s">
        <v>17</v>
      </c>
      <c r="U29" s="773">
        <f t="shared" si="13"/>
        <v>100</v>
      </c>
      <c r="V29" s="772" t="s">
        <v>17</v>
      </c>
      <c r="W29" s="773">
        <f t="shared" si="14"/>
        <v>100</v>
      </c>
      <c r="X29" s="1814"/>
      <c r="Y29" s="3525"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525"/>
      <c r="Q30" s="774" t="str">
        <f t="shared" si="11"/>
        <v>项目建筑规模</v>
      </c>
      <c r="R30" s="775" t="s">
        <v>17</v>
      </c>
      <c r="S30" s="776" t="e">
        <f t="shared" si="12"/>
        <v>#N/A</v>
      </c>
      <c r="T30" s="775" t="s">
        <v>17</v>
      </c>
      <c r="U30" s="776" t="e">
        <f t="shared" si="13"/>
        <v>#N/A</v>
      </c>
      <c r="V30" s="775" t="s">
        <v>17</v>
      </c>
      <c r="W30" s="776" t="e">
        <f t="shared" si="14"/>
        <v>#N/A</v>
      </c>
      <c r="X30" s="777"/>
      <c r="Y30" s="3525"/>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525"/>
      <c r="Q31" s="1811" t="str">
        <f t="shared" si="11"/>
        <v>建筑结构</v>
      </c>
      <c r="R31" s="772" t="s">
        <v>17</v>
      </c>
      <c r="S31" s="773">
        <f t="shared" si="12"/>
        <v>100</v>
      </c>
      <c r="T31" s="772" t="s">
        <v>17</v>
      </c>
      <c r="U31" s="773">
        <f t="shared" si="13"/>
        <v>100</v>
      </c>
      <c r="V31" s="772" t="s">
        <v>17</v>
      </c>
      <c r="W31" s="773">
        <f t="shared" si="14"/>
        <v>100</v>
      </c>
      <c r="X31" s="1814"/>
      <c r="Y31" s="3525"/>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525"/>
      <c r="Q32" s="1811" t="str">
        <f t="shared" si="11"/>
        <v>公共部分装修</v>
      </c>
      <c r="R32" s="772" t="s">
        <v>17</v>
      </c>
      <c r="S32" s="773">
        <f t="shared" si="12"/>
        <v>100</v>
      </c>
      <c r="T32" s="772" t="s">
        <v>17</v>
      </c>
      <c r="U32" s="773">
        <f t="shared" si="13"/>
        <v>100</v>
      </c>
      <c r="V32" s="772" t="s">
        <v>17</v>
      </c>
      <c r="W32" s="773">
        <f t="shared" si="14"/>
        <v>100</v>
      </c>
      <c r="X32" s="1814"/>
      <c r="Y32" s="3525"/>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525"/>
      <c r="Q33" s="1811" t="str">
        <f t="shared" si="11"/>
        <v>成新度</v>
      </c>
      <c r="R33" s="772" t="s">
        <v>17</v>
      </c>
      <c r="S33" s="773" t="e">
        <f t="shared" si="12"/>
        <v>#N/A</v>
      </c>
      <c r="T33" s="772" t="s">
        <v>17</v>
      </c>
      <c r="U33" s="773" t="e">
        <f t="shared" si="13"/>
        <v>#N/A</v>
      </c>
      <c r="V33" s="772" t="s">
        <v>17</v>
      </c>
      <c r="W33" s="773" t="e">
        <f t="shared" si="14"/>
        <v>#N/A</v>
      </c>
      <c r="X33" s="1814"/>
      <c r="Y33" s="3525"/>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525"/>
      <c r="Q34" s="1796" t="str">
        <f t="shared" si="11"/>
        <v>物业管理</v>
      </c>
      <c r="R34" s="768" t="s">
        <v>17</v>
      </c>
      <c r="S34" s="769">
        <f t="shared" si="12"/>
        <v>100</v>
      </c>
      <c r="T34" s="768" t="s">
        <v>17</v>
      </c>
      <c r="U34" s="769">
        <f t="shared" si="13"/>
        <v>100</v>
      </c>
      <c r="V34" s="768" t="s">
        <v>17</v>
      </c>
      <c r="W34" s="769">
        <f t="shared" si="14"/>
        <v>100</v>
      </c>
      <c r="X34" s="770"/>
      <c r="Y34" s="3525"/>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525" t="s">
        <v>2550</v>
      </c>
      <c r="Q35" s="1811" t="str">
        <f t="shared" si="11"/>
        <v>市政基础设施</v>
      </c>
      <c r="R35" s="772" t="s">
        <v>17</v>
      </c>
      <c r="S35" s="773">
        <f t="shared" si="12"/>
        <v>100</v>
      </c>
      <c r="T35" s="772" t="s">
        <v>17</v>
      </c>
      <c r="U35" s="773">
        <f t="shared" si="13"/>
        <v>100</v>
      </c>
      <c r="V35" s="772" t="s">
        <v>17</v>
      </c>
      <c r="W35" s="773">
        <f t="shared" si="14"/>
        <v>100</v>
      </c>
      <c r="X35" s="1814"/>
      <c r="Y35" s="3525"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525"/>
      <c r="Q36" s="1811" t="str">
        <f t="shared" si="11"/>
        <v>内部装修</v>
      </c>
      <c r="R36" s="772" t="s">
        <v>17</v>
      </c>
      <c r="S36" s="773">
        <f t="shared" si="12"/>
        <v>100</v>
      </c>
      <c r="T36" s="772" t="s">
        <v>17</v>
      </c>
      <c r="U36" s="773">
        <f t="shared" si="13"/>
        <v>100</v>
      </c>
      <c r="V36" s="772" t="s">
        <v>17</v>
      </c>
      <c r="W36" s="773">
        <f t="shared" si="14"/>
        <v>100</v>
      </c>
      <c r="X36" s="1814"/>
      <c r="Y36" s="3525"/>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525"/>
      <c r="Q37" s="1811" t="str">
        <f t="shared" si="11"/>
        <v>内部装修状况</v>
      </c>
      <c r="R37" s="772" t="s">
        <v>17</v>
      </c>
      <c r="S37" s="773">
        <f t="shared" si="12"/>
        <v>100</v>
      </c>
      <c r="T37" s="772" t="s">
        <v>17</v>
      </c>
      <c r="U37" s="773">
        <f t="shared" si="13"/>
        <v>100</v>
      </c>
      <c r="V37" s="772" t="s">
        <v>17</v>
      </c>
      <c r="W37" s="773">
        <f t="shared" si="14"/>
        <v>100</v>
      </c>
      <c r="X37" s="1814"/>
      <c r="Y37" s="3525"/>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525"/>
      <c r="Q38" s="774">
        <f t="shared" si="11"/>
        <v>111</v>
      </c>
      <c r="R38" s="775" t="s">
        <v>17</v>
      </c>
      <c r="S38" s="776">
        <f t="shared" si="12"/>
        <v>100</v>
      </c>
      <c r="T38" s="775" t="s">
        <v>17</v>
      </c>
      <c r="U38" s="776">
        <f t="shared" si="13"/>
        <v>100</v>
      </c>
      <c r="V38" s="775" t="s">
        <v>17</v>
      </c>
      <c r="W38" s="776">
        <f t="shared" si="14"/>
        <v>100</v>
      </c>
      <c r="X38" s="777"/>
      <c r="Y38" s="3525"/>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525"/>
      <c r="Q39" s="1811">
        <f t="shared" si="11"/>
        <v>111</v>
      </c>
      <c r="R39" s="772" t="s">
        <v>17</v>
      </c>
      <c r="S39" s="773">
        <f t="shared" si="12"/>
        <v>100</v>
      </c>
      <c r="T39" s="772" t="s">
        <v>17</v>
      </c>
      <c r="U39" s="773">
        <f t="shared" si="13"/>
        <v>100</v>
      </c>
      <c r="V39" s="772" t="s">
        <v>17</v>
      </c>
      <c r="W39" s="773">
        <f t="shared" si="14"/>
        <v>100</v>
      </c>
      <c r="X39" s="1814"/>
      <c r="Y39" s="3525"/>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526"/>
      <c r="Q40" s="1811">
        <f t="shared" si="11"/>
        <v>111</v>
      </c>
      <c r="R40" s="772" t="s">
        <v>17</v>
      </c>
      <c r="S40" s="773">
        <f t="shared" si="12"/>
        <v>100</v>
      </c>
      <c r="T40" s="772" t="s">
        <v>17</v>
      </c>
      <c r="U40" s="773">
        <f t="shared" si="13"/>
        <v>100</v>
      </c>
      <c r="V40" s="772" t="s">
        <v>17</v>
      </c>
      <c r="W40" s="773">
        <f t="shared" si="14"/>
        <v>100</v>
      </c>
      <c r="X40" s="1814"/>
      <c r="Y40" s="3526"/>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518" t="str">
        <f>A41</f>
        <v>成交单价（元/平方米）</v>
      </c>
      <c r="Q41" s="3518"/>
      <c r="R41" s="3519">
        <f>E41</f>
        <v>0</v>
      </c>
      <c r="S41" s="3519"/>
      <c r="T41" s="3519">
        <f>G41</f>
        <v>0</v>
      </c>
      <c r="U41" s="3519"/>
      <c r="V41" s="3519">
        <f>I41</f>
        <v>0</v>
      </c>
      <c r="W41" s="3519"/>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518" t="str">
        <f>A42</f>
        <v>比较价值（元/平方米）</v>
      </c>
      <c r="Q42" s="3518"/>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515" t="str">
        <f>A43</f>
        <v>估价对象XX用房的比较价值（楼面单价，元/平方米）</v>
      </c>
      <c r="Q43" s="3516"/>
      <c r="R43" s="3517" t="e">
        <f>IF(F1="售价",ROUND(AVERAGE(R42:V42),0),ROUND(AVERAGE(R42:V42),1))</f>
        <v>#DIV/0!</v>
      </c>
      <c r="S43" s="3517"/>
      <c r="T43" s="3517"/>
      <c r="U43" s="3517"/>
      <c r="V43" s="3517"/>
      <c r="W43" s="3517"/>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501" t="s">
        <v>2631</v>
      </c>
      <c r="D4" s="3502"/>
      <c r="E4" s="3503" t="s">
        <v>2632</v>
      </c>
      <c r="F4" s="3504"/>
      <c r="G4" s="3501" t="s">
        <v>2633</v>
      </c>
      <c r="H4" s="3502"/>
      <c r="I4" s="3501" t="s">
        <v>2634</v>
      </c>
      <c r="J4" s="3502"/>
      <c r="K4" s="610" t="s">
        <v>2635</v>
      </c>
      <c r="L4" s="1130"/>
      <c r="M4" s="1131"/>
      <c r="N4" s="1131"/>
      <c r="O4" s="1131"/>
      <c r="P4" s="3505" t="s">
        <v>2636</v>
      </c>
      <c r="Q4" s="3506"/>
      <c r="R4" s="3488" t="s">
        <v>2632</v>
      </c>
      <c r="S4" s="3489"/>
      <c r="T4" s="3488" t="s">
        <v>2633</v>
      </c>
      <c r="U4" s="3489"/>
      <c r="V4" s="3513" t="s">
        <v>2634</v>
      </c>
      <c r="W4" s="3513"/>
      <c r="X4" s="1814"/>
      <c r="Y4" s="3488" t="s">
        <v>2636</v>
      </c>
      <c r="Z4" s="3489"/>
      <c r="AA4" s="3483" t="s">
        <v>2632</v>
      </c>
      <c r="AB4" s="3484" t="s">
        <v>2633</v>
      </c>
      <c r="AC4" s="3483" t="s">
        <v>2634</v>
      </c>
    </row>
    <row r="5" spans="1:29" ht="15">
      <c r="A5" s="404"/>
      <c r="B5" s="405"/>
      <c r="C5" s="3564" t="s">
        <v>2527</v>
      </c>
      <c r="D5" s="3495"/>
      <c r="E5" s="3563" t="s">
        <v>2528</v>
      </c>
      <c r="F5" s="3493"/>
      <c r="G5" s="3564" t="s">
        <v>2529</v>
      </c>
      <c r="H5" s="3495"/>
      <c r="I5" s="3564" t="s">
        <v>2530</v>
      </c>
      <c r="J5" s="3495"/>
      <c r="K5" s="610"/>
      <c r="L5" s="1130"/>
      <c r="M5" s="1131"/>
      <c r="N5" s="1131"/>
      <c r="O5" s="1131"/>
      <c r="P5" s="3507"/>
      <c r="Q5" s="3508"/>
      <c r="R5" s="3490"/>
      <c r="S5" s="3491"/>
      <c r="T5" s="3490"/>
      <c r="U5" s="3491"/>
      <c r="V5" s="3513"/>
      <c r="W5" s="3513"/>
      <c r="X5" s="1814"/>
      <c r="Y5" s="3490"/>
      <c r="Z5" s="3491"/>
      <c r="AA5" s="3484"/>
      <c r="AB5" s="3484"/>
      <c r="AC5" s="3484"/>
    </row>
    <row r="6" spans="1:29" ht="15.75" thickBot="1">
      <c r="A6" s="406"/>
      <c r="B6" s="407"/>
      <c r="C6" s="3496" t="s">
        <v>2531</v>
      </c>
      <c r="D6" s="3497"/>
      <c r="E6" s="3498" t="s">
        <v>2531</v>
      </c>
      <c r="F6" s="3499"/>
      <c r="G6" s="3496" t="s">
        <v>2531</v>
      </c>
      <c r="H6" s="3497"/>
      <c r="I6" s="3496" t="s">
        <v>2531</v>
      </c>
      <c r="J6" s="3497"/>
      <c r="K6" s="610" t="s">
        <v>2532</v>
      </c>
      <c r="L6" s="1130"/>
      <c r="M6" s="1131"/>
      <c r="N6" s="1131"/>
      <c r="O6" s="1131"/>
      <c r="P6" s="3509"/>
      <c r="Q6" s="3510"/>
      <c r="R6" s="3490"/>
      <c r="S6" s="3491"/>
      <c r="T6" s="3511"/>
      <c r="U6" s="3512"/>
      <c r="V6" s="3513"/>
      <c r="W6" s="3513"/>
      <c r="X6" s="1814"/>
      <c r="Y6" s="3511"/>
      <c r="Z6" s="3512"/>
      <c r="AA6" s="3485"/>
      <c r="AB6" s="3485"/>
      <c r="AC6" s="3485"/>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486" t="s">
        <v>2534</v>
      </c>
      <c r="Q7" s="3514"/>
      <c r="R7" s="768" t="s">
        <v>17</v>
      </c>
      <c r="S7" s="769">
        <f t="shared" ref="S7:S14" si="0">F7</f>
        <v>0</v>
      </c>
      <c r="T7" s="768" t="s">
        <v>17</v>
      </c>
      <c r="U7" s="769">
        <f t="shared" ref="U7:U14" si="1">H7</f>
        <v>0</v>
      </c>
      <c r="V7" s="768" t="s">
        <v>17</v>
      </c>
      <c r="W7" s="769">
        <f t="shared" ref="W7:W14" si="2">J7</f>
        <v>0</v>
      </c>
      <c r="X7" s="770"/>
      <c r="Y7" s="3486" t="s">
        <v>2534</v>
      </c>
      <c r="Z7" s="3487"/>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486" t="s">
        <v>2537</v>
      </c>
      <c r="Q8" s="3487"/>
      <c r="R8" s="768" t="s">
        <v>17</v>
      </c>
      <c r="S8" s="769">
        <f t="shared" si="0"/>
        <v>0</v>
      </c>
      <c r="T8" s="768" t="s">
        <v>17</v>
      </c>
      <c r="U8" s="769">
        <f t="shared" si="1"/>
        <v>0</v>
      </c>
      <c r="V8" s="768" t="s">
        <v>17</v>
      </c>
      <c r="W8" s="769">
        <f t="shared" si="2"/>
        <v>0</v>
      </c>
      <c r="X8" s="770"/>
      <c r="Y8" s="3486" t="s">
        <v>2537</v>
      </c>
      <c r="Z8" s="3487"/>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518" t="s">
        <v>2540</v>
      </c>
      <c r="Q9" s="1796" t="str">
        <f t="shared" ref="Q9:Q14" si="6">B9</f>
        <v>用途</v>
      </c>
      <c r="R9" s="768" t="s">
        <v>17</v>
      </c>
      <c r="S9" s="769">
        <f t="shared" si="0"/>
        <v>100</v>
      </c>
      <c r="T9" s="768" t="s">
        <v>17</v>
      </c>
      <c r="U9" s="769">
        <f t="shared" si="1"/>
        <v>100</v>
      </c>
      <c r="V9" s="768" t="s">
        <v>17</v>
      </c>
      <c r="W9" s="769">
        <f t="shared" si="2"/>
        <v>100</v>
      </c>
      <c r="X9" s="770"/>
      <c r="Y9" s="3360"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518"/>
      <c r="Q10" s="1796" t="str">
        <f t="shared" si="6"/>
        <v>土地使用年限（年）</v>
      </c>
      <c r="R10" s="768" t="s">
        <v>17</v>
      </c>
      <c r="S10" s="769">
        <f t="shared" si="0"/>
        <v>100</v>
      </c>
      <c r="T10" s="768" t="s">
        <v>17</v>
      </c>
      <c r="U10" s="769">
        <f t="shared" si="1"/>
        <v>100</v>
      </c>
      <c r="V10" s="768" t="s">
        <v>17</v>
      </c>
      <c r="W10" s="769">
        <f t="shared" si="2"/>
        <v>100</v>
      </c>
      <c r="X10" s="770"/>
      <c r="Y10" s="3360"/>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518"/>
      <c r="Q11" s="1796">
        <f t="shared" si="6"/>
        <v>111</v>
      </c>
      <c r="R11" s="768" t="s">
        <v>17</v>
      </c>
      <c r="S11" s="769">
        <f t="shared" si="0"/>
        <v>100</v>
      </c>
      <c r="T11" s="768" t="s">
        <v>17</v>
      </c>
      <c r="U11" s="769">
        <f t="shared" si="1"/>
        <v>100</v>
      </c>
      <c r="V11" s="768" t="s">
        <v>17</v>
      </c>
      <c r="W11" s="769">
        <f t="shared" si="2"/>
        <v>100</v>
      </c>
      <c r="X11" s="770"/>
      <c r="Y11" s="3360"/>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518"/>
      <c r="Q12" s="1796">
        <f t="shared" si="6"/>
        <v>111</v>
      </c>
      <c r="R12" s="768" t="s">
        <v>17</v>
      </c>
      <c r="S12" s="769">
        <f t="shared" si="0"/>
        <v>100</v>
      </c>
      <c r="T12" s="768" t="s">
        <v>17</v>
      </c>
      <c r="U12" s="769">
        <f t="shared" si="1"/>
        <v>100</v>
      </c>
      <c r="V12" s="768" t="s">
        <v>17</v>
      </c>
      <c r="W12" s="769">
        <f t="shared" si="2"/>
        <v>100</v>
      </c>
      <c r="X12" s="770"/>
      <c r="Y12" s="3360"/>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518"/>
      <c r="Q13" s="1796">
        <f t="shared" si="6"/>
        <v>111</v>
      </c>
      <c r="R13" s="768" t="s">
        <v>17</v>
      </c>
      <c r="S13" s="769">
        <f t="shared" si="0"/>
        <v>100</v>
      </c>
      <c r="T13" s="768" t="s">
        <v>17</v>
      </c>
      <c r="U13" s="769">
        <f t="shared" si="1"/>
        <v>100</v>
      </c>
      <c r="V13" s="768" t="s">
        <v>17</v>
      </c>
      <c r="W13" s="769">
        <f t="shared" si="2"/>
        <v>100</v>
      </c>
      <c r="X13" s="770"/>
      <c r="Y13" s="3360"/>
      <c r="Z13" s="54">
        <f t="shared" si="7"/>
        <v>111</v>
      </c>
      <c r="AA13" s="771">
        <f t="shared" si="3"/>
        <v>1</v>
      </c>
      <c r="AB13" s="771">
        <f t="shared" si="4"/>
        <v>1</v>
      </c>
      <c r="AC13" s="771">
        <f t="shared" si="5"/>
        <v>1</v>
      </c>
    </row>
    <row r="14" spans="1:29" ht="171">
      <c r="A14" s="401" t="s">
        <v>2544</v>
      </c>
      <c r="B14" s="627"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520" t="s">
        <v>2545</v>
      </c>
      <c r="Q14" s="1811" t="str">
        <f t="shared" si="6"/>
        <v>交通便捷度</v>
      </c>
      <c r="R14" s="772" t="s">
        <v>17</v>
      </c>
      <c r="S14" s="773">
        <f t="shared" si="0"/>
        <v>100</v>
      </c>
      <c r="T14" s="772" t="s">
        <v>17</v>
      </c>
      <c r="U14" s="773">
        <f t="shared" si="1"/>
        <v>100</v>
      </c>
      <c r="V14" s="772" t="s">
        <v>17</v>
      </c>
      <c r="W14" s="773">
        <f t="shared" si="2"/>
        <v>100</v>
      </c>
      <c r="X14" s="1814"/>
      <c r="Y14" s="3520"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521"/>
      <c r="Q15" s="1811"/>
      <c r="R15" s="772"/>
      <c r="S15" s="773"/>
      <c r="T15" s="772"/>
      <c r="U15" s="773"/>
      <c r="V15" s="772"/>
      <c r="W15" s="773"/>
      <c r="X15" s="1814"/>
      <c r="Y15" s="3521"/>
      <c r="Z15" s="1815"/>
      <c r="AA15" s="1812">
        <v>1</v>
      </c>
      <c r="AB15" s="1812">
        <v>1</v>
      </c>
      <c r="AC15" s="1812">
        <v>1</v>
      </c>
    </row>
    <row r="16" spans="1:29" ht="171">
      <c r="A16" s="404"/>
      <c r="B16" s="629"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521"/>
      <c r="Q16" s="1811" t="str">
        <f>B16</f>
        <v>公共配套设施</v>
      </c>
      <c r="R16" s="772" t="s">
        <v>17</v>
      </c>
      <c r="S16" s="773">
        <f>F16</f>
        <v>100</v>
      </c>
      <c r="T16" s="772" t="s">
        <v>17</v>
      </c>
      <c r="U16" s="773">
        <f>H16</f>
        <v>100</v>
      </c>
      <c r="V16" s="772" t="s">
        <v>17</v>
      </c>
      <c r="W16" s="773">
        <f>J16</f>
        <v>100</v>
      </c>
      <c r="X16" s="1814"/>
      <c r="Y16" s="3521"/>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521"/>
      <c r="Q17" s="1811"/>
      <c r="R17" s="772"/>
      <c r="S17" s="773"/>
      <c r="T17" s="772"/>
      <c r="U17" s="773"/>
      <c r="V17" s="772"/>
      <c r="W17" s="773"/>
      <c r="X17" s="1814"/>
      <c r="Y17" s="3521"/>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521"/>
      <c r="Q18" s="1811" t="str">
        <f>B18</f>
        <v>基础设施水平</v>
      </c>
      <c r="R18" s="772" t="s">
        <v>17</v>
      </c>
      <c r="S18" s="773">
        <f>F18</f>
        <v>100</v>
      </c>
      <c r="T18" s="772" t="s">
        <v>17</v>
      </c>
      <c r="U18" s="773">
        <f>H18</f>
        <v>100</v>
      </c>
      <c r="V18" s="772" t="s">
        <v>17</v>
      </c>
      <c r="W18" s="773">
        <f>J18</f>
        <v>100</v>
      </c>
      <c r="X18" s="1814"/>
      <c r="Y18" s="3521"/>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521"/>
      <c r="Q19" s="1811"/>
      <c r="R19" s="772"/>
      <c r="S19" s="773"/>
      <c r="T19" s="772"/>
      <c r="U19" s="773"/>
      <c r="V19" s="772"/>
      <c r="W19" s="773"/>
      <c r="X19" s="1814"/>
      <c r="Y19" s="3521"/>
      <c r="Z19" s="1815"/>
      <c r="AA19" s="1812">
        <v>1</v>
      </c>
      <c r="AB19" s="1812">
        <v>1</v>
      </c>
      <c r="AC19" s="1812">
        <v>1</v>
      </c>
    </row>
    <row r="20" spans="1:29" ht="171">
      <c r="A20" s="404"/>
      <c r="B20" s="629"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521"/>
      <c r="Q20" s="1811" t="str">
        <f>B20</f>
        <v>自然及人文环境</v>
      </c>
      <c r="R20" s="772" t="s">
        <v>17</v>
      </c>
      <c r="S20" s="773">
        <f>F20</f>
        <v>100</v>
      </c>
      <c r="T20" s="772" t="s">
        <v>17</v>
      </c>
      <c r="U20" s="773">
        <f>H20</f>
        <v>100</v>
      </c>
      <c r="V20" s="772" t="s">
        <v>17</v>
      </c>
      <c r="W20" s="773">
        <f>J20</f>
        <v>100</v>
      </c>
      <c r="X20" s="1814"/>
      <c r="Y20" s="3521"/>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521"/>
      <c r="Q21" s="1811"/>
      <c r="R21" s="772"/>
      <c r="S21" s="773"/>
      <c r="T21" s="772"/>
      <c r="U21" s="773"/>
      <c r="V21" s="772"/>
      <c r="W21" s="773"/>
      <c r="X21" s="1814"/>
      <c r="Y21" s="3521"/>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521"/>
      <c r="Q22" s="1811" t="str">
        <f>B22</f>
        <v>楼层</v>
      </c>
      <c r="R22" s="772" t="s">
        <v>17</v>
      </c>
      <c r="S22" s="773">
        <f>F22</f>
        <v>100</v>
      </c>
      <c r="T22" s="772" t="s">
        <v>17</v>
      </c>
      <c r="U22" s="773">
        <f>H22</f>
        <v>100</v>
      </c>
      <c r="V22" s="772" t="s">
        <v>17</v>
      </c>
      <c r="W22" s="773">
        <f>J22</f>
        <v>100</v>
      </c>
      <c r="X22" s="1814"/>
      <c r="Y22" s="3521"/>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521"/>
      <c r="Q23" s="1811">
        <f>B23</f>
        <v>111</v>
      </c>
      <c r="R23" s="772" t="s">
        <v>17</v>
      </c>
      <c r="S23" s="773">
        <f>F23</f>
        <v>100</v>
      </c>
      <c r="T23" s="772" t="s">
        <v>17</v>
      </c>
      <c r="U23" s="773">
        <f>H23</f>
        <v>100</v>
      </c>
      <c r="V23" s="772" t="s">
        <v>17</v>
      </c>
      <c r="W23" s="773">
        <f>J23</f>
        <v>100</v>
      </c>
      <c r="X23" s="1814"/>
      <c r="Y23" s="3521"/>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521"/>
      <c r="Q24" s="1811">
        <f t="shared" ref="Q24:Q36" si="11">B24</f>
        <v>111</v>
      </c>
      <c r="R24" s="772" t="s">
        <v>17</v>
      </c>
      <c r="S24" s="773">
        <f>F24</f>
        <v>100</v>
      </c>
      <c r="T24" s="772" t="s">
        <v>17</v>
      </c>
      <c r="U24" s="773">
        <f>H24</f>
        <v>100</v>
      </c>
      <c r="V24" s="772" t="s">
        <v>17</v>
      </c>
      <c r="W24" s="773">
        <f>J24</f>
        <v>100</v>
      </c>
      <c r="X24" s="1814"/>
      <c r="Y24" s="3521"/>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521"/>
      <c r="Q25" s="1796">
        <f t="shared" si="11"/>
        <v>111</v>
      </c>
      <c r="R25" s="768" t="s">
        <v>17</v>
      </c>
      <c r="S25" s="769">
        <f>F25</f>
        <v>100</v>
      </c>
      <c r="T25" s="768" t="s">
        <v>17</v>
      </c>
      <c r="U25" s="769">
        <f>H25</f>
        <v>100</v>
      </c>
      <c r="V25" s="768" t="s">
        <v>17</v>
      </c>
      <c r="W25" s="769">
        <f>J25</f>
        <v>100</v>
      </c>
      <c r="X25" s="770"/>
      <c r="Y25" s="3521"/>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77"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525"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525"/>
      <c r="Q27" s="774" t="str">
        <f t="shared" si="11"/>
        <v>项目停车位配比</v>
      </c>
      <c r="R27" s="775" t="s">
        <v>17</v>
      </c>
      <c r="S27" s="776">
        <f t="shared" si="12"/>
        <v>100</v>
      </c>
      <c r="T27" s="775" t="s">
        <v>17</v>
      </c>
      <c r="U27" s="776">
        <f t="shared" si="13"/>
        <v>100</v>
      </c>
      <c r="V27" s="775" t="s">
        <v>17</v>
      </c>
      <c r="W27" s="776">
        <f t="shared" si="14"/>
        <v>100</v>
      </c>
      <c r="X27" s="777"/>
      <c r="Y27" s="3525"/>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525"/>
      <c r="Q28" s="1811" t="str">
        <f t="shared" si="11"/>
        <v>公共部分装修</v>
      </c>
      <c r="R28" s="772" t="s">
        <v>17</v>
      </c>
      <c r="S28" s="773">
        <f t="shared" si="12"/>
        <v>100</v>
      </c>
      <c r="T28" s="772" t="s">
        <v>17</v>
      </c>
      <c r="U28" s="773">
        <f t="shared" si="13"/>
        <v>100</v>
      </c>
      <c r="V28" s="772" t="s">
        <v>17</v>
      </c>
      <c r="W28" s="773">
        <f t="shared" si="14"/>
        <v>100</v>
      </c>
      <c r="X28" s="1814"/>
      <c r="Y28" s="3525"/>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525"/>
      <c r="Q29" s="1811" t="str">
        <f t="shared" si="11"/>
        <v>成新率</v>
      </c>
      <c r="R29" s="772" t="s">
        <v>17</v>
      </c>
      <c r="S29" s="773" t="e">
        <f t="shared" si="12"/>
        <v>#N/A</v>
      </c>
      <c r="T29" s="772" t="s">
        <v>17</v>
      </c>
      <c r="U29" s="773" t="e">
        <f t="shared" si="13"/>
        <v>#N/A</v>
      </c>
      <c r="V29" s="772" t="s">
        <v>17</v>
      </c>
      <c r="W29" s="773" t="e">
        <f t="shared" si="14"/>
        <v>#N/A</v>
      </c>
      <c r="X29" s="1814"/>
      <c r="Y29" s="3525"/>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525"/>
      <c r="Q30" s="1811" t="str">
        <f t="shared" si="11"/>
        <v>物业等级</v>
      </c>
      <c r="R30" s="772" t="s">
        <v>17</v>
      </c>
      <c r="S30" s="773">
        <f t="shared" si="12"/>
        <v>100</v>
      </c>
      <c r="T30" s="772" t="s">
        <v>17</v>
      </c>
      <c r="U30" s="773">
        <f t="shared" si="13"/>
        <v>100</v>
      </c>
      <c r="V30" s="772" t="s">
        <v>17</v>
      </c>
      <c r="W30" s="773">
        <f t="shared" si="14"/>
        <v>100</v>
      </c>
      <c r="X30" s="1814"/>
      <c r="Y30" s="3525"/>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525"/>
      <c r="Q31" s="1796" t="str">
        <f t="shared" si="11"/>
        <v>停车位面积</v>
      </c>
      <c r="R31" s="768" t="s">
        <v>17</v>
      </c>
      <c r="S31" s="769" t="e">
        <f t="shared" si="12"/>
        <v>#N/A</v>
      </c>
      <c r="T31" s="768" t="s">
        <v>17</v>
      </c>
      <c r="U31" s="769" t="e">
        <f t="shared" si="13"/>
        <v>#N/A</v>
      </c>
      <c r="V31" s="768" t="s">
        <v>17</v>
      </c>
      <c r="W31" s="769" t="e">
        <f t="shared" si="14"/>
        <v>#N/A</v>
      </c>
      <c r="X31" s="770"/>
      <c r="Y31" s="3525"/>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525" t="s">
        <v>2550</v>
      </c>
      <c r="Q32" s="1811" t="str">
        <f t="shared" si="11"/>
        <v>车位类型</v>
      </c>
      <c r="R32" s="772" t="s">
        <v>17</v>
      </c>
      <c r="S32" s="773">
        <f t="shared" si="12"/>
        <v>100</v>
      </c>
      <c r="T32" s="772" t="s">
        <v>17</v>
      </c>
      <c r="U32" s="773">
        <f t="shared" si="13"/>
        <v>100</v>
      </c>
      <c r="V32" s="772" t="s">
        <v>17</v>
      </c>
      <c r="W32" s="773">
        <f t="shared" si="14"/>
        <v>100</v>
      </c>
      <c r="X32" s="1814"/>
      <c r="Y32" s="3525"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525"/>
      <c r="Q33" s="1811" t="str">
        <f t="shared" si="11"/>
        <v>是否直接入户</v>
      </c>
      <c r="R33" s="772" t="s">
        <v>17</v>
      </c>
      <c r="S33" s="773">
        <f t="shared" si="12"/>
        <v>100</v>
      </c>
      <c r="T33" s="772" t="s">
        <v>17</v>
      </c>
      <c r="U33" s="773">
        <f t="shared" si="13"/>
        <v>100</v>
      </c>
      <c r="V33" s="772" t="s">
        <v>17</v>
      </c>
      <c r="W33" s="773">
        <f t="shared" si="14"/>
        <v>100</v>
      </c>
      <c r="X33" s="1814"/>
      <c r="Y33" s="3525"/>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525"/>
      <c r="Q34" s="1811">
        <f t="shared" si="11"/>
        <v>111</v>
      </c>
      <c r="R34" s="772" t="s">
        <v>17</v>
      </c>
      <c r="S34" s="773">
        <f t="shared" si="12"/>
        <v>100</v>
      </c>
      <c r="T34" s="772" t="s">
        <v>17</v>
      </c>
      <c r="U34" s="773">
        <f t="shared" si="13"/>
        <v>100</v>
      </c>
      <c r="V34" s="772" t="s">
        <v>17</v>
      </c>
      <c r="W34" s="773">
        <f t="shared" si="14"/>
        <v>100</v>
      </c>
      <c r="X34" s="1814"/>
      <c r="Y34" s="3525"/>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525"/>
      <c r="Q35" s="774">
        <f t="shared" si="11"/>
        <v>111</v>
      </c>
      <c r="R35" s="775" t="s">
        <v>17</v>
      </c>
      <c r="S35" s="776">
        <f t="shared" si="12"/>
        <v>100</v>
      </c>
      <c r="T35" s="775" t="s">
        <v>17</v>
      </c>
      <c r="U35" s="776">
        <f t="shared" si="13"/>
        <v>100</v>
      </c>
      <c r="V35" s="775" t="s">
        <v>17</v>
      </c>
      <c r="W35" s="776">
        <f t="shared" si="14"/>
        <v>100</v>
      </c>
      <c r="X35" s="777"/>
      <c r="Y35" s="3525"/>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525"/>
      <c r="Q36" s="1811">
        <f t="shared" si="11"/>
        <v>111</v>
      </c>
      <c r="R36" s="772" t="s">
        <v>17</v>
      </c>
      <c r="S36" s="773">
        <f t="shared" si="12"/>
        <v>100</v>
      </c>
      <c r="T36" s="772" t="s">
        <v>17</v>
      </c>
      <c r="U36" s="773">
        <f t="shared" si="13"/>
        <v>100</v>
      </c>
      <c r="V36" s="772" t="s">
        <v>17</v>
      </c>
      <c r="W36" s="773">
        <f t="shared" si="14"/>
        <v>100</v>
      </c>
      <c r="X36" s="1814"/>
      <c r="Y36" s="3525"/>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518" t="str">
        <f>A37</f>
        <v>成交单价</v>
      </c>
      <c r="Q37" s="3518"/>
      <c r="R37" s="3519">
        <f>E37</f>
        <v>0</v>
      </c>
      <c r="S37" s="3519"/>
      <c r="T37" s="3519">
        <f>G37</f>
        <v>0</v>
      </c>
      <c r="U37" s="3519"/>
      <c r="V37" s="3519">
        <f>I37</f>
        <v>0</v>
      </c>
      <c r="W37" s="3519"/>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518" t="str">
        <f>A38</f>
        <v>比较价值（元/平方米）</v>
      </c>
      <c r="Q38" s="3518"/>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515" t="str">
        <f>A39</f>
        <v>估价对象XX用房的比较价值（楼面单价，元/平方米）</v>
      </c>
      <c r="Q39" s="3516"/>
      <c r="R39" s="3517" t="e">
        <f>IF(F1="售价",ROUND(AVERAGE(R38:V38),0),ROUND(AVERAGE(R38:V38),1))</f>
        <v>#DIV/0!</v>
      </c>
      <c r="S39" s="3517"/>
      <c r="T39" s="3517"/>
      <c r="U39" s="3517"/>
      <c r="V39" s="3517"/>
      <c r="W39" s="3517"/>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501" t="s">
        <v>2631</v>
      </c>
      <c r="D4" s="3502"/>
      <c r="E4" s="3503" t="s">
        <v>2632</v>
      </c>
      <c r="F4" s="3504"/>
      <c r="G4" s="3501" t="s">
        <v>2633</v>
      </c>
      <c r="H4" s="3502"/>
      <c r="I4" s="3501" t="s">
        <v>2634</v>
      </c>
      <c r="J4" s="3502"/>
      <c r="K4" s="610" t="s">
        <v>2635</v>
      </c>
      <c r="L4" s="1130"/>
      <c r="M4" s="1131"/>
      <c r="N4" s="1131"/>
      <c r="O4" s="1131"/>
      <c r="P4" s="3505" t="s">
        <v>2636</v>
      </c>
      <c r="Q4" s="3506"/>
      <c r="R4" s="3488" t="s">
        <v>2632</v>
      </c>
      <c r="S4" s="3489"/>
      <c r="T4" s="3488" t="s">
        <v>2633</v>
      </c>
      <c r="U4" s="3489"/>
      <c r="V4" s="3513" t="s">
        <v>2634</v>
      </c>
      <c r="W4" s="3513"/>
      <c r="X4" s="1814"/>
      <c r="Y4" s="3488" t="s">
        <v>2636</v>
      </c>
      <c r="Z4" s="3489"/>
      <c r="AA4" s="3483" t="s">
        <v>2632</v>
      </c>
      <c r="AB4" s="3484" t="s">
        <v>2633</v>
      </c>
      <c r="AC4" s="3483" t="s">
        <v>2634</v>
      </c>
    </row>
    <row r="5" spans="1:29" ht="15">
      <c r="A5" s="404"/>
      <c r="B5" s="405"/>
      <c r="C5" s="3564" t="s">
        <v>2527</v>
      </c>
      <c r="D5" s="3495"/>
      <c r="E5" s="3563" t="s">
        <v>2528</v>
      </c>
      <c r="F5" s="3493"/>
      <c r="G5" s="3564" t="s">
        <v>2529</v>
      </c>
      <c r="H5" s="3495"/>
      <c r="I5" s="3564" t="s">
        <v>2530</v>
      </c>
      <c r="J5" s="3495"/>
      <c r="K5" s="610"/>
      <c r="L5" s="1130"/>
      <c r="M5" s="1131"/>
      <c r="N5" s="1131"/>
      <c r="O5" s="1131"/>
      <c r="P5" s="3507"/>
      <c r="Q5" s="3508"/>
      <c r="R5" s="3490"/>
      <c r="S5" s="3491"/>
      <c r="T5" s="3490"/>
      <c r="U5" s="3491"/>
      <c r="V5" s="3513"/>
      <c r="W5" s="3513"/>
      <c r="X5" s="1814"/>
      <c r="Y5" s="3490"/>
      <c r="Z5" s="3491"/>
      <c r="AA5" s="3484"/>
      <c r="AB5" s="3484"/>
      <c r="AC5" s="3484"/>
    </row>
    <row r="6" spans="1:29" ht="15.75" thickBot="1">
      <c r="A6" s="406"/>
      <c r="B6" s="407"/>
      <c r="C6" s="3496" t="s">
        <v>2531</v>
      </c>
      <c r="D6" s="3497"/>
      <c r="E6" s="3498" t="s">
        <v>2531</v>
      </c>
      <c r="F6" s="3499"/>
      <c r="G6" s="3496" t="s">
        <v>2531</v>
      </c>
      <c r="H6" s="3497"/>
      <c r="I6" s="3496" t="s">
        <v>2531</v>
      </c>
      <c r="J6" s="3497"/>
      <c r="K6" s="610" t="s">
        <v>2532</v>
      </c>
      <c r="L6" s="1130"/>
      <c r="M6" s="1131"/>
      <c r="N6" s="1131"/>
      <c r="O6" s="1131"/>
      <c r="P6" s="3509"/>
      <c r="Q6" s="3510"/>
      <c r="R6" s="3490"/>
      <c r="S6" s="3491"/>
      <c r="T6" s="3511"/>
      <c r="U6" s="3512"/>
      <c r="V6" s="3513"/>
      <c r="W6" s="3513"/>
      <c r="X6" s="1814"/>
      <c r="Y6" s="3511"/>
      <c r="Z6" s="3512"/>
      <c r="AA6" s="3485"/>
      <c r="AB6" s="3485"/>
      <c r="AC6" s="3485"/>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486" t="s">
        <v>2534</v>
      </c>
      <c r="Q7" s="3514"/>
      <c r="R7" s="768" t="s">
        <v>17</v>
      </c>
      <c r="S7" s="769">
        <f t="shared" ref="S7:S14" si="0">F7</f>
        <v>0</v>
      </c>
      <c r="T7" s="768" t="s">
        <v>17</v>
      </c>
      <c r="U7" s="769">
        <f t="shared" ref="U7:U14" si="1">H7</f>
        <v>0</v>
      </c>
      <c r="V7" s="768" t="s">
        <v>17</v>
      </c>
      <c r="W7" s="769">
        <f t="shared" ref="W7:W14" si="2">J7</f>
        <v>0</v>
      </c>
      <c r="X7" s="770"/>
      <c r="Y7" s="3486" t="s">
        <v>2534</v>
      </c>
      <c r="Z7" s="3487"/>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486" t="s">
        <v>2537</v>
      </c>
      <c r="Q8" s="3487"/>
      <c r="R8" s="768" t="s">
        <v>17</v>
      </c>
      <c r="S8" s="769">
        <f t="shared" si="0"/>
        <v>0</v>
      </c>
      <c r="T8" s="768" t="s">
        <v>17</v>
      </c>
      <c r="U8" s="769">
        <f t="shared" si="1"/>
        <v>0</v>
      </c>
      <c r="V8" s="768" t="s">
        <v>17</v>
      </c>
      <c r="W8" s="769">
        <f t="shared" si="2"/>
        <v>0</v>
      </c>
      <c r="X8" s="770"/>
      <c r="Y8" s="3486" t="s">
        <v>2537</v>
      </c>
      <c r="Z8" s="3487"/>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518" t="s">
        <v>2540</v>
      </c>
      <c r="Q9" s="1796" t="str">
        <f t="shared" ref="Q9:Q14" si="6">B9</f>
        <v>用途</v>
      </c>
      <c r="R9" s="768" t="s">
        <v>17</v>
      </c>
      <c r="S9" s="769">
        <f t="shared" si="0"/>
        <v>100</v>
      </c>
      <c r="T9" s="768" t="s">
        <v>17</v>
      </c>
      <c r="U9" s="769">
        <f t="shared" si="1"/>
        <v>100</v>
      </c>
      <c r="V9" s="768" t="s">
        <v>17</v>
      </c>
      <c r="W9" s="769">
        <f t="shared" si="2"/>
        <v>100</v>
      </c>
      <c r="X9" s="770"/>
      <c r="Y9" s="3360"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518"/>
      <c r="Q10" s="1796" t="str">
        <f t="shared" si="6"/>
        <v>土地使用年限（年）</v>
      </c>
      <c r="R10" s="768" t="s">
        <v>17</v>
      </c>
      <c r="S10" s="769">
        <f t="shared" si="0"/>
        <v>100</v>
      </c>
      <c r="T10" s="768" t="s">
        <v>17</v>
      </c>
      <c r="U10" s="769">
        <f t="shared" si="1"/>
        <v>100</v>
      </c>
      <c r="V10" s="768" t="s">
        <v>17</v>
      </c>
      <c r="W10" s="769">
        <f t="shared" si="2"/>
        <v>100</v>
      </c>
      <c r="X10" s="770"/>
      <c r="Y10" s="3360"/>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518"/>
      <c r="Q11" s="1796">
        <f t="shared" si="6"/>
        <v>111</v>
      </c>
      <c r="R11" s="768" t="s">
        <v>17</v>
      </c>
      <c r="S11" s="769">
        <f t="shared" si="0"/>
        <v>100</v>
      </c>
      <c r="T11" s="768" t="s">
        <v>17</v>
      </c>
      <c r="U11" s="769">
        <f t="shared" si="1"/>
        <v>100</v>
      </c>
      <c r="V11" s="768" t="s">
        <v>17</v>
      </c>
      <c r="W11" s="769">
        <f t="shared" si="2"/>
        <v>100</v>
      </c>
      <c r="X11" s="770"/>
      <c r="Y11" s="3360"/>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518"/>
      <c r="Q12" s="1796">
        <f t="shared" si="6"/>
        <v>111</v>
      </c>
      <c r="R12" s="768" t="s">
        <v>17</v>
      </c>
      <c r="S12" s="769">
        <f t="shared" si="0"/>
        <v>100</v>
      </c>
      <c r="T12" s="768" t="s">
        <v>17</v>
      </c>
      <c r="U12" s="769">
        <f t="shared" si="1"/>
        <v>100</v>
      </c>
      <c r="V12" s="768" t="s">
        <v>17</v>
      </c>
      <c r="W12" s="769">
        <f t="shared" si="2"/>
        <v>100</v>
      </c>
      <c r="X12" s="770"/>
      <c r="Y12" s="3360"/>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518"/>
      <c r="Q13" s="1796">
        <f t="shared" si="6"/>
        <v>111</v>
      </c>
      <c r="R13" s="768" t="s">
        <v>17</v>
      </c>
      <c r="S13" s="769">
        <f t="shared" si="0"/>
        <v>100</v>
      </c>
      <c r="T13" s="768" t="s">
        <v>17</v>
      </c>
      <c r="U13" s="769">
        <f t="shared" si="1"/>
        <v>100</v>
      </c>
      <c r="V13" s="768" t="s">
        <v>17</v>
      </c>
      <c r="W13" s="769">
        <f t="shared" si="2"/>
        <v>100</v>
      </c>
      <c r="X13" s="770"/>
      <c r="Y13" s="3360"/>
      <c r="Z13" s="54">
        <f t="shared" si="7"/>
        <v>111</v>
      </c>
      <c r="AA13" s="771">
        <f t="shared" si="3"/>
        <v>1</v>
      </c>
      <c r="AB13" s="771">
        <f t="shared" si="4"/>
        <v>1</v>
      </c>
      <c r="AC13" s="771">
        <f t="shared" si="5"/>
        <v>1</v>
      </c>
    </row>
    <row r="14" spans="1:29" ht="171">
      <c r="A14" s="440" t="s">
        <v>2544</v>
      </c>
      <c r="B14" s="68"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520" t="s">
        <v>2545</v>
      </c>
      <c r="Q14" s="1811" t="str">
        <f t="shared" si="6"/>
        <v>交通便捷度</v>
      </c>
      <c r="R14" s="772" t="s">
        <v>17</v>
      </c>
      <c r="S14" s="773">
        <f t="shared" si="0"/>
        <v>100</v>
      </c>
      <c r="T14" s="772" t="s">
        <v>17</v>
      </c>
      <c r="U14" s="773">
        <f t="shared" si="1"/>
        <v>100</v>
      </c>
      <c r="V14" s="772" t="s">
        <v>17</v>
      </c>
      <c r="W14" s="773">
        <f t="shared" si="2"/>
        <v>100</v>
      </c>
      <c r="X14" s="1814"/>
      <c r="Y14" s="3520"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521"/>
      <c r="Q15" s="1811"/>
      <c r="R15" s="772"/>
      <c r="S15" s="773"/>
      <c r="T15" s="772"/>
      <c r="U15" s="773"/>
      <c r="V15" s="772"/>
      <c r="W15" s="773"/>
      <c r="X15" s="1814"/>
      <c r="Y15" s="3521"/>
      <c r="Z15" s="1815"/>
      <c r="AA15" s="1812">
        <v>1</v>
      </c>
      <c r="AB15" s="1812">
        <v>1</v>
      </c>
      <c r="AC15" s="1812">
        <v>1</v>
      </c>
    </row>
    <row r="16" spans="1:29" ht="171">
      <c r="A16" s="428"/>
      <c r="B16" s="451"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521"/>
      <c r="Q16" s="1811" t="str">
        <f>B16</f>
        <v>公共配套设施</v>
      </c>
      <c r="R16" s="772" t="s">
        <v>17</v>
      </c>
      <c r="S16" s="773">
        <f>F16</f>
        <v>100</v>
      </c>
      <c r="T16" s="772" t="s">
        <v>17</v>
      </c>
      <c r="U16" s="773">
        <f>H16</f>
        <v>100</v>
      </c>
      <c r="V16" s="772" t="s">
        <v>17</v>
      </c>
      <c r="W16" s="773">
        <f>J16</f>
        <v>100</v>
      </c>
      <c r="X16" s="1814"/>
      <c r="Y16" s="3521"/>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521"/>
      <c r="Q17" s="1811"/>
      <c r="R17" s="772"/>
      <c r="S17" s="773"/>
      <c r="T17" s="772"/>
      <c r="U17" s="773"/>
      <c r="V17" s="772"/>
      <c r="W17" s="773"/>
      <c r="X17" s="1814"/>
      <c r="Y17" s="3521"/>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521"/>
      <c r="Q18" s="1811" t="str">
        <f>B18</f>
        <v>基础设施水平</v>
      </c>
      <c r="R18" s="772" t="s">
        <v>17</v>
      </c>
      <c r="S18" s="773">
        <f>F18</f>
        <v>100</v>
      </c>
      <c r="T18" s="772" t="s">
        <v>17</v>
      </c>
      <c r="U18" s="773">
        <f>H18</f>
        <v>100</v>
      </c>
      <c r="V18" s="772" t="s">
        <v>17</v>
      </c>
      <c r="W18" s="773">
        <f>J18</f>
        <v>100</v>
      </c>
      <c r="X18" s="1814"/>
      <c r="Y18" s="3521"/>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521"/>
      <c r="Q19" s="1811"/>
      <c r="R19" s="772"/>
      <c r="S19" s="773"/>
      <c r="T19" s="772"/>
      <c r="U19" s="773"/>
      <c r="V19" s="772"/>
      <c r="W19" s="773"/>
      <c r="X19" s="1814"/>
      <c r="Y19" s="3521"/>
      <c r="Z19" s="1815"/>
      <c r="AA19" s="1812">
        <v>1</v>
      </c>
      <c r="AB19" s="1812">
        <v>1</v>
      </c>
      <c r="AC19" s="1812">
        <v>1</v>
      </c>
    </row>
    <row r="20" spans="1:29" ht="171">
      <c r="A20" s="428"/>
      <c r="B20" s="451"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521"/>
      <c r="Q20" s="1811" t="str">
        <f>B20</f>
        <v>自然及人文环境</v>
      </c>
      <c r="R20" s="772" t="s">
        <v>17</v>
      </c>
      <c r="S20" s="773">
        <f>F20</f>
        <v>100</v>
      </c>
      <c r="T20" s="772" t="s">
        <v>17</v>
      </c>
      <c r="U20" s="773">
        <f>H20</f>
        <v>100</v>
      </c>
      <c r="V20" s="772" t="s">
        <v>17</v>
      </c>
      <c r="W20" s="773">
        <f>J20</f>
        <v>100</v>
      </c>
      <c r="X20" s="1814"/>
      <c r="Y20" s="352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521"/>
      <c r="Q21" s="1811"/>
      <c r="R21" s="772"/>
      <c r="S21" s="773"/>
      <c r="T21" s="772"/>
      <c r="U21" s="773"/>
      <c r="V21" s="772"/>
      <c r="W21" s="773"/>
      <c r="X21" s="1814"/>
      <c r="Y21" s="3521"/>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521"/>
      <c r="Q22" s="1811" t="str">
        <f>B22</f>
        <v>楼层</v>
      </c>
      <c r="R22" s="772" t="s">
        <v>17</v>
      </c>
      <c r="S22" s="773">
        <f>F22</f>
        <v>100</v>
      </c>
      <c r="T22" s="772" t="s">
        <v>17</v>
      </c>
      <c r="U22" s="773">
        <f>H22</f>
        <v>100</v>
      </c>
      <c r="V22" s="772" t="s">
        <v>17</v>
      </c>
      <c r="W22" s="773">
        <f>J22</f>
        <v>100</v>
      </c>
      <c r="X22" s="1814"/>
      <c r="Y22" s="3521"/>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521"/>
      <c r="Q23" s="1811">
        <f>B23</f>
        <v>111</v>
      </c>
      <c r="R23" s="772" t="s">
        <v>17</v>
      </c>
      <c r="S23" s="773">
        <f>F23</f>
        <v>100</v>
      </c>
      <c r="T23" s="772" t="s">
        <v>17</v>
      </c>
      <c r="U23" s="773">
        <f>H23</f>
        <v>100</v>
      </c>
      <c r="V23" s="772" t="s">
        <v>17</v>
      </c>
      <c r="W23" s="773">
        <f>J23</f>
        <v>100</v>
      </c>
      <c r="X23" s="1814"/>
      <c r="Y23" s="3521"/>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521"/>
      <c r="Q24" s="1811">
        <f t="shared" ref="Q24:Q34" si="11">B24</f>
        <v>111</v>
      </c>
      <c r="R24" s="772" t="s">
        <v>17</v>
      </c>
      <c r="S24" s="773">
        <f>F24</f>
        <v>100</v>
      </c>
      <c r="T24" s="772" t="s">
        <v>17</v>
      </c>
      <c r="U24" s="773">
        <f>H24</f>
        <v>100</v>
      </c>
      <c r="V24" s="772" t="s">
        <v>17</v>
      </c>
      <c r="W24" s="773">
        <f>J24</f>
        <v>100</v>
      </c>
      <c r="X24" s="1814"/>
      <c r="Y24" s="3521"/>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521"/>
      <c r="Q25" s="1796">
        <f t="shared" si="11"/>
        <v>111</v>
      </c>
      <c r="R25" s="768" t="s">
        <v>17</v>
      </c>
      <c r="S25" s="769">
        <f>F25</f>
        <v>100</v>
      </c>
      <c r="T25" s="768" t="s">
        <v>17</v>
      </c>
      <c r="U25" s="769">
        <f>H25</f>
        <v>100</v>
      </c>
      <c r="V25" s="768" t="s">
        <v>17</v>
      </c>
      <c r="W25" s="769">
        <f>J25</f>
        <v>100</v>
      </c>
      <c r="X25" s="770"/>
      <c r="Y25" s="3521"/>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577"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525"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525"/>
      <c r="Q27" s="774" t="str">
        <f t="shared" si="11"/>
        <v>成新率</v>
      </c>
      <c r="R27" s="775" t="s">
        <v>17</v>
      </c>
      <c r="S27" s="776" t="e">
        <f t="shared" si="12"/>
        <v>#N/A</v>
      </c>
      <c r="T27" s="775" t="s">
        <v>17</v>
      </c>
      <c r="U27" s="776" t="e">
        <f t="shared" si="13"/>
        <v>#N/A</v>
      </c>
      <c r="V27" s="775" t="s">
        <v>17</v>
      </c>
      <c r="W27" s="776" t="e">
        <f t="shared" si="14"/>
        <v>#N/A</v>
      </c>
      <c r="X27" s="777"/>
      <c r="Y27" s="3525"/>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525"/>
      <c r="Q28" s="1811" t="str">
        <f t="shared" si="11"/>
        <v>物业等级</v>
      </c>
      <c r="R28" s="772" t="s">
        <v>17</v>
      </c>
      <c r="S28" s="773">
        <f t="shared" si="12"/>
        <v>100</v>
      </c>
      <c r="T28" s="772" t="s">
        <v>17</v>
      </c>
      <c r="U28" s="773">
        <f t="shared" si="13"/>
        <v>100</v>
      </c>
      <c r="V28" s="772" t="s">
        <v>17</v>
      </c>
      <c r="W28" s="773">
        <f t="shared" si="14"/>
        <v>100</v>
      </c>
      <c r="X28" s="1814"/>
      <c r="Y28" s="3525"/>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525"/>
      <c r="Q29" s="1811" t="str">
        <f t="shared" si="11"/>
        <v>有无电梯</v>
      </c>
      <c r="R29" s="772" t="s">
        <v>17</v>
      </c>
      <c r="S29" s="773">
        <f t="shared" si="12"/>
        <v>100</v>
      </c>
      <c r="T29" s="772" t="s">
        <v>17</v>
      </c>
      <c r="U29" s="773">
        <f t="shared" si="13"/>
        <v>100</v>
      </c>
      <c r="V29" s="772" t="s">
        <v>17</v>
      </c>
      <c r="W29" s="773">
        <f t="shared" si="14"/>
        <v>100</v>
      </c>
      <c r="X29" s="1814"/>
      <c r="Y29" s="3525"/>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525"/>
      <c r="Q30" s="1811" t="str">
        <f t="shared" si="11"/>
        <v>建筑面积</v>
      </c>
      <c r="R30" s="772" t="s">
        <v>17</v>
      </c>
      <c r="S30" s="773" t="e">
        <f t="shared" si="12"/>
        <v>#N/A</v>
      </c>
      <c r="T30" s="772" t="s">
        <v>17</v>
      </c>
      <c r="U30" s="773" t="e">
        <f t="shared" si="13"/>
        <v>#N/A</v>
      </c>
      <c r="V30" s="772" t="s">
        <v>17</v>
      </c>
      <c r="W30" s="773" t="e">
        <f t="shared" si="14"/>
        <v>#N/A</v>
      </c>
      <c r="X30" s="1814"/>
      <c r="Y30" s="3525"/>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525"/>
      <c r="Q31" s="1796" t="str">
        <f t="shared" si="11"/>
        <v>是否封闭</v>
      </c>
      <c r="R31" s="768" t="s">
        <v>17</v>
      </c>
      <c r="S31" s="769">
        <f t="shared" si="12"/>
        <v>100</v>
      </c>
      <c r="T31" s="768" t="s">
        <v>17</v>
      </c>
      <c r="U31" s="769">
        <f t="shared" si="13"/>
        <v>100</v>
      </c>
      <c r="V31" s="768" t="s">
        <v>17</v>
      </c>
      <c r="W31" s="769">
        <f t="shared" si="14"/>
        <v>100</v>
      </c>
      <c r="X31" s="770"/>
      <c r="Y31" s="3525"/>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525" t="s">
        <v>2550</v>
      </c>
      <c r="Q32" s="1811">
        <f t="shared" si="11"/>
        <v>111</v>
      </c>
      <c r="R32" s="772" t="s">
        <v>17</v>
      </c>
      <c r="S32" s="773">
        <f t="shared" si="12"/>
        <v>100</v>
      </c>
      <c r="T32" s="772" t="s">
        <v>17</v>
      </c>
      <c r="U32" s="773">
        <f t="shared" si="13"/>
        <v>100</v>
      </c>
      <c r="V32" s="772" t="s">
        <v>17</v>
      </c>
      <c r="W32" s="773">
        <f t="shared" si="14"/>
        <v>100</v>
      </c>
      <c r="X32" s="1814"/>
      <c r="Y32" s="3525"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525"/>
      <c r="Q33" s="1811">
        <f t="shared" si="11"/>
        <v>111</v>
      </c>
      <c r="R33" s="772" t="s">
        <v>17</v>
      </c>
      <c r="S33" s="773">
        <f t="shared" si="12"/>
        <v>100</v>
      </c>
      <c r="T33" s="772" t="s">
        <v>17</v>
      </c>
      <c r="U33" s="773">
        <f t="shared" si="13"/>
        <v>100</v>
      </c>
      <c r="V33" s="772" t="s">
        <v>17</v>
      </c>
      <c r="W33" s="773">
        <f t="shared" si="14"/>
        <v>100</v>
      </c>
      <c r="X33" s="1814"/>
      <c r="Y33" s="3525"/>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525"/>
      <c r="Q34" s="1811">
        <f t="shared" si="11"/>
        <v>111</v>
      </c>
      <c r="R34" s="772" t="s">
        <v>17</v>
      </c>
      <c r="S34" s="773">
        <f t="shared" si="12"/>
        <v>100</v>
      </c>
      <c r="T34" s="772" t="s">
        <v>17</v>
      </c>
      <c r="U34" s="773">
        <f t="shared" si="13"/>
        <v>100</v>
      </c>
      <c r="V34" s="772" t="s">
        <v>17</v>
      </c>
      <c r="W34" s="773">
        <f t="shared" si="14"/>
        <v>100</v>
      </c>
      <c r="X34" s="1814"/>
      <c r="Y34" s="3525"/>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518" t="str">
        <f>A35</f>
        <v>成交单价（元/平方米）</v>
      </c>
      <c r="Q35" s="3518"/>
      <c r="R35" s="3519">
        <f>E35</f>
        <v>0</v>
      </c>
      <c r="S35" s="3519"/>
      <c r="T35" s="3519">
        <f>G35</f>
        <v>0</v>
      </c>
      <c r="U35" s="3519"/>
      <c r="V35" s="3519">
        <f>I35</f>
        <v>0</v>
      </c>
      <c r="W35" s="3519"/>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518" t="str">
        <f>A36</f>
        <v>比较价值（元/平方米）</v>
      </c>
      <c r="Q36" s="3518"/>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515" t="str">
        <f>A37</f>
        <v>估价对象XX用房的比较价值（楼面单价，元/平方米）</v>
      </c>
      <c r="Q37" s="3516"/>
      <c r="R37" s="3517" t="e">
        <f>IF(F1="售价",ROUND(AVERAGE(R36:V36),0),ROUND(AVERAGE(R36:V36),1))</f>
        <v>#DIV/0!</v>
      </c>
      <c r="S37" s="3517"/>
      <c r="T37" s="3517"/>
      <c r="U37" s="3517"/>
      <c r="V37" s="3517"/>
      <c r="W37" s="3517"/>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501" t="s">
        <v>2631</v>
      </c>
      <c r="D4" s="3502"/>
      <c r="E4" s="3503" t="s">
        <v>2632</v>
      </c>
      <c r="F4" s="3504"/>
      <c r="G4" s="3501" t="s">
        <v>2633</v>
      </c>
      <c r="H4" s="3502"/>
      <c r="I4" s="3501" t="s">
        <v>2634</v>
      </c>
      <c r="J4" s="3502"/>
      <c r="K4" s="610" t="s">
        <v>2635</v>
      </c>
      <c r="L4" s="1130"/>
      <c r="M4" s="1131"/>
      <c r="N4" s="1131"/>
      <c r="O4" s="1131"/>
      <c r="P4" s="3505" t="s">
        <v>2636</v>
      </c>
      <c r="Q4" s="3506"/>
      <c r="R4" s="3488" t="s">
        <v>2632</v>
      </c>
      <c r="S4" s="3489"/>
      <c r="T4" s="3488" t="s">
        <v>2633</v>
      </c>
      <c r="U4" s="3489"/>
      <c r="V4" s="3513" t="s">
        <v>2634</v>
      </c>
      <c r="W4" s="3513"/>
      <c r="X4" s="1814"/>
      <c r="Y4" s="3488" t="s">
        <v>2636</v>
      </c>
      <c r="Z4" s="3489"/>
      <c r="AA4" s="3483" t="s">
        <v>2632</v>
      </c>
      <c r="AB4" s="3484" t="s">
        <v>2633</v>
      </c>
      <c r="AC4" s="3483" t="s">
        <v>2634</v>
      </c>
    </row>
    <row r="5" spans="1:30" ht="15">
      <c r="A5" s="404"/>
      <c r="B5" s="405"/>
      <c r="C5" s="3564" t="s">
        <v>2527</v>
      </c>
      <c r="D5" s="3495"/>
      <c r="E5" s="3563" t="s">
        <v>2528</v>
      </c>
      <c r="F5" s="3493"/>
      <c r="G5" s="3564" t="s">
        <v>2529</v>
      </c>
      <c r="H5" s="3495"/>
      <c r="I5" s="3564" t="s">
        <v>2530</v>
      </c>
      <c r="J5" s="3495"/>
      <c r="K5" s="610"/>
      <c r="L5" s="1130"/>
      <c r="M5" s="1131"/>
      <c r="N5" s="1131"/>
      <c r="O5" s="1131"/>
      <c r="P5" s="3507"/>
      <c r="Q5" s="3508"/>
      <c r="R5" s="3490"/>
      <c r="S5" s="3491"/>
      <c r="T5" s="3490"/>
      <c r="U5" s="3491"/>
      <c r="V5" s="3513"/>
      <c r="W5" s="3513"/>
      <c r="X5" s="1814"/>
      <c r="Y5" s="3490"/>
      <c r="Z5" s="3491"/>
      <c r="AA5" s="3484"/>
      <c r="AB5" s="3484"/>
      <c r="AC5" s="3484"/>
    </row>
    <row r="6" spans="1:30" ht="15.75" thickBot="1">
      <c r="A6" s="406"/>
      <c r="B6" s="407"/>
      <c r="C6" s="3496" t="s">
        <v>2531</v>
      </c>
      <c r="D6" s="3497"/>
      <c r="E6" s="3498" t="s">
        <v>2531</v>
      </c>
      <c r="F6" s="3499"/>
      <c r="G6" s="3496" t="s">
        <v>2531</v>
      </c>
      <c r="H6" s="3497"/>
      <c r="I6" s="3496" t="s">
        <v>2531</v>
      </c>
      <c r="J6" s="3497"/>
      <c r="K6" s="610" t="s">
        <v>2532</v>
      </c>
      <c r="L6" s="1130"/>
      <c r="M6" s="1131"/>
      <c r="N6" s="1131"/>
      <c r="O6" s="1131"/>
      <c r="P6" s="3509"/>
      <c r="Q6" s="3510"/>
      <c r="R6" s="3490"/>
      <c r="S6" s="3491"/>
      <c r="T6" s="3511"/>
      <c r="U6" s="3512"/>
      <c r="V6" s="3513"/>
      <c r="W6" s="3513"/>
      <c r="X6" s="1814"/>
      <c r="Y6" s="3511"/>
      <c r="Z6" s="3512"/>
      <c r="AA6" s="3485"/>
      <c r="AB6" s="3485"/>
      <c r="AC6" s="3485"/>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486" t="s">
        <v>2534</v>
      </c>
      <c r="Q7" s="3514"/>
      <c r="R7" s="768" t="s">
        <v>17</v>
      </c>
      <c r="S7" s="769">
        <f t="shared" ref="S7:S15" si="0">F7</f>
        <v>0</v>
      </c>
      <c r="T7" s="768" t="s">
        <v>17</v>
      </c>
      <c r="U7" s="769">
        <f t="shared" ref="U7:U15" si="1">H7</f>
        <v>0</v>
      </c>
      <c r="V7" s="768" t="s">
        <v>17</v>
      </c>
      <c r="W7" s="769">
        <f t="shared" ref="W7:W15" si="2">J7</f>
        <v>0</v>
      </c>
      <c r="X7" s="770"/>
      <c r="Y7" s="3486" t="s">
        <v>2534</v>
      </c>
      <c r="Z7" s="3487"/>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486" t="s">
        <v>2537</v>
      </c>
      <c r="Q8" s="3487"/>
      <c r="R8" s="768" t="s">
        <v>17</v>
      </c>
      <c r="S8" s="769">
        <f t="shared" si="0"/>
        <v>0</v>
      </c>
      <c r="T8" s="768" t="s">
        <v>17</v>
      </c>
      <c r="U8" s="769">
        <f t="shared" si="1"/>
        <v>0</v>
      </c>
      <c r="V8" s="768" t="s">
        <v>17</v>
      </c>
      <c r="W8" s="769">
        <f t="shared" si="2"/>
        <v>0</v>
      </c>
      <c r="X8" s="770"/>
      <c r="Y8" s="3486" t="s">
        <v>2537</v>
      </c>
      <c r="Z8" s="3487"/>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518" t="s">
        <v>2540</v>
      </c>
      <c r="Q9" s="1796" t="str">
        <f t="shared" ref="Q9:Q15" si="6">B9</f>
        <v>用途</v>
      </c>
      <c r="R9" s="768" t="s">
        <v>17</v>
      </c>
      <c r="S9" s="769">
        <f t="shared" si="0"/>
        <v>100</v>
      </c>
      <c r="T9" s="768" t="s">
        <v>17</v>
      </c>
      <c r="U9" s="769">
        <f t="shared" si="1"/>
        <v>100</v>
      </c>
      <c r="V9" s="768" t="s">
        <v>17</v>
      </c>
      <c r="W9" s="769">
        <f t="shared" si="2"/>
        <v>100</v>
      </c>
      <c r="X9" s="770"/>
      <c r="Y9" s="3360"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115</v>
      </c>
      <c r="G10" s="463"/>
      <c r="H10" s="135">
        <f>ROUND(100/'数据-取费表'!G16,0)</f>
        <v>115</v>
      </c>
      <c r="I10" s="463"/>
      <c r="J10" s="135">
        <f>ROUND(100/'数据-取费表'!G16,0)</f>
        <v>115</v>
      </c>
      <c r="K10" s="670"/>
      <c r="L10" s="1135"/>
      <c r="M10" s="1136"/>
      <c r="N10" s="1136"/>
      <c r="O10" s="1137"/>
      <c r="P10" s="3518"/>
      <c r="Q10" s="1796" t="str">
        <f t="shared" si="6"/>
        <v>土地使用年限（年）</v>
      </c>
      <c r="R10" s="768" t="s">
        <v>17</v>
      </c>
      <c r="S10" s="769">
        <f t="shared" si="0"/>
        <v>115</v>
      </c>
      <c r="T10" s="768" t="s">
        <v>17</v>
      </c>
      <c r="U10" s="769">
        <f t="shared" si="1"/>
        <v>115</v>
      </c>
      <c r="V10" s="768" t="s">
        <v>17</v>
      </c>
      <c r="W10" s="769">
        <f t="shared" si="2"/>
        <v>115</v>
      </c>
      <c r="X10" s="770"/>
      <c r="Y10" s="3360"/>
      <c r="Z10" s="54" t="str">
        <f t="shared" si="7"/>
        <v>土地使用年限（年）</v>
      </c>
      <c r="AA10" s="771">
        <f t="shared" si="3"/>
        <v>0.86956521739130432</v>
      </c>
      <c r="AB10" s="771">
        <f t="shared" si="4"/>
        <v>0.86956521739130432</v>
      </c>
      <c r="AC10" s="771">
        <f t="shared" si="5"/>
        <v>0.86956521739130432</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518"/>
      <c r="Q11" s="1796" t="str">
        <f t="shared" si="6"/>
        <v>容积率</v>
      </c>
      <c r="R11" s="768" t="s">
        <v>17</v>
      </c>
      <c r="S11" s="769" t="e">
        <f t="shared" si="0"/>
        <v>#N/A</v>
      </c>
      <c r="T11" s="768" t="s">
        <v>17</v>
      </c>
      <c r="U11" s="769" t="e">
        <f t="shared" si="1"/>
        <v>#N/A</v>
      </c>
      <c r="V11" s="768" t="s">
        <v>17</v>
      </c>
      <c r="W11" s="769" t="e">
        <f t="shared" si="2"/>
        <v>#N/A</v>
      </c>
      <c r="X11" s="770"/>
      <c r="Y11" s="3360"/>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518"/>
      <c r="Q12" s="1796" t="str">
        <f t="shared" si="6"/>
        <v>配建</v>
      </c>
      <c r="R12" s="768" t="s">
        <v>17</v>
      </c>
      <c r="S12" s="769">
        <f t="shared" si="0"/>
        <v>100</v>
      </c>
      <c r="T12" s="768" t="s">
        <v>17</v>
      </c>
      <c r="U12" s="769">
        <f t="shared" si="1"/>
        <v>100</v>
      </c>
      <c r="V12" s="768" t="s">
        <v>17</v>
      </c>
      <c r="W12" s="769">
        <f t="shared" si="2"/>
        <v>100</v>
      </c>
      <c r="X12" s="770"/>
      <c r="Y12" s="3360"/>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518"/>
      <c r="Q13" s="1796">
        <f t="shared" si="6"/>
        <v>111</v>
      </c>
      <c r="R13" s="768" t="s">
        <v>17</v>
      </c>
      <c r="S13" s="769">
        <f t="shared" si="0"/>
        <v>100</v>
      </c>
      <c r="T13" s="768" t="s">
        <v>17</v>
      </c>
      <c r="U13" s="769">
        <f t="shared" si="1"/>
        <v>100</v>
      </c>
      <c r="V13" s="768" t="s">
        <v>17</v>
      </c>
      <c r="W13" s="769">
        <f t="shared" si="2"/>
        <v>100</v>
      </c>
      <c r="X13" s="770"/>
      <c r="Y13" s="3360"/>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518"/>
      <c r="Q14" s="1796">
        <f t="shared" si="6"/>
        <v>111</v>
      </c>
      <c r="R14" s="768" t="s">
        <v>17</v>
      </c>
      <c r="S14" s="769">
        <f t="shared" si="0"/>
        <v>100</v>
      </c>
      <c r="T14" s="768" t="s">
        <v>17</v>
      </c>
      <c r="U14" s="769">
        <f t="shared" si="1"/>
        <v>100</v>
      </c>
      <c r="V14" s="768" t="s">
        <v>17</v>
      </c>
      <c r="W14" s="769">
        <f t="shared" si="2"/>
        <v>100</v>
      </c>
      <c r="X14" s="770"/>
      <c r="Y14" s="3360"/>
      <c r="Z14" s="54">
        <f t="shared" si="7"/>
        <v>111</v>
      </c>
      <c r="AA14" s="771">
        <f>D14/F14</f>
        <v>1</v>
      </c>
      <c r="AB14" s="771">
        <f>D14/H14</f>
        <v>1</v>
      </c>
      <c r="AC14" s="771">
        <f>D14/J14</f>
        <v>1</v>
      </c>
    </row>
    <row r="15" spans="1:30" ht="15">
      <c r="A15" s="440" t="s">
        <v>2544</v>
      </c>
      <c r="B15" s="68"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520" t="s">
        <v>2545</v>
      </c>
      <c r="Q15" s="1811" t="str">
        <f t="shared" si="6"/>
        <v>居住社区成熟度</v>
      </c>
      <c r="R15" s="772" t="s">
        <v>17</v>
      </c>
      <c r="S15" s="773">
        <f t="shared" si="0"/>
        <v>100</v>
      </c>
      <c r="T15" s="772" t="s">
        <v>17</v>
      </c>
      <c r="U15" s="773">
        <f t="shared" si="1"/>
        <v>100</v>
      </c>
      <c r="V15" s="772" t="s">
        <v>17</v>
      </c>
      <c r="W15" s="773">
        <f t="shared" si="2"/>
        <v>100</v>
      </c>
      <c r="X15" s="1814"/>
      <c r="Y15" s="3520"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521"/>
      <c r="Q16" s="1811"/>
      <c r="R16" s="772"/>
      <c r="S16" s="773"/>
      <c r="T16" s="772"/>
      <c r="U16" s="773"/>
      <c r="V16" s="772"/>
      <c r="W16" s="773"/>
      <c r="X16" s="1814"/>
      <c r="Y16" s="3521"/>
      <c r="Z16" s="1815"/>
      <c r="AA16" s="1812">
        <v>1</v>
      </c>
      <c r="AB16" s="1812">
        <v>1</v>
      </c>
      <c r="AC16" s="1812">
        <v>1</v>
      </c>
    </row>
    <row r="17" spans="1:29" ht="128.25">
      <c r="A17" s="428"/>
      <c r="B17" s="451" t="s">
        <v>2638</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521"/>
      <c r="Q17" s="1811" t="str">
        <f>B17</f>
        <v>商业繁华度</v>
      </c>
      <c r="R17" s="772" t="s">
        <v>17</v>
      </c>
      <c r="S17" s="773">
        <f>F17</f>
        <v>100</v>
      </c>
      <c r="T17" s="772" t="s">
        <v>17</v>
      </c>
      <c r="U17" s="773">
        <f>H17</f>
        <v>100</v>
      </c>
      <c r="V17" s="772" t="s">
        <v>17</v>
      </c>
      <c r="W17" s="773">
        <f>J17</f>
        <v>100</v>
      </c>
      <c r="X17" s="1814"/>
      <c r="Y17" s="3521"/>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521"/>
      <c r="Q18" s="1811"/>
      <c r="R18" s="772"/>
      <c r="S18" s="773"/>
      <c r="T18" s="772"/>
      <c r="U18" s="773"/>
      <c r="V18" s="772"/>
      <c r="W18" s="773"/>
      <c r="X18" s="1814"/>
      <c r="Y18" s="3521"/>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521"/>
      <c r="Q19" s="1811" t="str">
        <f>B19</f>
        <v>办公集聚程度</v>
      </c>
      <c r="R19" s="772" t="s">
        <v>17</v>
      </c>
      <c r="S19" s="773">
        <f>F19</f>
        <v>100</v>
      </c>
      <c r="T19" s="772" t="s">
        <v>17</v>
      </c>
      <c r="U19" s="773">
        <f>H19</f>
        <v>100</v>
      </c>
      <c r="V19" s="772" t="s">
        <v>17</v>
      </c>
      <c r="W19" s="773">
        <f>J19</f>
        <v>100</v>
      </c>
      <c r="X19" s="1814"/>
      <c r="Y19" s="3521"/>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521"/>
      <c r="Q20" s="1811"/>
      <c r="R20" s="772"/>
      <c r="S20" s="773"/>
      <c r="T20" s="772"/>
      <c r="U20" s="773"/>
      <c r="V20" s="772"/>
      <c r="W20" s="773"/>
      <c r="X20" s="1814"/>
      <c r="Y20" s="3521"/>
      <c r="Z20" s="1815"/>
      <c r="AA20" s="1812">
        <v>1</v>
      </c>
      <c r="AB20" s="1812">
        <v>1</v>
      </c>
      <c r="AC20" s="1812">
        <v>1</v>
      </c>
    </row>
    <row r="21" spans="1:29" ht="171">
      <c r="A21" s="428"/>
      <c r="B21" s="451" t="s">
        <v>2693</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521"/>
      <c r="Q21" s="1811" t="str">
        <f>B21</f>
        <v>交通便捷度</v>
      </c>
      <c r="R21" s="772" t="s">
        <v>17</v>
      </c>
      <c r="S21" s="773">
        <f>F21</f>
        <v>100</v>
      </c>
      <c r="T21" s="772" t="s">
        <v>17</v>
      </c>
      <c r="U21" s="773">
        <f>H21</f>
        <v>100</v>
      </c>
      <c r="V21" s="772" t="s">
        <v>17</v>
      </c>
      <c r="W21" s="773">
        <f>J21</f>
        <v>100</v>
      </c>
      <c r="X21" s="1814"/>
      <c r="Y21" s="3521"/>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521"/>
      <c r="Q22" s="1811"/>
      <c r="R22" s="772"/>
      <c r="S22" s="773"/>
      <c r="T22" s="772"/>
      <c r="U22" s="773"/>
      <c r="V22" s="772"/>
      <c r="W22" s="773"/>
      <c r="X22" s="1814"/>
      <c r="Y22" s="3521"/>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521"/>
      <c r="Q23" s="1811" t="str">
        <f t="shared" ref="Q23:Q37" si="8">B23</f>
        <v>区域土地利用方向</v>
      </c>
      <c r="R23" s="772" t="s">
        <v>17</v>
      </c>
      <c r="S23" s="773">
        <f>F23</f>
        <v>100</v>
      </c>
      <c r="T23" s="772" t="s">
        <v>17</v>
      </c>
      <c r="U23" s="773">
        <f>H23</f>
        <v>100</v>
      </c>
      <c r="V23" s="772" t="s">
        <v>17</v>
      </c>
      <c r="W23" s="773">
        <f>J23</f>
        <v>100</v>
      </c>
      <c r="X23" s="1814"/>
      <c r="Y23" s="3521"/>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521"/>
      <c r="Q24" s="1811"/>
      <c r="R24" s="772"/>
      <c r="S24" s="773"/>
      <c r="T24" s="772"/>
      <c r="U24" s="773"/>
      <c r="V24" s="772"/>
      <c r="W24" s="773"/>
      <c r="X24" s="1814"/>
      <c r="Y24" s="3521"/>
      <c r="Z24" s="1815"/>
      <c r="AA24" s="1812"/>
      <c r="AB24" s="1812"/>
      <c r="AC24" s="1812"/>
    </row>
    <row r="25" spans="1:29" ht="171">
      <c r="A25" s="404"/>
      <c r="B25" s="1384" t="s">
        <v>2733</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521"/>
      <c r="Q25" s="1811" t="str">
        <f t="shared" si="8"/>
        <v>自然及人文环境状况</v>
      </c>
      <c r="R25" s="772" t="s">
        <v>17</v>
      </c>
      <c r="S25" s="773">
        <f>F25</f>
        <v>100</v>
      </c>
      <c r="T25" s="772" t="s">
        <v>17</v>
      </c>
      <c r="U25" s="773">
        <f>H25</f>
        <v>100</v>
      </c>
      <c r="V25" s="772" t="s">
        <v>17</v>
      </c>
      <c r="W25" s="773">
        <f>J25</f>
        <v>100</v>
      </c>
      <c r="X25" s="1814"/>
      <c r="Y25" s="3521"/>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521"/>
      <c r="Q26" s="1811"/>
      <c r="R26" s="772"/>
      <c r="S26" s="773"/>
      <c r="T26" s="772"/>
      <c r="U26" s="773"/>
      <c r="V26" s="772"/>
      <c r="W26" s="773"/>
      <c r="X26" s="1814"/>
      <c r="Y26" s="3521"/>
      <c r="Z26" s="1815"/>
      <c r="AA26" s="1812">
        <v>1</v>
      </c>
      <c r="AB26" s="1812">
        <v>1</v>
      </c>
      <c r="AC26" s="1812">
        <v>1</v>
      </c>
    </row>
    <row r="27" spans="1:29" s="116" customFormat="1" ht="171">
      <c r="A27" s="647"/>
      <c r="B27" s="1384" t="s">
        <v>2639</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521"/>
      <c r="Q27" s="1796" t="str">
        <f t="shared" si="8"/>
        <v>公共配套设施</v>
      </c>
      <c r="R27" s="768" t="s">
        <v>17</v>
      </c>
      <c r="S27" s="769">
        <f>F27</f>
        <v>100</v>
      </c>
      <c r="T27" s="768" t="s">
        <v>17</v>
      </c>
      <c r="U27" s="769">
        <f>H27</f>
        <v>100</v>
      </c>
      <c r="V27" s="768" t="s">
        <v>17</v>
      </c>
      <c r="W27" s="769">
        <f>J27</f>
        <v>100</v>
      </c>
      <c r="X27" s="770"/>
      <c r="Y27" s="3521"/>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521"/>
      <c r="Q28" s="1796"/>
      <c r="R28" s="768"/>
      <c r="S28" s="769"/>
      <c r="T28" s="768"/>
      <c r="U28" s="769"/>
      <c r="V28" s="768"/>
      <c r="W28" s="769"/>
      <c r="X28" s="770"/>
      <c r="Y28" s="3521"/>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521"/>
      <c r="Q29" s="1796" t="str">
        <f t="shared" ref="Q29" si="9">B29</f>
        <v>基础设施水平</v>
      </c>
      <c r="R29" s="768" t="s">
        <v>17</v>
      </c>
      <c r="S29" s="769">
        <f>F29</f>
        <v>100</v>
      </c>
      <c r="T29" s="768" t="s">
        <v>17</v>
      </c>
      <c r="U29" s="769">
        <f>H29</f>
        <v>100</v>
      </c>
      <c r="V29" s="768" t="s">
        <v>17</v>
      </c>
      <c r="W29" s="769">
        <f>J29</f>
        <v>100</v>
      </c>
      <c r="X29" s="770"/>
      <c r="Y29" s="3521"/>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521"/>
      <c r="Q30" s="1796"/>
      <c r="R30" s="768"/>
      <c r="S30" s="769"/>
      <c r="T30" s="768"/>
      <c r="U30" s="769"/>
      <c r="V30" s="768"/>
      <c r="W30" s="769"/>
      <c r="X30" s="770"/>
      <c r="Y30" s="3521"/>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521"/>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521"/>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521"/>
      <c r="Q32" s="1811" t="str">
        <f t="shared" si="8"/>
        <v>毗邻道路的类型与等级</v>
      </c>
      <c r="R32" s="772" t="s">
        <v>17</v>
      </c>
      <c r="S32" s="773">
        <f t="shared" si="10"/>
        <v>100</v>
      </c>
      <c r="T32" s="772" t="s">
        <v>17</v>
      </c>
      <c r="U32" s="773">
        <f t="shared" si="11"/>
        <v>100</v>
      </c>
      <c r="V32" s="772" t="s">
        <v>17</v>
      </c>
      <c r="W32" s="773">
        <f t="shared" si="12"/>
        <v>100</v>
      </c>
      <c r="X32" s="1814"/>
      <c r="Y32" s="3521"/>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521"/>
      <c r="Q33" s="1811"/>
      <c r="R33" s="772"/>
      <c r="S33" s="773"/>
      <c r="T33" s="772"/>
      <c r="U33" s="773"/>
      <c r="V33" s="772"/>
      <c r="W33" s="773"/>
      <c r="X33" s="1814"/>
      <c r="Y33" s="3521"/>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521"/>
      <c r="Q34" s="1811" t="str">
        <f t="shared" si="8"/>
        <v>土地级别</v>
      </c>
      <c r="R34" s="772" t="s">
        <v>17</v>
      </c>
      <c r="S34" s="773">
        <f t="shared" si="10"/>
        <v>100</v>
      </c>
      <c r="T34" s="772" t="s">
        <v>17</v>
      </c>
      <c r="U34" s="773">
        <f t="shared" si="11"/>
        <v>100</v>
      </c>
      <c r="V34" s="772" t="s">
        <v>17</v>
      </c>
      <c r="W34" s="773">
        <f t="shared" si="12"/>
        <v>100</v>
      </c>
      <c r="X34" s="1814"/>
      <c r="Y34" s="3521"/>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521"/>
      <c r="Q35" s="1811">
        <f t="shared" si="8"/>
        <v>111</v>
      </c>
      <c r="R35" s="772" t="s">
        <v>17</v>
      </c>
      <c r="S35" s="773">
        <f t="shared" si="10"/>
        <v>100</v>
      </c>
      <c r="T35" s="772" t="s">
        <v>17</v>
      </c>
      <c r="U35" s="773">
        <f t="shared" si="11"/>
        <v>100</v>
      </c>
      <c r="V35" s="772" t="s">
        <v>17</v>
      </c>
      <c r="W35" s="773">
        <f t="shared" si="12"/>
        <v>100</v>
      </c>
      <c r="X35" s="1814"/>
      <c r="Y35" s="3521"/>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577" t="s">
        <v>2550</v>
      </c>
      <c r="Q36" s="1811">
        <f t="shared" si="8"/>
        <v>111</v>
      </c>
      <c r="R36" s="772" t="s">
        <v>17</v>
      </c>
      <c r="S36" s="773">
        <f t="shared" si="10"/>
        <v>100</v>
      </c>
      <c r="T36" s="772" t="s">
        <v>17</v>
      </c>
      <c r="U36" s="773">
        <f t="shared" si="11"/>
        <v>100</v>
      </c>
      <c r="V36" s="772" t="s">
        <v>17</v>
      </c>
      <c r="W36" s="773">
        <f t="shared" si="12"/>
        <v>100</v>
      </c>
      <c r="X36" s="1814"/>
      <c r="Y36" s="3525"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525"/>
      <c r="Q37" s="1811">
        <f t="shared" si="8"/>
        <v>111</v>
      </c>
      <c r="R37" s="775" t="s">
        <v>17</v>
      </c>
      <c r="S37" s="776">
        <f t="shared" si="10"/>
        <v>100</v>
      </c>
      <c r="T37" s="775" t="s">
        <v>17</v>
      </c>
      <c r="U37" s="776">
        <f t="shared" si="11"/>
        <v>100</v>
      </c>
      <c r="V37" s="775" t="s">
        <v>17</v>
      </c>
      <c r="W37" s="776">
        <f t="shared" si="12"/>
        <v>100</v>
      </c>
      <c r="X37" s="777"/>
      <c r="Y37" s="3525"/>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525"/>
      <c r="Q38" s="1811" t="str">
        <f>B38</f>
        <v>宗地面积</v>
      </c>
      <c r="R38" s="772" t="s">
        <v>17</v>
      </c>
      <c r="S38" s="773" t="e">
        <f t="shared" si="10"/>
        <v>#N/A</v>
      </c>
      <c r="T38" s="772" t="s">
        <v>17</v>
      </c>
      <c r="U38" s="773" t="e">
        <f t="shared" si="11"/>
        <v>#N/A</v>
      </c>
      <c r="V38" s="772" t="s">
        <v>17</v>
      </c>
      <c r="W38" s="773" t="e">
        <f t="shared" si="12"/>
        <v>#N/A</v>
      </c>
      <c r="X38" s="1814"/>
      <c r="Y38" s="3525"/>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525"/>
      <c r="Q39" s="1811" t="str">
        <f t="shared" ref="Q39:Q45" si="14">B39</f>
        <v>宗地形状</v>
      </c>
      <c r="R39" s="772" t="s">
        <v>17</v>
      </c>
      <c r="S39" s="773">
        <f t="shared" si="10"/>
        <v>100</v>
      </c>
      <c r="T39" s="772" t="s">
        <v>17</v>
      </c>
      <c r="U39" s="773">
        <f t="shared" si="11"/>
        <v>100</v>
      </c>
      <c r="V39" s="772" t="s">
        <v>17</v>
      </c>
      <c r="W39" s="773">
        <f t="shared" si="12"/>
        <v>100</v>
      </c>
      <c r="X39" s="1814"/>
      <c r="Y39" s="3525"/>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525"/>
      <c r="Q40" s="1811" t="str">
        <f t="shared" si="14"/>
        <v>临街宽度及深度</v>
      </c>
      <c r="R40" s="772" t="s">
        <v>17</v>
      </c>
      <c r="S40" s="773">
        <f t="shared" si="10"/>
        <v>100</v>
      </c>
      <c r="T40" s="772" t="s">
        <v>17</v>
      </c>
      <c r="U40" s="773">
        <f t="shared" si="11"/>
        <v>100</v>
      </c>
      <c r="V40" s="772" t="s">
        <v>17</v>
      </c>
      <c r="W40" s="773">
        <f t="shared" si="12"/>
        <v>100</v>
      </c>
      <c r="X40" s="1814"/>
      <c r="Y40" s="3525"/>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525"/>
      <c r="Q41" s="1811" t="str">
        <f t="shared" si="14"/>
        <v>宗地开发程度</v>
      </c>
      <c r="R41" s="768" t="s">
        <v>17</v>
      </c>
      <c r="S41" s="769">
        <f t="shared" si="10"/>
        <v>100</v>
      </c>
      <c r="T41" s="768" t="s">
        <v>17</v>
      </c>
      <c r="U41" s="769">
        <f t="shared" si="11"/>
        <v>100</v>
      </c>
      <c r="V41" s="768" t="s">
        <v>17</v>
      </c>
      <c r="W41" s="769">
        <f t="shared" si="12"/>
        <v>100</v>
      </c>
      <c r="X41" s="770"/>
      <c r="Y41" s="3525"/>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525" t="s">
        <v>2550</v>
      </c>
      <c r="Q42" s="1811" t="str">
        <f t="shared" si="14"/>
        <v>工程地质条件</v>
      </c>
      <c r="R42" s="772" t="s">
        <v>17</v>
      </c>
      <c r="S42" s="773">
        <f t="shared" si="10"/>
        <v>100</v>
      </c>
      <c r="T42" s="772" t="s">
        <v>17</v>
      </c>
      <c r="U42" s="773">
        <f t="shared" si="11"/>
        <v>100</v>
      </c>
      <c r="V42" s="772" t="s">
        <v>17</v>
      </c>
      <c r="W42" s="773">
        <f t="shared" si="12"/>
        <v>100</v>
      </c>
      <c r="X42" s="1814"/>
      <c r="Y42" s="3525"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525"/>
      <c r="Q43" s="1811">
        <f t="shared" si="14"/>
        <v>111</v>
      </c>
      <c r="R43" s="772" t="s">
        <v>17</v>
      </c>
      <c r="S43" s="773">
        <f t="shared" si="10"/>
        <v>100</v>
      </c>
      <c r="T43" s="772" t="s">
        <v>17</v>
      </c>
      <c r="U43" s="773">
        <f t="shared" si="11"/>
        <v>100</v>
      </c>
      <c r="V43" s="772" t="s">
        <v>17</v>
      </c>
      <c r="W43" s="773">
        <f t="shared" si="12"/>
        <v>100</v>
      </c>
      <c r="X43" s="1814"/>
      <c r="Y43" s="3525"/>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525"/>
      <c r="Q44" s="1811">
        <f t="shared" si="14"/>
        <v>111</v>
      </c>
      <c r="R44" s="772" t="s">
        <v>17</v>
      </c>
      <c r="S44" s="773">
        <f t="shared" si="10"/>
        <v>100</v>
      </c>
      <c r="T44" s="772" t="s">
        <v>17</v>
      </c>
      <c r="U44" s="773">
        <f t="shared" si="11"/>
        <v>100</v>
      </c>
      <c r="V44" s="772" t="s">
        <v>17</v>
      </c>
      <c r="W44" s="773">
        <f t="shared" si="12"/>
        <v>100</v>
      </c>
      <c r="X44" s="1814"/>
      <c r="Y44" s="3525"/>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525"/>
      <c r="Q45" s="1811">
        <f t="shared" si="14"/>
        <v>111</v>
      </c>
      <c r="R45" s="775" t="s">
        <v>17</v>
      </c>
      <c r="S45" s="776">
        <f t="shared" si="10"/>
        <v>100</v>
      </c>
      <c r="T45" s="775" t="s">
        <v>17</v>
      </c>
      <c r="U45" s="776">
        <f t="shared" si="11"/>
        <v>100</v>
      </c>
      <c r="V45" s="775" t="s">
        <v>17</v>
      </c>
      <c r="W45" s="776">
        <f t="shared" si="12"/>
        <v>100</v>
      </c>
      <c r="X45" s="777"/>
      <c r="Y45" s="3525"/>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518" t="str">
        <f>A46</f>
        <v>成交单价</v>
      </c>
      <c r="Q46" s="3518"/>
      <c r="R46" s="3513">
        <f>E46</f>
        <v>0</v>
      </c>
      <c r="S46" s="3513"/>
      <c r="T46" s="3513">
        <f>G46</f>
        <v>0</v>
      </c>
      <c r="U46" s="3513"/>
      <c r="V46" s="3513">
        <f>I46</f>
        <v>0</v>
      </c>
      <c r="W46" s="3513"/>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518" t="str">
        <f>A47</f>
        <v>比较价值（元/平方米）</v>
      </c>
      <c r="Q47" s="3518"/>
      <c r="R47" s="3578" t="e">
        <f>ROUND(PRODUCT(R46,AA7:AA45),0)</f>
        <v>#DIV/0!</v>
      </c>
      <c r="S47" s="3578"/>
      <c r="T47" s="3578" t="e">
        <f>ROUND(PRODUCT(T46,AB7:AB45),0)</f>
        <v>#DIV/0!</v>
      </c>
      <c r="U47" s="3578"/>
      <c r="V47" s="3578" t="e">
        <f>ROUND(PRODUCT(V46,AC7:AC45),0)</f>
        <v>#DIV/0!</v>
      </c>
      <c r="W47" s="3578"/>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515" t="str">
        <f>A48</f>
        <v>估价对象XX用房的比较价值（楼面单价，元/平方米）</v>
      </c>
      <c r="Q48" s="3516"/>
      <c r="R48" s="3579" t="e">
        <f>ROUND(AVERAGE(R47:V47),0)</f>
        <v>#DIV/0!</v>
      </c>
      <c r="S48" s="3579"/>
      <c r="T48" s="3579"/>
      <c r="U48" s="3579"/>
      <c r="V48" s="3579"/>
      <c r="W48" s="3579"/>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501" t="s">
        <v>2748</v>
      </c>
      <c r="H55" s="3580"/>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0</v>
      </c>
      <c r="F56" s="1104" t="e">
        <f t="shared" ref="F56:F65" si="15">ROUND(B56*E56/10000,0)</f>
        <v>#DIV/0!</v>
      </c>
      <c r="G56" s="3500"/>
      <c r="H56" s="3518"/>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581"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581"/>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581"/>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581"/>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0</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501" t="s">
        <v>2631</v>
      </c>
      <c r="D4" s="3502"/>
      <c r="E4" s="3503" t="s">
        <v>2632</v>
      </c>
      <c r="F4" s="3504"/>
      <c r="G4" s="3501" t="s">
        <v>2633</v>
      </c>
      <c r="H4" s="3502"/>
      <c r="I4" s="3501" t="s">
        <v>2634</v>
      </c>
      <c r="J4" s="3502"/>
      <c r="K4" s="610" t="s">
        <v>2635</v>
      </c>
      <c r="L4" s="1130"/>
      <c r="M4" s="1131"/>
      <c r="N4" s="1131"/>
      <c r="O4" s="1131"/>
      <c r="P4" s="3505" t="s">
        <v>2636</v>
      </c>
      <c r="Q4" s="3506"/>
      <c r="R4" s="3488" t="s">
        <v>2632</v>
      </c>
      <c r="S4" s="3489"/>
      <c r="T4" s="3488" t="s">
        <v>2633</v>
      </c>
      <c r="U4" s="3489"/>
      <c r="V4" s="3513" t="s">
        <v>2634</v>
      </c>
      <c r="W4" s="3513"/>
      <c r="X4" s="1814"/>
      <c r="Y4" s="3488" t="s">
        <v>2636</v>
      </c>
      <c r="Z4" s="3489"/>
      <c r="AA4" s="3483" t="s">
        <v>2632</v>
      </c>
      <c r="AB4" s="3484" t="s">
        <v>2633</v>
      </c>
      <c r="AC4" s="3483" t="s">
        <v>2634</v>
      </c>
    </row>
    <row r="5" spans="1:29" ht="15">
      <c r="A5" s="404"/>
      <c r="B5" s="405"/>
      <c r="C5" s="3564" t="s">
        <v>2527</v>
      </c>
      <c r="D5" s="3495"/>
      <c r="E5" s="3563" t="s">
        <v>2528</v>
      </c>
      <c r="F5" s="3493"/>
      <c r="G5" s="3564" t="s">
        <v>2529</v>
      </c>
      <c r="H5" s="3495"/>
      <c r="I5" s="3564" t="s">
        <v>2530</v>
      </c>
      <c r="J5" s="3495"/>
      <c r="K5" s="610"/>
      <c r="L5" s="1130"/>
      <c r="M5" s="1131"/>
      <c r="N5" s="1131"/>
      <c r="O5" s="1131"/>
      <c r="P5" s="3507"/>
      <c r="Q5" s="3508"/>
      <c r="R5" s="3490"/>
      <c r="S5" s="3491"/>
      <c r="T5" s="3490"/>
      <c r="U5" s="3491"/>
      <c r="V5" s="3513"/>
      <c r="W5" s="3513"/>
      <c r="X5" s="1814"/>
      <c r="Y5" s="3490"/>
      <c r="Z5" s="3491"/>
      <c r="AA5" s="3484"/>
      <c r="AB5" s="3484"/>
      <c r="AC5" s="3484"/>
    </row>
    <row r="6" spans="1:29" ht="15.75" thickBot="1">
      <c r="A6" s="406"/>
      <c r="B6" s="407"/>
      <c r="C6" s="3582" t="s">
        <v>2781</v>
      </c>
      <c r="D6" s="3583"/>
      <c r="E6" s="3584" t="s">
        <v>2781</v>
      </c>
      <c r="F6" s="3585"/>
      <c r="G6" s="3582" t="s">
        <v>2781</v>
      </c>
      <c r="H6" s="3583"/>
      <c r="I6" s="3582" t="s">
        <v>2781</v>
      </c>
      <c r="J6" s="3583"/>
      <c r="K6" s="610" t="s">
        <v>2532</v>
      </c>
      <c r="L6" s="1130"/>
      <c r="M6" s="1131"/>
      <c r="N6" s="1131"/>
      <c r="O6" s="1131"/>
      <c r="P6" s="3509"/>
      <c r="Q6" s="3510"/>
      <c r="R6" s="3490"/>
      <c r="S6" s="3491"/>
      <c r="T6" s="3511"/>
      <c r="U6" s="3512"/>
      <c r="V6" s="3513"/>
      <c r="W6" s="3513"/>
      <c r="X6" s="1814"/>
      <c r="Y6" s="3511"/>
      <c r="Z6" s="3512"/>
      <c r="AA6" s="3485"/>
      <c r="AB6" s="3485"/>
      <c r="AC6" s="3485"/>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486" t="s">
        <v>2534</v>
      </c>
      <c r="Q7" s="3514"/>
      <c r="R7" s="768" t="s">
        <v>17</v>
      </c>
      <c r="S7" s="769">
        <f t="shared" ref="S7:S15" si="0">F7</f>
        <v>0</v>
      </c>
      <c r="T7" s="768" t="s">
        <v>17</v>
      </c>
      <c r="U7" s="769">
        <f t="shared" ref="U7:U15" si="1">H7</f>
        <v>0</v>
      </c>
      <c r="V7" s="768" t="s">
        <v>17</v>
      </c>
      <c r="W7" s="769">
        <f t="shared" ref="W7:W15" si="2">J7</f>
        <v>0</v>
      </c>
      <c r="X7" s="770"/>
      <c r="Y7" s="3486" t="s">
        <v>2534</v>
      </c>
      <c r="Z7" s="3487"/>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486" t="s">
        <v>2537</v>
      </c>
      <c r="Q8" s="3487"/>
      <c r="R8" s="768" t="s">
        <v>17</v>
      </c>
      <c r="S8" s="769">
        <f t="shared" si="0"/>
        <v>0</v>
      </c>
      <c r="T8" s="768" t="s">
        <v>17</v>
      </c>
      <c r="U8" s="769">
        <f t="shared" si="1"/>
        <v>0</v>
      </c>
      <c r="V8" s="768" t="s">
        <v>17</v>
      </c>
      <c r="W8" s="769">
        <f t="shared" si="2"/>
        <v>0</v>
      </c>
      <c r="X8" s="770"/>
      <c r="Y8" s="3486" t="s">
        <v>2537</v>
      </c>
      <c r="Z8" s="3487"/>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518" t="s">
        <v>2540</v>
      </c>
      <c r="Q9" s="1796" t="str">
        <f t="shared" ref="Q9:Q15" si="6">B9</f>
        <v>用途</v>
      </c>
      <c r="R9" s="768" t="s">
        <v>17</v>
      </c>
      <c r="S9" s="769">
        <f t="shared" si="0"/>
        <v>100</v>
      </c>
      <c r="T9" s="768" t="s">
        <v>17</v>
      </c>
      <c r="U9" s="769">
        <f t="shared" si="1"/>
        <v>100</v>
      </c>
      <c r="V9" s="768" t="s">
        <v>17</v>
      </c>
      <c r="W9" s="769">
        <f t="shared" si="2"/>
        <v>100</v>
      </c>
      <c r="X9" s="770"/>
      <c r="Y9" s="3360"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115</v>
      </c>
      <c r="G10" s="432"/>
      <c r="H10" s="135">
        <f>ROUND(100/'数据-取费表'!G16,0)</f>
        <v>115</v>
      </c>
      <c r="I10" s="432"/>
      <c r="J10" s="135">
        <f>ROUND(100/'数据-取费表'!G16,0)</f>
        <v>115</v>
      </c>
      <c r="K10" s="670"/>
      <c r="L10" s="1135"/>
      <c r="M10" s="1136"/>
      <c r="N10" s="1136"/>
      <c r="O10" s="1137"/>
      <c r="P10" s="3518"/>
      <c r="Q10" s="1796" t="str">
        <f t="shared" si="6"/>
        <v>土地使用年限（年）</v>
      </c>
      <c r="R10" s="768" t="s">
        <v>17</v>
      </c>
      <c r="S10" s="769">
        <f t="shared" si="0"/>
        <v>115</v>
      </c>
      <c r="T10" s="768" t="s">
        <v>17</v>
      </c>
      <c r="U10" s="769">
        <f t="shared" si="1"/>
        <v>115</v>
      </c>
      <c r="V10" s="768" t="s">
        <v>17</v>
      </c>
      <c r="W10" s="769">
        <f t="shared" si="2"/>
        <v>115</v>
      </c>
      <c r="X10" s="770"/>
      <c r="Y10" s="3360"/>
      <c r="Z10" s="54" t="str">
        <f t="shared" si="7"/>
        <v>土地使用年限（年）</v>
      </c>
      <c r="AA10" s="771">
        <f t="shared" si="3"/>
        <v>0.86956521739130432</v>
      </c>
      <c r="AB10" s="771">
        <f t="shared" si="4"/>
        <v>0.86956521739130432</v>
      </c>
      <c r="AC10" s="771">
        <f t="shared" si="5"/>
        <v>0.86956521739130432</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518"/>
      <c r="Q11" s="1796" t="str">
        <f t="shared" si="6"/>
        <v>容积率</v>
      </c>
      <c r="R11" s="768" t="s">
        <v>17</v>
      </c>
      <c r="S11" s="769" t="e">
        <f t="shared" si="0"/>
        <v>#N/A</v>
      </c>
      <c r="T11" s="768" t="s">
        <v>17</v>
      </c>
      <c r="U11" s="769" t="e">
        <f t="shared" si="1"/>
        <v>#N/A</v>
      </c>
      <c r="V11" s="768" t="s">
        <v>17</v>
      </c>
      <c r="W11" s="769" t="e">
        <f t="shared" si="2"/>
        <v>#N/A</v>
      </c>
      <c r="X11" s="770"/>
      <c r="Y11" s="3360"/>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518"/>
      <c r="Q12" s="1796">
        <f t="shared" si="6"/>
        <v>111</v>
      </c>
      <c r="R12" s="768" t="s">
        <v>17</v>
      </c>
      <c r="S12" s="769">
        <f t="shared" si="0"/>
        <v>100</v>
      </c>
      <c r="T12" s="768" t="s">
        <v>17</v>
      </c>
      <c r="U12" s="769">
        <f t="shared" si="1"/>
        <v>100</v>
      </c>
      <c r="V12" s="768" t="s">
        <v>17</v>
      </c>
      <c r="W12" s="769">
        <f t="shared" si="2"/>
        <v>100</v>
      </c>
      <c r="X12" s="770"/>
      <c r="Y12" s="3360"/>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518"/>
      <c r="Q13" s="1796">
        <f t="shared" si="6"/>
        <v>111</v>
      </c>
      <c r="R13" s="768" t="s">
        <v>17</v>
      </c>
      <c r="S13" s="769">
        <f t="shared" si="0"/>
        <v>100</v>
      </c>
      <c r="T13" s="768" t="s">
        <v>17</v>
      </c>
      <c r="U13" s="769">
        <f t="shared" si="1"/>
        <v>100</v>
      </c>
      <c r="V13" s="768" t="s">
        <v>17</v>
      </c>
      <c r="W13" s="769">
        <f t="shared" si="2"/>
        <v>100</v>
      </c>
      <c r="X13" s="770"/>
      <c r="Y13" s="3360"/>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518"/>
      <c r="Q14" s="1796">
        <f t="shared" si="6"/>
        <v>111</v>
      </c>
      <c r="R14" s="768" t="s">
        <v>17</v>
      </c>
      <c r="S14" s="769">
        <f t="shared" si="0"/>
        <v>100</v>
      </c>
      <c r="T14" s="768" t="s">
        <v>17</v>
      </c>
      <c r="U14" s="769">
        <f t="shared" si="1"/>
        <v>100</v>
      </c>
      <c r="V14" s="768" t="s">
        <v>17</v>
      </c>
      <c r="W14" s="769">
        <f t="shared" si="2"/>
        <v>100</v>
      </c>
      <c r="X14" s="770"/>
      <c r="Y14" s="3360"/>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520" t="s">
        <v>2545</v>
      </c>
      <c r="Q15" s="1811" t="str">
        <f t="shared" si="6"/>
        <v>产业集聚程度</v>
      </c>
      <c r="R15" s="772" t="s">
        <v>17</v>
      </c>
      <c r="S15" s="773">
        <f t="shared" si="0"/>
        <v>100</v>
      </c>
      <c r="T15" s="772" t="s">
        <v>17</v>
      </c>
      <c r="U15" s="773">
        <f t="shared" si="1"/>
        <v>100</v>
      </c>
      <c r="V15" s="772" t="s">
        <v>17</v>
      </c>
      <c r="W15" s="773">
        <f t="shared" si="2"/>
        <v>100</v>
      </c>
      <c r="X15" s="1814"/>
      <c r="Y15" s="3520"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521"/>
      <c r="Q16" s="1811"/>
      <c r="R16" s="772"/>
      <c r="S16" s="773"/>
      <c r="T16" s="772"/>
      <c r="U16" s="773"/>
      <c r="V16" s="772"/>
      <c r="W16" s="773"/>
      <c r="X16" s="1814"/>
      <c r="Y16" s="3521"/>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521"/>
      <c r="Q17" s="1811" t="str">
        <f>B17</f>
        <v>交通便捷度</v>
      </c>
      <c r="R17" s="772" t="s">
        <v>17</v>
      </c>
      <c r="S17" s="773">
        <f>F17</f>
        <v>100</v>
      </c>
      <c r="T17" s="772" t="s">
        <v>17</v>
      </c>
      <c r="U17" s="773">
        <f>H17</f>
        <v>100</v>
      </c>
      <c r="V17" s="772" t="s">
        <v>17</v>
      </c>
      <c r="W17" s="773">
        <f>J17</f>
        <v>100</v>
      </c>
      <c r="X17" s="1814"/>
      <c r="Y17" s="3521"/>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521"/>
      <c r="Q18" s="1811"/>
      <c r="R18" s="772"/>
      <c r="S18" s="773"/>
      <c r="T18" s="772"/>
      <c r="U18" s="773"/>
      <c r="V18" s="772"/>
      <c r="W18" s="773"/>
      <c r="X18" s="1814"/>
      <c r="Y18" s="3521"/>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521"/>
      <c r="Q19" s="1811" t="str">
        <f t="shared" ref="Q19:Q33" si="8">B19</f>
        <v>区域土地利用方向</v>
      </c>
      <c r="R19" s="772" t="s">
        <v>17</v>
      </c>
      <c r="S19" s="773">
        <f>F19</f>
        <v>100</v>
      </c>
      <c r="T19" s="772" t="s">
        <v>17</v>
      </c>
      <c r="U19" s="773">
        <f>H19</f>
        <v>100</v>
      </c>
      <c r="V19" s="772" t="s">
        <v>17</v>
      </c>
      <c r="W19" s="773">
        <f>J19</f>
        <v>100</v>
      </c>
      <c r="X19" s="1814"/>
      <c r="Y19" s="3521"/>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521"/>
      <c r="Q20" s="1811"/>
      <c r="R20" s="772"/>
      <c r="S20" s="773"/>
      <c r="T20" s="772"/>
      <c r="U20" s="773"/>
      <c r="V20" s="772"/>
      <c r="W20" s="773"/>
      <c r="X20" s="1814"/>
      <c r="Y20" s="3521"/>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521"/>
      <c r="Q21" s="1811" t="str">
        <f t="shared" si="8"/>
        <v>环境状况</v>
      </c>
      <c r="R21" s="772" t="s">
        <v>17</v>
      </c>
      <c r="S21" s="773">
        <f>F21</f>
        <v>100</v>
      </c>
      <c r="T21" s="772" t="s">
        <v>17</v>
      </c>
      <c r="U21" s="773">
        <f>H21</f>
        <v>100</v>
      </c>
      <c r="V21" s="772" t="s">
        <v>17</v>
      </c>
      <c r="W21" s="773">
        <f>J21</f>
        <v>100</v>
      </c>
      <c r="X21" s="1814"/>
      <c r="Y21" s="3521"/>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521"/>
      <c r="Q22" s="1811"/>
      <c r="R22" s="772"/>
      <c r="S22" s="773"/>
      <c r="T22" s="772"/>
      <c r="U22" s="773"/>
      <c r="V22" s="772"/>
      <c r="W22" s="773"/>
      <c r="X22" s="1814"/>
      <c r="Y22" s="3521"/>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521"/>
      <c r="Q23" s="1796" t="str">
        <f t="shared" si="8"/>
        <v>公共配套设施</v>
      </c>
      <c r="R23" s="768" t="s">
        <v>17</v>
      </c>
      <c r="S23" s="769">
        <f>F23</f>
        <v>100</v>
      </c>
      <c r="T23" s="768" t="s">
        <v>17</v>
      </c>
      <c r="U23" s="769">
        <f>H23</f>
        <v>100</v>
      </c>
      <c r="V23" s="768" t="s">
        <v>17</v>
      </c>
      <c r="W23" s="769">
        <f>J23</f>
        <v>100</v>
      </c>
      <c r="X23" s="770"/>
      <c r="Y23" s="3521"/>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521"/>
      <c r="Q24" s="1796"/>
      <c r="R24" s="768"/>
      <c r="S24" s="769"/>
      <c r="T24" s="768"/>
      <c r="U24" s="769"/>
      <c r="V24" s="768"/>
      <c r="W24" s="769"/>
      <c r="X24" s="770"/>
      <c r="Y24" s="3521"/>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521"/>
      <c r="Q25" s="1796" t="str">
        <f t="shared" ref="Q25" si="9">B25</f>
        <v>基础设施水平</v>
      </c>
      <c r="R25" s="768" t="s">
        <v>17</v>
      </c>
      <c r="S25" s="769">
        <f>F25</f>
        <v>100</v>
      </c>
      <c r="T25" s="768" t="s">
        <v>17</v>
      </c>
      <c r="U25" s="769">
        <f>H25</f>
        <v>100</v>
      </c>
      <c r="V25" s="768" t="s">
        <v>17</v>
      </c>
      <c r="W25" s="769">
        <f>J25</f>
        <v>100</v>
      </c>
      <c r="X25" s="770"/>
      <c r="Y25" s="3521"/>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521"/>
      <c r="Q26" s="1796"/>
      <c r="R26" s="768"/>
      <c r="S26" s="769"/>
      <c r="T26" s="768"/>
      <c r="U26" s="769"/>
      <c r="V26" s="768"/>
      <c r="W26" s="769"/>
      <c r="X26" s="770"/>
      <c r="Y26" s="3521"/>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521"/>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521"/>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521"/>
      <c r="Q28" s="1811" t="str">
        <f t="shared" si="8"/>
        <v>毗邻道路的类型与等级</v>
      </c>
      <c r="R28" s="772" t="s">
        <v>17</v>
      </c>
      <c r="S28" s="773">
        <f t="shared" si="10"/>
        <v>100</v>
      </c>
      <c r="T28" s="772" t="s">
        <v>17</v>
      </c>
      <c r="U28" s="773">
        <f t="shared" si="11"/>
        <v>100</v>
      </c>
      <c r="V28" s="772" t="s">
        <v>17</v>
      </c>
      <c r="W28" s="773">
        <f t="shared" si="12"/>
        <v>100</v>
      </c>
      <c r="X28" s="1814"/>
      <c r="Y28" s="3521"/>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521"/>
      <c r="Q29" s="1811"/>
      <c r="R29" s="772"/>
      <c r="S29" s="773"/>
      <c r="T29" s="772"/>
      <c r="U29" s="773"/>
      <c r="V29" s="772"/>
      <c r="W29" s="773"/>
      <c r="X29" s="1814"/>
      <c r="Y29" s="3521"/>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521"/>
      <c r="Q30" s="1811" t="str">
        <f t="shared" si="8"/>
        <v>土地级别</v>
      </c>
      <c r="R30" s="772" t="s">
        <v>17</v>
      </c>
      <c r="S30" s="773">
        <f t="shared" si="10"/>
        <v>100</v>
      </c>
      <c r="T30" s="772" t="s">
        <v>17</v>
      </c>
      <c r="U30" s="773">
        <f t="shared" si="11"/>
        <v>100</v>
      </c>
      <c r="V30" s="772" t="s">
        <v>17</v>
      </c>
      <c r="W30" s="773">
        <f t="shared" si="12"/>
        <v>100</v>
      </c>
      <c r="X30" s="1814"/>
      <c r="Y30" s="3521"/>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521"/>
      <c r="Q31" s="1811">
        <f t="shared" si="8"/>
        <v>111</v>
      </c>
      <c r="R31" s="772" t="s">
        <v>17</v>
      </c>
      <c r="S31" s="773">
        <f t="shared" si="10"/>
        <v>100</v>
      </c>
      <c r="T31" s="772" t="s">
        <v>17</v>
      </c>
      <c r="U31" s="773">
        <f t="shared" si="11"/>
        <v>100</v>
      </c>
      <c r="V31" s="772" t="s">
        <v>17</v>
      </c>
      <c r="W31" s="773">
        <f t="shared" si="12"/>
        <v>100</v>
      </c>
      <c r="X31" s="1814"/>
      <c r="Y31" s="3521"/>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577" t="s">
        <v>2550</v>
      </c>
      <c r="Q32" s="1811">
        <f t="shared" si="8"/>
        <v>111</v>
      </c>
      <c r="R32" s="772" t="s">
        <v>17</v>
      </c>
      <c r="S32" s="773">
        <f t="shared" si="10"/>
        <v>100</v>
      </c>
      <c r="T32" s="772" t="s">
        <v>17</v>
      </c>
      <c r="U32" s="773">
        <f t="shared" si="11"/>
        <v>100</v>
      </c>
      <c r="V32" s="772" t="s">
        <v>17</v>
      </c>
      <c r="W32" s="773">
        <f t="shared" si="12"/>
        <v>100</v>
      </c>
      <c r="X32" s="1814"/>
      <c r="Y32" s="3525"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525"/>
      <c r="Q33" s="1811">
        <f t="shared" si="8"/>
        <v>111</v>
      </c>
      <c r="R33" s="775" t="s">
        <v>17</v>
      </c>
      <c r="S33" s="776">
        <f t="shared" si="10"/>
        <v>100</v>
      </c>
      <c r="T33" s="775" t="s">
        <v>17</v>
      </c>
      <c r="U33" s="776">
        <f t="shared" si="11"/>
        <v>100</v>
      </c>
      <c r="V33" s="775" t="s">
        <v>17</v>
      </c>
      <c r="W33" s="776">
        <f t="shared" si="12"/>
        <v>100</v>
      </c>
      <c r="X33" s="777"/>
      <c r="Y33" s="3525"/>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525"/>
      <c r="Q34" s="1811" t="str">
        <f>B34</f>
        <v>宗地面积</v>
      </c>
      <c r="R34" s="772" t="s">
        <v>17</v>
      </c>
      <c r="S34" s="773" t="e">
        <f t="shared" si="10"/>
        <v>#N/A</v>
      </c>
      <c r="T34" s="772" t="s">
        <v>17</v>
      </c>
      <c r="U34" s="773" t="e">
        <f t="shared" si="11"/>
        <v>#N/A</v>
      </c>
      <c r="V34" s="772" t="s">
        <v>17</v>
      </c>
      <c r="W34" s="773" t="e">
        <f t="shared" si="12"/>
        <v>#N/A</v>
      </c>
      <c r="X34" s="1814"/>
      <c r="Y34" s="3525"/>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525"/>
      <c r="Q35" s="1811" t="str">
        <f t="shared" ref="Q35:Q40" si="14">B35</f>
        <v>宗地形状</v>
      </c>
      <c r="R35" s="772" t="s">
        <v>17</v>
      </c>
      <c r="S35" s="773">
        <f t="shared" si="10"/>
        <v>100</v>
      </c>
      <c r="T35" s="772" t="s">
        <v>17</v>
      </c>
      <c r="U35" s="773">
        <f t="shared" si="11"/>
        <v>100</v>
      </c>
      <c r="V35" s="772" t="s">
        <v>17</v>
      </c>
      <c r="W35" s="773">
        <f t="shared" si="12"/>
        <v>100</v>
      </c>
      <c r="X35" s="1814"/>
      <c r="Y35" s="3525"/>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525"/>
      <c r="Q36" s="1811" t="str">
        <f t="shared" si="14"/>
        <v>宗地开发程度</v>
      </c>
      <c r="R36" s="768" t="s">
        <v>17</v>
      </c>
      <c r="S36" s="769">
        <f t="shared" si="10"/>
        <v>100</v>
      </c>
      <c r="T36" s="768" t="s">
        <v>17</v>
      </c>
      <c r="U36" s="769">
        <f t="shared" si="11"/>
        <v>100</v>
      </c>
      <c r="V36" s="768" t="s">
        <v>17</v>
      </c>
      <c r="W36" s="769">
        <f t="shared" si="12"/>
        <v>100</v>
      </c>
      <c r="X36" s="770"/>
      <c r="Y36" s="3525"/>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525" t="s">
        <v>2550</v>
      </c>
      <c r="Q37" s="1811" t="str">
        <f t="shared" si="14"/>
        <v>工程地质条件</v>
      </c>
      <c r="R37" s="772" t="s">
        <v>17</v>
      </c>
      <c r="S37" s="773">
        <f t="shared" si="10"/>
        <v>100</v>
      </c>
      <c r="T37" s="772" t="s">
        <v>17</v>
      </c>
      <c r="U37" s="773">
        <f t="shared" si="11"/>
        <v>100</v>
      </c>
      <c r="V37" s="772" t="s">
        <v>17</v>
      </c>
      <c r="W37" s="773">
        <f t="shared" si="12"/>
        <v>100</v>
      </c>
      <c r="X37" s="1814"/>
      <c r="Y37" s="3525"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525"/>
      <c r="Q38" s="1811">
        <f t="shared" si="14"/>
        <v>111</v>
      </c>
      <c r="R38" s="772" t="s">
        <v>17</v>
      </c>
      <c r="S38" s="773">
        <f t="shared" si="10"/>
        <v>100</v>
      </c>
      <c r="T38" s="772" t="s">
        <v>17</v>
      </c>
      <c r="U38" s="773">
        <f t="shared" si="11"/>
        <v>100</v>
      </c>
      <c r="V38" s="772" t="s">
        <v>17</v>
      </c>
      <c r="W38" s="773">
        <f t="shared" si="12"/>
        <v>100</v>
      </c>
      <c r="X38" s="1814"/>
      <c r="Y38" s="3525"/>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525"/>
      <c r="Q39" s="1811">
        <f t="shared" si="14"/>
        <v>111</v>
      </c>
      <c r="R39" s="772" t="s">
        <v>17</v>
      </c>
      <c r="S39" s="773">
        <f t="shared" si="10"/>
        <v>100</v>
      </c>
      <c r="T39" s="772" t="s">
        <v>17</v>
      </c>
      <c r="U39" s="773">
        <f t="shared" si="11"/>
        <v>100</v>
      </c>
      <c r="V39" s="772" t="s">
        <v>17</v>
      </c>
      <c r="W39" s="773">
        <f t="shared" si="12"/>
        <v>100</v>
      </c>
      <c r="X39" s="1814"/>
      <c r="Y39" s="3525"/>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525"/>
      <c r="Q40" s="1811">
        <f t="shared" si="14"/>
        <v>111</v>
      </c>
      <c r="R40" s="775" t="s">
        <v>17</v>
      </c>
      <c r="S40" s="776">
        <f t="shared" si="10"/>
        <v>100</v>
      </c>
      <c r="T40" s="775" t="s">
        <v>17</v>
      </c>
      <c r="U40" s="776">
        <f t="shared" si="11"/>
        <v>100</v>
      </c>
      <c r="V40" s="775" t="s">
        <v>17</v>
      </c>
      <c r="W40" s="776">
        <f t="shared" si="12"/>
        <v>100</v>
      </c>
      <c r="X40" s="777"/>
      <c r="Y40" s="3525"/>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518" t="str">
        <f>A41</f>
        <v>成交单价</v>
      </c>
      <c r="Q41" s="3518"/>
      <c r="R41" s="3513">
        <f>E41</f>
        <v>0</v>
      </c>
      <c r="S41" s="3513"/>
      <c r="T41" s="3513">
        <f>G41</f>
        <v>0</v>
      </c>
      <c r="U41" s="3513"/>
      <c r="V41" s="3513">
        <f>I41</f>
        <v>0</v>
      </c>
      <c r="W41" s="3513"/>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518" t="str">
        <f>A42</f>
        <v>比较价值（元/平方米）</v>
      </c>
      <c r="Q42" s="3518"/>
      <c r="R42" s="3578" t="e">
        <f>ROUND(PRODUCT(R41,AA7:AA40),0)</f>
        <v>#DIV/0!</v>
      </c>
      <c r="S42" s="3578"/>
      <c r="T42" s="3578" t="e">
        <f>ROUND(PRODUCT(T41,AB7:AB40),0)</f>
        <v>#DIV/0!</v>
      </c>
      <c r="U42" s="3578"/>
      <c r="V42" s="3578" t="e">
        <f>ROUND(PRODUCT(V41,AC7:AC40),0)</f>
        <v>#DIV/0!</v>
      </c>
      <c r="W42" s="3578"/>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515" t="str">
        <f>A43</f>
        <v>估价对象XX用房的比较价值（楼面单价，元/平方米）</v>
      </c>
      <c r="Q43" s="3516"/>
      <c r="R43" s="3579" t="e">
        <f>ROUND(AVERAGE(R42:V42),0)</f>
        <v>#DIV/0!</v>
      </c>
      <c r="S43" s="3579"/>
      <c r="T43" s="3579"/>
      <c r="U43" s="3579"/>
      <c r="V43" s="3579"/>
      <c r="W43" s="3579"/>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501" t="s">
        <v>2748</v>
      </c>
      <c r="H50" s="3580"/>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0</v>
      </c>
      <c r="F51" s="689" t="e">
        <f t="shared" ref="F51:F60" si="15">ROUND(B51*E51/10000,0)</f>
        <v>#DIV/0!</v>
      </c>
      <c r="G51" s="3500"/>
      <c r="H51" s="3518"/>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581"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581"/>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581"/>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581"/>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6298.25</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0</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600"/>
      <c r="B4" s="3601"/>
      <c r="C4" s="3601"/>
      <c r="D4" s="3602"/>
      <c r="E4" s="3602"/>
      <c r="F4" s="3602"/>
      <c r="G4" s="3602"/>
      <c r="H4" s="3602"/>
      <c r="I4" s="3602"/>
      <c r="J4" s="3603"/>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586"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2819</v>
      </c>
      <c r="X7" s="1605">
        <f>G2</f>
        <v>0</v>
      </c>
      <c r="Y7" s="1605" t="s">
        <v>2820</v>
      </c>
      <c r="Z7" s="1606">
        <f>G3</f>
        <v>0</v>
      </c>
      <c r="AA7" s="1607"/>
      <c r="AB7" s="1607"/>
      <c r="AC7" s="1608"/>
      <c r="AD7" s="1609"/>
      <c r="AE7" s="1609"/>
      <c r="AF7" s="1609"/>
      <c r="AG7" s="1609"/>
      <c r="AH7" s="1609"/>
      <c r="AI7" s="1609"/>
      <c r="AJ7" s="1610"/>
    </row>
    <row r="8" spans="1:36" ht="15">
      <c r="A8" s="3587"/>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597" t="s">
        <v>2824</v>
      </c>
      <c r="X8" s="3598"/>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587"/>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599"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587"/>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59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587"/>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599" t="s">
        <v>2848</v>
      </c>
      <c r="X11" s="1615" t="s">
        <v>2849</v>
      </c>
      <c r="Y11" s="1616">
        <f>$G$3</f>
        <v>0</v>
      </c>
      <c r="Z11" s="1616">
        <f t="shared" ref="Z11:AJ11" si="3">$G$3</f>
        <v>0</v>
      </c>
      <c r="AA11" s="1616">
        <f t="shared" si="3"/>
        <v>0</v>
      </c>
      <c r="AB11" s="1616">
        <f t="shared" si="3"/>
        <v>0</v>
      </c>
      <c r="AC11" s="1616">
        <f t="shared" si="3"/>
        <v>0</v>
      </c>
      <c r="AD11" s="1616">
        <f t="shared" si="3"/>
        <v>0</v>
      </c>
      <c r="AE11" s="1616">
        <f t="shared" si="3"/>
        <v>0</v>
      </c>
      <c r="AF11" s="1616">
        <f t="shared" si="3"/>
        <v>0</v>
      </c>
      <c r="AG11" s="1616">
        <f t="shared" si="3"/>
        <v>0</v>
      </c>
      <c r="AH11" s="1616">
        <f t="shared" si="3"/>
        <v>0</v>
      </c>
      <c r="AI11" s="1616">
        <f t="shared" si="3"/>
        <v>0</v>
      </c>
      <c r="AJ11" s="1616">
        <f t="shared" si="3"/>
        <v>0</v>
      </c>
    </row>
    <row r="12" spans="1:36" ht="25.5" thickBot="1">
      <c r="A12" s="3586"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599"/>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604"/>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599"/>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604"/>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605"/>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586"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587"/>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t="e">
        <f>IF(B21="容积率修正",IF(G3&lt;=10,D22,J22),C23)</f>
        <v>#DIV/0!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t="b">
        <f>IF(E22=G22,F22,IF(G3&lt;=10,ROUND(F22+(H22-F22)*(G3-E22)/(G22-E22),4),"——"))</f>
        <v>0</v>
      </c>
      <c r="E22" s="914">
        <f>ROUNDDOWN(G3,1)</f>
        <v>0</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t="e">
        <f>ROUND(IF(G3&gt;1,IF(I3&lt;7,SUMPRODUCT((B93:B98=I3)*(C92:N92=G2)*(C93:N98)),SUMIF(C92:N92,G2,C100:N100)),IF(I3&lt;7,SUMPRODUCT((B102:B107=I3)*(C92:N92=G2)*(C102:N107)),SUMIF(C92:N92,G2,C109:N109))),4)</f>
        <v>#DIV/0!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594"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95"/>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95"/>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596"/>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76.5">
      <c r="A48" s="2876" t="s">
        <v>2936</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2937</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02">
      <c r="A54" s="2883" t="s">
        <v>2944</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4" t="s">
        <v>2946</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2937</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02">
      <c r="A65" s="2876" t="s">
        <v>2944</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4" t="s">
        <v>2946</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76" t="s">
        <v>2951</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2937</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02">
      <c r="A74" s="2876" t="s">
        <v>2944</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102">
      <c r="A77" s="2876" t="s">
        <v>2946</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588" t="s">
        <v>2958</v>
      </c>
      <c r="B90" s="3588"/>
      <c r="C90" s="3588"/>
      <c r="D90" s="3588"/>
      <c r="E90" s="3588"/>
      <c r="F90" s="3588"/>
      <c r="G90" s="3588"/>
      <c r="H90" s="3588"/>
      <c r="I90" s="3588"/>
      <c r="J90" s="3588"/>
      <c r="K90" s="2890"/>
      <c r="L90" s="2890"/>
      <c r="M90" s="2890"/>
      <c r="N90" s="2890"/>
    </row>
    <row r="91" spans="1:37">
      <c r="A91" s="3590" t="s">
        <v>2959</v>
      </c>
      <c r="B91" s="3590" t="s">
        <v>2960</v>
      </c>
      <c r="C91" s="2844" t="s">
        <v>2961</v>
      </c>
      <c r="D91" s="2845"/>
      <c r="E91" s="2845"/>
      <c r="F91" s="2845"/>
      <c r="G91" s="2845"/>
      <c r="H91" s="2845"/>
      <c r="I91" s="2845"/>
      <c r="J91" s="2891"/>
      <c r="K91" s="2892"/>
      <c r="L91" s="2892"/>
      <c r="M91" s="2892"/>
      <c r="N91" s="2892"/>
    </row>
    <row r="92" spans="1:37">
      <c r="A92" s="3590"/>
      <c r="B92" s="3590"/>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591"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59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59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59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59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59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592"/>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59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591" t="s">
        <v>2963</v>
      </c>
      <c r="B101" s="2897" t="s">
        <v>2964</v>
      </c>
      <c r="C101" s="2898">
        <f>$G$3</f>
        <v>0</v>
      </c>
      <c r="D101" s="2898">
        <f t="shared" ref="D101:N101" si="31">$G$3</f>
        <v>0</v>
      </c>
      <c r="E101" s="2898">
        <f t="shared" si="31"/>
        <v>0</v>
      </c>
      <c r="F101" s="2898">
        <f t="shared" si="31"/>
        <v>0</v>
      </c>
      <c r="G101" s="2898">
        <f t="shared" si="31"/>
        <v>0</v>
      </c>
      <c r="H101" s="2898">
        <f t="shared" si="31"/>
        <v>0</v>
      </c>
      <c r="I101" s="2898">
        <f t="shared" si="31"/>
        <v>0</v>
      </c>
      <c r="J101" s="2898">
        <f t="shared" si="31"/>
        <v>0</v>
      </c>
      <c r="K101" s="2898">
        <f t="shared" si="31"/>
        <v>0</v>
      </c>
      <c r="L101" s="2898">
        <f t="shared" si="31"/>
        <v>0</v>
      </c>
      <c r="M101" s="2898">
        <f t="shared" si="31"/>
        <v>0</v>
      </c>
      <c r="N101" s="2898">
        <f t="shared" si="31"/>
        <v>0</v>
      </c>
    </row>
    <row r="102" spans="1:14">
      <c r="A102" s="3592"/>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592"/>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592"/>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592"/>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592"/>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592"/>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592"/>
      <c r="B108" s="3414"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593"/>
      <c r="B109" s="3415"/>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589" t="s">
        <v>2966</v>
      </c>
      <c r="B110" s="3589"/>
      <c r="C110" s="3589"/>
      <c r="D110" s="3589"/>
      <c r="E110" s="3589"/>
      <c r="F110" s="3589"/>
      <c r="G110" s="3589"/>
      <c r="H110" s="3589"/>
      <c r="I110" s="3589"/>
      <c r="J110" s="3589"/>
      <c r="K110" s="2899"/>
      <c r="L110" s="2899"/>
      <c r="M110" s="2899"/>
      <c r="N110" s="2899"/>
    </row>
    <row r="112" spans="1:14" ht="13.5" thickBot="1"/>
    <row r="113" spans="1:13" ht="25.5" thickBot="1">
      <c r="A113" s="901" t="s">
        <v>2967</v>
      </c>
      <c r="B113" s="1287">
        <f>G3</f>
        <v>0</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0.9335</v>
      </c>
      <c r="C115" s="908">
        <f>B115</f>
        <v>0.9335</v>
      </c>
      <c r="D115" s="908">
        <f>ROUND(0.8331-0.0109*B113,4)</f>
        <v>0.83309999999999995</v>
      </c>
      <c r="E115" s="908">
        <f>D115</f>
        <v>0.83309999999999995</v>
      </c>
      <c r="F115" s="908">
        <f>E115</f>
        <v>0.83309999999999995</v>
      </c>
      <c r="G115" s="908">
        <f>F115</f>
        <v>0.83309999999999995</v>
      </c>
      <c r="H115" s="908">
        <f>G115</f>
        <v>0.83309999999999995</v>
      </c>
      <c r="I115" s="908">
        <f>ROUND(0.689-0.0155*B113,4)</f>
        <v>0.68899999999999995</v>
      </c>
      <c r="J115" s="908">
        <f t="shared" ref="J115:M118" si="33">I115</f>
        <v>0.68899999999999995</v>
      </c>
      <c r="K115" s="908">
        <f t="shared" si="33"/>
        <v>0.68899999999999995</v>
      </c>
      <c r="L115" s="908">
        <f t="shared" si="33"/>
        <v>0.68899999999999995</v>
      </c>
      <c r="M115" s="909">
        <f t="shared" si="33"/>
        <v>0.68899999999999995</v>
      </c>
    </row>
    <row r="116" spans="1:13">
      <c r="A116" s="907" t="s">
        <v>2864</v>
      </c>
      <c r="B116" s="908">
        <f>ROUND(0.949-0.012*B113,4)</f>
        <v>0.94899999999999995</v>
      </c>
      <c r="C116" s="908">
        <f>B116</f>
        <v>0.94899999999999995</v>
      </c>
      <c r="D116" s="908">
        <f>ROUND(0.8567-0.013*B113,4)</f>
        <v>0.85670000000000002</v>
      </c>
      <c r="E116" s="908">
        <f t="shared" ref="E116:H117" si="34">D116</f>
        <v>0.85670000000000002</v>
      </c>
      <c r="F116" s="908">
        <f t="shared" si="34"/>
        <v>0.85670000000000002</v>
      </c>
      <c r="G116" s="908">
        <f t="shared" si="34"/>
        <v>0.85670000000000002</v>
      </c>
      <c r="H116" s="908">
        <f t="shared" si="34"/>
        <v>0.85670000000000002</v>
      </c>
      <c r="I116" s="908">
        <f>ROUND(0.7694-0.014*B113,4)</f>
        <v>0.76939999999999997</v>
      </c>
      <c r="J116" s="908">
        <f t="shared" si="33"/>
        <v>0.76939999999999997</v>
      </c>
      <c r="K116" s="908">
        <f t="shared" si="33"/>
        <v>0.76939999999999997</v>
      </c>
      <c r="L116" s="908">
        <f t="shared" si="33"/>
        <v>0.76939999999999997</v>
      </c>
      <c r="M116" s="909">
        <f t="shared" si="33"/>
        <v>0.76939999999999997</v>
      </c>
    </row>
    <row r="117" spans="1:13">
      <c r="A117" s="907" t="s">
        <v>2865</v>
      </c>
      <c r="B117" s="908">
        <f>ROUND(0.8808-0.006*B113,4)</f>
        <v>0.88080000000000003</v>
      </c>
      <c r="C117" s="908">
        <f>B117</f>
        <v>0.88080000000000003</v>
      </c>
      <c r="D117" s="908">
        <f>ROUND(0.8748-0.008*B113,4)</f>
        <v>0.87480000000000002</v>
      </c>
      <c r="E117" s="908">
        <f t="shared" si="34"/>
        <v>0.87480000000000002</v>
      </c>
      <c r="F117" s="908">
        <f t="shared" si="34"/>
        <v>0.87480000000000002</v>
      </c>
      <c r="G117" s="908">
        <f t="shared" si="34"/>
        <v>0.87480000000000002</v>
      </c>
      <c r="H117" s="908">
        <f t="shared" si="34"/>
        <v>0.87480000000000002</v>
      </c>
      <c r="I117" s="908">
        <f>ROUND(0.7412-0.0095*B113,4)</f>
        <v>0.74119999999999997</v>
      </c>
      <c r="J117" s="908">
        <f t="shared" si="33"/>
        <v>0.74119999999999997</v>
      </c>
      <c r="K117" s="908">
        <f t="shared" si="33"/>
        <v>0.74119999999999997</v>
      </c>
      <c r="L117" s="908">
        <f t="shared" si="33"/>
        <v>0.74119999999999997</v>
      </c>
      <c r="M117" s="909">
        <f t="shared" si="33"/>
        <v>0.74119999999999997</v>
      </c>
    </row>
    <row r="118" spans="1:13" ht="13.5" thickBot="1">
      <c r="A118" s="712" t="s">
        <v>2866</v>
      </c>
      <c r="B118" s="910">
        <f>ROUND(0.7275-0.01*B113,4)</f>
        <v>0.72750000000000004</v>
      </c>
      <c r="C118" s="910">
        <f>B118</f>
        <v>0.72750000000000004</v>
      </c>
      <c r="D118" s="910">
        <f>ROUND(0.7043-0.012*B113,4)</f>
        <v>0.70430000000000004</v>
      </c>
      <c r="E118" s="910">
        <f>D118</f>
        <v>0.70430000000000004</v>
      </c>
      <c r="F118" s="910">
        <f>E118</f>
        <v>0.70430000000000004</v>
      </c>
      <c r="G118" s="910">
        <f>ROUND(0.6299-0.0122*B113,4)</f>
        <v>0.62990000000000002</v>
      </c>
      <c r="H118" s="910">
        <f>G118</f>
        <v>0.62990000000000002</v>
      </c>
      <c r="I118" s="910">
        <f>ROUND(0.5667-0.0136*B113,4)</f>
        <v>0.56669999999999998</v>
      </c>
      <c r="J118" s="910">
        <f t="shared" si="33"/>
        <v>0.56669999999999998</v>
      </c>
      <c r="K118" s="910">
        <f t="shared" si="33"/>
        <v>0.56669999999999998</v>
      </c>
      <c r="L118" s="910">
        <f t="shared" si="33"/>
        <v>0.56669999999999998</v>
      </c>
      <c r="M118" s="91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606" t="s">
        <v>183</v>
      </c>
      <c r="B18" s="880" t="s">
        <v>560</v>
      </c>
      <c r="C18" s="881" t="s">
        <v>561</v>
      </c>
      <c r="D18" s="882"/>
      <c r="E18" s="880">
        <v>1</v>
      </c>
      <c r="F18" s="883" t="s">
        <v>562</v>
      </c>
      <c r="G18" s="884"/>
      <c r="H18" s="876"/>
      <c r="I18" s="876"/>
    </row>
    <row r="19" spans="1:9" s="885" customFormat="1" ht="19.5" customHeight="1">
      <c r="A19" s="3606"/>
      <c r="B19" s="3606" t="s">
        <v>563</v>
      </c>
      <c r="C19" s="881" t="s">
        <v>564</v>
      </c>
      <c r="D19" s="882"/>
      <c r="E19" s="880">
        <v>0.9</v>
      </c>
      <c r="F19" s="883" t="s">
        <v>565</v>
      </c>
      <c r="G19" s="884"/>
      <c r="H19" s="876"/>
      <c r="I19" s="876"/>
    </row>
    <row r="20" spans="1:9" s="885" customFormat="1" ht="19.5" customHeight="1">
      <c r="A20" s="3606"/>
      <c r="B20" s="3606"/>
      <c r="C20" s="881" t="s">
        <v>566</v>
      </c>
      <c r="D20" s="882"/>
      <c r="E20" s="880">
        <v>1.1000000000000001</v>
      </c>
      <c r="F20" s="883" t="s">
        <v>567</v>
      </c>
      <c r="G20" s="884"/>
      <c r="H20" s="876"/>
      <c r="I20" s="876"/>
    </row>
    <row r="21" spans="1:9" s="885" customFormat="1" ht="19.5" customHeight="1">
      <c r="A21" s="3606"/>
      <c r="B21" s="3606"/>
      <c r="C21" s="881" t="s">
        <v>568</v>
      </c>
      <c r="D21" s="882"/>
      <c r="E21" s="880">
        <v>0.8</v>
      </c>
      <c r="F21" s="883" t="s">
        <v>569</v>
      </c>
      <c r="G21" s="884"/>
      <c r="H21" s="876"/>
      <c r="I21" s="876"/>
    </row>
    <row r="22" spans="1:9" s="885" customFormat="1" ht="19.5" customHeight="1">
      <c r="A22" s="3606"/>
      <c r="B22" s="3606"/>
      <c r="C22" s="881" t="s">
        <v>570</v>
      </c>
      <c r="D22" s="882"/>
      <c r="E22" s="880">
        <v>0.5</v>
      </c>
      <c r="F22" s="883"/>
      <c r="G22" s="884"/>
      <c r="H22" s="876"/>
      <c r="I22" s="876"/>
    </row>
    <row r="23" spans="1:9" s="885" customFormat="1" ht="19.5" customHeight="1">
      <c r="A23" s="3606" t="s">
        <v>184</v>
      </c>
      <c r="B23" s="880" t="s">
        <v>560</v>
      </c>
      <c r="C23" s="881" t="s">
        <v>571</v>
      </c>
      <c r="D23" s="882"/>
      <c r="E23" s="880">
        <v>1</v>
      </c>
      <c r="F23" s="883" t="s">
        <v>572</v>
      </c>
      <c r="G23" s="884"/>
      <c r="H23" s="876"/>
      <c r="I23" s="876"/>
    </row>
    <row r="24" spans="1:9" s="885" customFormat="1" ht="19.5" customHeight="1">
      <c r="A24" s="3606"/>
      <c r="B24" s="3606" t="s">
        <v>563</v>
      </c>
      <c r="C24" s="881" t="s">
        <v>573</v>
      </c>
      <c r="D24" s="882"/>
      <c r="E24" s="880">
        <v>0.5</v>
      </c>
      <c r="F24" s="883"/>
      <c r="G24" s="884"/>
      <c r="H24" s="876"/>
      <c r="I24" s="876"/>
    </row>
    <row r="25" spans="1:9" s="885" customFormat="1" ht="19.5" customHeight="1">
      <c r="A25" s="3606"/>
      <c r="B25" s="3606"/>
      <c r="C25" s="881" t="s">
        <v>574</v>
      </c>
      <c r="D25" s="882"/>
      <c r="E25" s="880">
        <v>1.1000000000000001</v>
      </c>
      <c r="F25" s="883"/>
      <c r="G25" s="884"/>
      <c r="H25" s="876"/>
      <c r="I25" s="876"/>
    </row>
    <row r="26" spans="1:9" s="885" customFormat="1" ht="19.5" customHeight="1">
      <c r="A26" s="3606"/>
      <c r="B26" s="3606"/>
      <c r="C26" s="881" t="s">
        <v>575</v>
      </c>
      <c r="D26" s="882"/>
      <c r="E26" s="880">
        <v>1.1000000000000001</v>
      </c>
      <c r="F26" s="883"/>
      <c r="G26" s="884"/>
      <c r="H26" s="876"/>
      <c r="I26" s="876"/>
    </row>
    <row r="27" spans="1:9" s="885" customFormat="1" ht="19.5" customHeight="1">
      <c r="A27" s="3606"/>
      <c r="B27" s="3606"/>
      <c r="C27" s="881" t="s">
        <v>576</v>
      </c>
      <c r="D27" s="882"/>
      <c r="E27" s="880">
        <v>0.9</v>
      </c>
      <c r="F27" s="883" t="s">
        <v>577</v>
      </c>
      <c r="G27" s="884"/>
      <c r="H27" s="876"/>
      <c r="I27" s="876"/>
    </row>
    <row r="28" spans="1:9" s="885" customFormat="1" ht="19.5" customHeight="1">
      <c r="A28" s="3606"/>
      <c r="B28" s="3606"/>
      <c r="C28" s="881" t="s">
        <v>578</v>
      </c>
      <c r="D28" s="882"/>
      <c r="E28" s="880">
        <v>0.9</v>
      </c>
      <c r="F28" s="883" t="s">
        <v>579</v>
      </c>
      <c r="G28" s="884"/>
      <c r="H28" s="876"/>
      <c r="I28" s="876"/>
    </row>
    <row r="29" spans="1:9" s="885" customFormat="1" ht="19.5" customHeight="1">
      <c r="A29" s="3606"/>
      <c r="B29" s="3606"/>
      <c r="C29" s="881" t="s">
        <v>580</v>
      </c>
      <c r="D29" s="882"/>
      <c r="E29" s="880">
        <v>0.9</v>
      </c>
      <c r="F29" s="883" t="s">
        <v>581</v>
      </c>
      <c r="G29" s="884"/>
      <c r="H29" s="876"/>
      <c r="I29" s="876"/>
    </row>
    <row r="30" spans="1:9" s="885" customFormat="1" ht="19.5" customHeight="1">
      <c r="A30" s="3606"/>
      <c r="B30" s="3606"/>
      <c r="C30" s="881" t="s">
        <v>582</v>
      </c>
      <c r="D30" s="882"/>
      <c r="E30" s="880">
        <v>0.9</v>
      </c>
      <c r="F30" s="883" t="s">
        <v>583</v>
      </c>
      <c r="G30" s="884"/>
      <c r="H30" s="876"/>
      <c r="I30" s="876"/>
    </row>
    <row r="31" spans="1:9" s="885" customFormat="1" ht="19.5" customHeight="1">
      <c r="A31" s="3606"/>
      <c r="B31" s="3606"/>
      <c r="C31" s="881" t="s">
        <v>584</v>
      </c>
      <c r="D31" s="882"/>
      <c r="E31" s="880">
        <v>0.8</v>
      </c>
      <c r="F31" s="883" t="s">
        <v>585</v>
      </c>
      <c r="G31" s="884"/>
      <c r="H31" s="876"/>
      <c r="I31" s="876"/>
    </row>
    <row r="32" spans="1:9" s="885" customFormat="1" ht="19.5" customHeight="1">
      <c r="A32" s="3606"/>
      <c r="B32" s="3606"/>
      <c r="C32" s="881" t="s">
        <v>586</v>
      </c>
      <c r="D32" s="882"/>
      <c r="E32" s="880">
        <v>0.8</v>
      </c>
      <c r="F32" s="883" t="s">
        <v>587</v>
      </c>
      <c r="G32" s="884"/>
      <c r="H32" s="876"/>
      <c r="I32" s="876"/>
    </row>
    <row r="33" spans="1:9" s="885" customFormat="1" ht="19.5" customHeight="1">
      <c r="A33" s="3606" t="s">
        <v>185</v>
      </c>
      <c r="B33" s="880" t="s">
        <v>560</v>
      </c>
      <c r="C33" s="881" t="s">
        <v>588</v>
      </c>
      <c r="D33" s="882"/>
      <c r="E33" s="880">
        <v>1</v>
      </c>
      <c r="F33" s="883" t="s">
        <v>589</v>
      </c>
      <c r="G33" s="884"/>
      <c r="H33" s="876"/>
      <c r="I33" s="876"/>
    </row>
    <row r="34" spans="1:9" s="885" customFormat="1" ht="19.5" customHeight="1">
      <c r="A34" s="3606"/>
      <c r="B34" s="880" t="s">
        <v>563</v>
      </c>
      <c r="C34" s="881" t="s">
        <v>590</v>
      </c>
      <c r="D34" s="882"/>
      <c r="E34" s="880">
        <v>1.5</v>
      </c>
      <c r="F34" s="883" t="s">
        <v>591</v>
      </c>
      <c r="G34" s="884"/>
      <c r="H34" s="876"/>
      <c r="I34" s="876"/>
    </row>
    <row r="35" spans="1:9" s="885" customFormat="1" ht="19.5" customHeight="1">
      <c r="A35" s="3606" t="s">
        <v>186</v>
      </c>
      <c r="B35" s="880" t="s">
        <v>560</v>
      </c>
      <c r="C35" s="881" t="s">
        <v>592</v>
      </c>
      <c r="D35" s="882"/>
      <c r="E35" s="880">
        <v>1</v>
      </c>
      <c r="F35" s="883" t="s">
        <v>593</v>
      </c>
      <c r="G35" s="884"/>
      <c r="H35" s="876"/>
      <c r="I35" s="876"/>
    </row>
    <row r="36" spans="1:9" s="885" customFormat="1" ht="19.5" customHeight="1">
      <c r="A36" s="3606"/>
      <c r="B36" s="3606" t="s">
        <v>563</v>
      </c>
      <c r="C36" s="881" t="s">
        <v>594</v>
      </c>
      <c r="D36" s="882"/>
      <c r="E36" s="880">
        <v>1</v>
      </c>
      <c r="F36" s="883" t="s">
        <v>595</v>
      </c>
      <c r="G36" s="884"/>
      <c r="H36" s="876"/>
      <c r="I36" s="876"/>
    </row>
    <row r="37" spans="1:9" s="885" customFormat="1" ht="19.5" customHeight="1">
      <c r="A37" s="3606"/>
      <c r="B37" s="3606"/>
      <c r="C37" s="881" t="s">
        <v>596</v>
      </c>
      <c r="D37" s="882"/>
      <c r="E37" s="880">
        <v>1.5</v>
      </c>
      <c r="F37" s="883" t="s">
        <v>597</v>
      </c>
      <c r="G37" s="884"/>
      <c r="H37" s="876"/>
      <c r="I37" s="876"/>
    </row>
    <row r="38" spans="1:9" s="885" customFormat="1" ht="19.5" customHeight="1">
      <c r="A38" s="3606"/>
      <c r="B38" s="3606"/>
      <c r="C38" s="881" t="s">
        <v>598</v>
      </c>
      <c r="D38" s="882"/>
      <c r="E38" s="880">
        <v>1</v>
      </c>
      <c r="F38" s="883" t="s">
        <v>599</v>
      </c>
      <c r="G38" s="884"/>
      <c r="H38" s="876"/>
      <c r="I38" s="876"/>
    </row>
    <row r="39" spans="1:9" s="885" customFormat="1" ht="19.5" customHeight="1">
      <c r="A39" s="3606"/>
      <c r="B39" s="360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606" t="s">
        <v>614</v>
      </c>
      <c r="C61" s="816" t="s">
        <v>615</v>
      </c>
      <c r="D61" s="816" t="s">
        <v>616</v>
      </c>
      <c r="E61" s="893">
        <v>0.5</v>
      </c>
      <c r="F61" s="880">
        <v>80</v>
      </c>
    </row>
    <row r="62" spans="1:8" s="876" customFormat="1" ht="24">
      <c r="A62" s="880">
        <v>2</v>
      </c>
      <c r="B62" s="3606"/>
      <c r="C62" s="816" t="s">
        <v>617</v>
      </c>
      <c r="D62" s="816" t="s">
        <v>618</v>
      </c>
      <c r="E62" s="893">
        <v>0.5</v>
      </c>
      <c r="F62" s="880">
        <v>80</v>
      </c>
    </row>
    <row r="63" spans="1:8" s="876" customFormat="1" ht="36">
      <c r="A63" s="880">
        <v>3</v>
      </c>
      <c r="B63" s="3606"/>
      <c r="C63" s="816" t="s">
        <v>619</v>
      </c>
      <c r="D63" s="816" t="s">
        <v>620</v>
      </c>
      <c r="E63" s="893">
        <v>0.5</v>
      </c>
      <c r="F63" s="880">
        <v>80</v>
      </c>
    </row>
    <row r="64" spans="1:8" s="876" customFormat="1" ht="36">
      <c r="A64" s="880">
        <v>4</v>
      </c>
      <c r="B64" s="3606"/>
      <c r="C64" s="816" t="s">
        <v>621</v>
      </c>
      <c r="D64" s="816" t="s">
        <v>622</v>
      </c>
      <c r="E64" s="893">
        <v>0.4</v>
      </c>
      <c r="F64" s="880">
        <v>60</v>
      </c>
    </row>
    <row r="65" spans="1:6" s="876" customFormat="1" ht="36">
      <c r="A65" s="880">
        <v>5</v>
      </c>
      <c r="B65" s="3606"/>
      <c r="C65" s="816" t="s">
        <v>623</v>
      </c>
      <c r="D65" s="816" t="s">
        <v>624</v>
      </c>
      <c r="E65" s="893">
        <v>0.2</v>
      </c>
      <c r="F65" s="880">
        <v>30</v>
      </c>
    </row>
    <row r="66" spans="1:6" s="876" customFormat="1" ht="36">
      <c r="A66" s="880">
        <v>6</v>
      </c>
      <c r="B66" s="3606"/>
      <c r="C66" s="816" t="s">
        <v>625</v>
      </c>
      <c r="D66" s="816" t="s">
        <v>626</v>
      </c>
      <c r="E66" s="893">
        <v>0.3</v>
      </c>
      <c r="F66" s="880">
        <v>50</v>
      </c>
    </row>
    <row r="67" spans="1:6" s="876" customFormat="1" ht="36">
      <c r="A67" s="880">
        <v>7</v>
      </c>
      <c r="B67" s="3606"/>
      <c r="C67" s="816" t="s">
        <v>627</v>
      </c>
      <c r="D67" s="816" t="s">
        <v>628</v>
      </c>
      <c r="E67" s="893">
        <v>0.2</v>
      </c>
      <c r="F67" s="880">
        <v>30</v>
      </c>
    </row>
    <row r="68" spans="1:6" s="876" customFormat="1" ht="36">
      <c r="A68" s="880">
        <v>8</v>
      </c>
      <c r="B68" s="3606"/>
      <c r="C68" s="816" t="s">
        <v>629</v>
      </c>
      <c r="D68" s="816" t="s">
        <v>630</v>
      </c>
      <c r="E68" s="893">
        <v>0.2</v>
      </c>
      <c r="F68" s="880">
        <v>30</v>
      </c>
    </row>
    <row r="69" spans="1:6" s="876" customFormat="1" ht="36">
      <c r="A69" s="880">
        <v>9</v>
      </c>
      <c r="B69" s="3606"/>
      <c r="C69" s="816" t="s">
        <v>631</v>
      </c>
      <c r="D69" s="816" t="s">
        <v>632</v>
      </c>
      <c r="E69" s="893">
        <v>0.2</v>
      </c>
      <c r="F69" s="880">
        <v>30</v>
      </c>
    </row>
    <row r="70" spans="1:6" s="876" customFormat="1" ht="48">
      <c r="A70" s="880">
        <v>10</v>
      </c>
      <c r="B70" s="3606"/>
      <c r="C70" s="816" t="s">
        <v>633</v>
      </c>
      <c r="D70" s="816" t="s">
        <v>634</v>
      </c>
      <c r="E70" s="893">
        <v>0.2</v>
      </c>
      <c r="F70" s="880">
        <v>30</v>
      </c>
    </row>
    <row r="71" spans="1:6" s="876" customFormat="1" ht="48">
      <c r="A71" s="880">
        <v>11</v>
      </c>
      <c r="B71" s="3606"/>
      <c r="C71" s="816" t="s">
        <v>635</v>
      </c>
      <c r="D71" s="816" t="s">
        <v>636</v>
      </c>
      <c r="E71" s="893">
        <v>0.2</v>
      </c>
      <c r="F71" s="880">
        <v>30</v>
      </c>
    </row>
    <row r="72" spans="1:6" s="876" customFormat="1" ht="36">
      <c r="A72" s="880">
        <v>12</v>
      </c>
      <c r="B72" s="3606"/>
      <c r="C72" s="816" t="s">
        <v>637</v>
      </c>
      <c r="D72" s="816" t="s">
        <v>638</v>
      </c>
      <c r="E72" s="893">
        <v>0.5</v>
      </c>
      <c r="F72" s="880">
        <v>80</v>
      </c>
    </row>
    <row r="73" spans="1:6" s="876" customFormat="1" ht="24">
      <c r="A73" s="880">
        <v>13</v>
      </c>
      <c r="B73" s="3606"/>
      <c r="C73" s="816" t="s">
        <v>639</v>
      </c>
      <c r="D73" s="816" t="s">
        <v>640</v>
      </c>
      <c r="E73" s="893">
        <v>0.4</v>
      </c>
      <c r="F73" s="880">
        <v>60</v>
      </c>
    </row>
    <row r="74" spans="1:6" s="876" customFormat="1" ht="24">
      <c r="A74" s="880">
        <v>14</v>
      </c>
      <c r="B74" s="3606"/>
      <c r="C74" s="816" t="s">
        <v>641</v>
      </c>
      <c r="D74" s="816" t="s">
        <v>642</v>
      </c>
      <c r="E74" s="893">
        <v>0.2</v>
      </c>
      <c r="F74" s="880">
        <v>30</v>
      </c>
    </row>
    <row r="75" spans="1:6" s="876" customFormat="1" ht="24">
      <c r="A75" s="880">
        <v>15</v>
      </c>
      <c r="B75" s="3606"/>
      <c r="C75" s="816" t="s">
        <v>643</v>
      </c>
      <c r="D75" s="816" t="s">
        <v>644</v>
      </c>
      <c r="E75" s="893">
        <v>0.2</v>
      </c>
      <c r="F75" s="880">
        <v>30</v>
      </c>
    </row>
    <row r="76" spans="1:6" s="876" customFormat="1" ht="24">
      <c r="A76" s="880">
        <v>16</v>
      </c>
      <c r="B76" s="3606" t="s">
        <v>645</v>
      </c>
      <c r="C76" s="816" t="s">
        <v>646</v>
      </c>
      <c r="D76" s="816" t="s">
        <v>647</v>
      </c>
      <c r="E76" s="893">
        <v>0.5</v>
      </c>
      <c r="F76" s="880">
        <v>80</v>
      </c>
    </row>
    <row r="77" spans="1:6" s="876" customFormat="1" ht="24">
      <c r="A77" s="880">
        <v>17</v>
      </c>
      <c r="B77" s="3606"/>
      <c r="C77" s="816" t="s">
        <v>648</v>
      </c>
      <c r="D77" s="816" t="s">
        <v>649</v>
      </c>
      <c r="E77" s="893">
        <v>0.5</v>
      </c>
      <c r="F77" s="880">
        <v>80</v>
      </c>
    </row>
    <row r="78" spans="1:6" s="876" customFormat="1" ht="24">
      <c r="A78" s="880">
        <v>18</v>
      </c>
      <c r="B78" s="3606"/>
      <c r="C78" s="816" t="s">
        <v>650</v>
      </c>
      <c r="D78" s="816" t="s">
        <v>651</v>
      </c>
      <c r="E78" s="893">
        <v>0.2</v>
      </c>
      <c r="F78" s="880">
        <v>30</v>
      </c>
    </row>
    <row r="79" spans="1:6" s="876" customFormat="1" ht="24">
      <c r="A79" s="880">
        <v>19</v>
      </c>
      <c r="B79" s="3606"/>
      <c r="C79" s="816" t="s">
        <v>652</v>
      </c>
      <c r="D79" s="816" t="s">
        <v>653</v>
      </c>
      <c r="E79" s="893">
        <v>0.5</v>
      </c>
      <c r="F79" s="880">
        <v>80</v>
      </c>
    </row>
    <row r="80" spans="1:6" s="876" customFormat="1" ht="36">
      <c r="A80" s="880">
        <v>20</v>
      </c>
      <c r="B80" s="3606"/>
      <c r="C80" s="816" t="s">
        <v>654</v>
      </c>
      <c r="D80" s="816" t="s">
        <v>655</v>
      </c>
      <c r="E80" s="893">
        <v>0.2</v>
      </c>
      <c r="F80" s="880">
        <v>30</v>
      </c>
    </row>
    <row r="81" spans="1:6" s="876" customFormat="1" ht="36">
      <c r="A81" s="880">
        <v>21</v>
      </c>
      <c r="B81" s="3606"/>
      <c r="C81" s="816" t="s">
        <v>656</v>
      </c>
      <c r="D81" s="816" t="s">
        <v>657</v>
      </c>
      <c r="E81" s="893">
        <v>0.2</v>
      </c>
      <c r="F81" s="880">
        <v>30</v>
      </c>
    </row>
    <row r="82" spans="1:6" s="876" customFormat="1" ht="48">
      <c r="A82" s="880">
        <v>22</v>
      </c>
      <c r="B82" s="3606"/>
      <c r="C82" s="816" t="s">
        <v>658</v>
      </c>
      <c r="D82" s="816" t="s">
        <v>659</v>
      </c>
      <c r="E82" s="893">
        <v>0.2</v>
      </c>
      <c r="F82" s="880">
        <v>30</v>
      </c>
    </row>
    <row r="83" spans="1:6" s="876" customFormat="1" ht="48">
      <c r="A83" s="880">
        <v>23</v>
      </c>
      <c r="B83" s="3606"/>
      <c r="C83" s="816" t="s">
        <v>660</v>
      </c>
      <c r="D83" s="816" t="s">
        <v>661</v>
      </c>
      <c r="E83" s="893">
        <v>0.2</v>
      </c>
      <c r="F83" s="880">
        <v>30</v>
      </c>
    </row>
    <row r="84" spans="1:6" s="876" customFormat="1" ht="36">
      <c r="A84" s="880">
        <v>24</v>
      </c>
      <c r="B84" s="3606"/>
      <c r="C84" s="816" t="s">
        <v>662</v>
      </c>
      <c r="D84" s="816" t="s">
        <v>663</v>
      </c>
      <c r="E84" s="893">
        <v>0.2</v>
      </c>
      <c r="F84" s="880">
        <v>30</v>
      </c>
    </row>
    <row r="85" spans="1:6" s="876" customFormat="1" ht="36">
      <c r="A85" s="880">
        <v>25</v>
      </c>
      <c r="B85" s="3606"/>
      <c r="C85" s="816" t="s">
        <v>664</v>
      </c>
      <c r="D85" s="816" t="s">
        <v>665</v>
      </c>
      <c r="E85" s="893">
        <v>0.5</v>
      </c>
      <c r="F85" s="880">
        <v>80</v>
      </c>
    </row>
    <row r="86" spans="1:6" s="876" customFormat="1" ht="36">
      <c r="A86" s="880">
        <v>26</v>
      </c>
      <c r="B86" s="3606"/>
      <c r="C86" s="816" t="s">
        <v>666</v>
      </c>
      <c r="D86" s="816" t="s">
        <v>667</v>
      </c>
      <c r="E86" s="893">
        <v>0.2</v>
      </c>
      <c r="F86" s="880">
        <v>30</v>
      </c>
    </row>
    <row r="87" spans="1:6" s="876" customFormat="1" ht="36">
      <c r="A87" s="880">
        <v>27</v>
      </c>
      <c r="B87" s="3606"/>
      <c r="C87" s="816" t="s">
        <v>668</v>
      </c>
      <c r="D87" s="816" t="s">
        <v>669</v>
      </c>
      <c r="E87" s="893">
        <v>0.2</v>
      </c>
      <c r="F87" s="880">
        <v>30</v>
      </c>
    </row>
    <row r="88" spans="1:6" s="876" customFormat="1" ht="36">
      <c r="A88" s="880">
        <v>28</v>
      </c>
      <c r="B88" s="3606"/>
      <c r="C88" s="816" t="s">
        <v>670</v>
      </c>
      <c r="D88" s="816" t="s">
        <v>671</v>
      </c>
      <c r="E88" s="893">
        <v>0.2</v>
      </c>
      <c r="F88" s="880">
        <v>30</v>
      </c>
    </row>
    <row r="89" spans="1:6" s="876" customFormat="1" ht="24">
      <c r="A89" s="880">
        <v>29</v>
      </c>
      <c r="B89" s="3606"/>
      <c r="C89" s="816" t="s">
        <v>672</v>
      </c>
      <c r="D89" s="816" t="s">
        <v>673</v>
      </c>
      <c r="E89" s="893">
        <v>0.2</v>
      </c>
      <c r="F89" s="880">
        <v>30</v>
      </c>
    </row>
    <row r="90" spans="1:6" s="876" customFormat="1" ht="24">
      <c r="A90" s="880">
        <v>30</v>
      </c>
      <c r="B90" s="3606"/>
      <c r="C90" s="816" t="s">
        <v>674</v>
      </c>
      <c r="D90" s="816" t="s">
        <v>675</v>
      </c>
      <c r="E90" s="893">
        <v>0.2</v>
      </c>
      <c r="F90" s="880">
        <v>30</v>
      </c>
    </row>
    <row r="91" spans="1:6" s="876" customFormat="1" ht="36">
      <c r="A91" s="880">
        <v>31</v>
      </c>
      <c r="B91" s="3606"/>
      <c r="C91" s="816" t="s">
        <v>676</v>
      </c>
      <c r="D91" s="816" t="s">
        <v>677</v>
      </c>
      <c r="E91" s="893">
        <v>0.2</v>
      </c>
      <c r="F91" s="880">
        <v>30</v>
      </c>
    </row>
    <row r="92" spans="1:6" s="876" customFormat="1" ht="24">
      <c r="A92" s="880">
        <v>32</v>
      </c>
      <c r="B92" s="3606" t="s">
        <v>678</v>
      </c>
      <c r="C92" s="880" t="s">
        <v>679</v>
      </c>
      <c r="D92" s="816" t="s">
        <v>680</v>
      </c>
      <c r="E92" s="893">
        <v>0.2</v>
      </c>
      <c r="F92" s="880">
        <v>30</v>
      </c>
    </row>
    <row r="93" spans="1:6" s="876" customFormat="1" ht="36">
      <c r="A93" s="880">
        <v>33</v>
      </c>
      <c r="B93" s="3606"/>
      <c r="C93" s="880" t="s">
        <v>681</v>
      </c>
      <c r="D93" s="816" t="s">
        <v>682</v>
      </c>
      <c r="E93" s="893">
        <v>0.2</v>
      </c>
      <c r="F93" s="880">
        <v>30</v>
      </c>
    </row>
    <row r="94" spans="1:6" s="876" customFormat="1" ht="48">
      <c r="A94" s="880">
        <v>34</v>
      </c>
      <c r="B94" s="3606"/>
      <c r="C94" s="880" t="s">
        <v>683</v>
      </c>
      <c r="D94" s="816" t="s">
        <v>684</v>
      </c>
      <c r="E94" s="893">
        <v>0.2</v>
      </c>
      <c r="F94" s="880">
        <v>30</v>
      </c>
    </row>
    <row r="95" spans="1:6" s="876" customFormat="1" ht="36">
      <c r="A95" s="880">
        <v>35</v>
      </c>
      <c r="B95" s="3606"/>
      <c r="C95" s="880" t="s">
        <v>685</v>
      </c>
      <c r="D95" s="816" t="s">
        <v>686</v>
      </c>
      <c r="E95" s="893">
        <v>0.2</v>
      </c>
      <c r="F95" s="880">
        <v>30</v>
      </c>
    </row>
    <row r="96" spans="1:6" s="876" customFormat="1" ht="48">
      <c r="A96" s="880">
        <v>36</v>
      </c>
      <c r="B96" s="3606"/>
      <c r="C96" s="816" t="s">
        <v>687</v>
      </c>
      <c r="D96" s="816" t="s">
        <v>688</v>
      </c>
      <c r="E96" s="893">
        <v>0.2</v>
      </c>
      <c r="F96" s="880">
        <v>30</v>
      </c>
    </row>
    <row r="97" spans="1:6" s="876" customFormat="1" ht="36">
      <c r="A97" s="880">
        <v>37</v>
      </c>
      <c r="B97" s="3606"/>
      <c r="C97" s="880" t="s">
        <v>689</v>
      </c>
      <c r="D97" s="816" t="s">
        <v>690</v>
      </c>
      <c r="E97" s="893">
        <v>0.2</v>
      </c>
      <c r="F97" s="880">
        <v>30</v>
      </c>
    </row>
    <row r="98" spans="1:6" s="876" customFormat="1" ht="36">
      <c r="A98" s="880">
        <v>38</v>
      </c>
      <c r="B98" s="3606"/>
      <c r="C98" s="880" t="s">
        <v>691</v>
      </c>
      <c r="D98" s="816" t="s">
        <v>692</v>
      </c>
      <c r="E98" s="893">
        <v>0.2</v>
      </c>
      <c r="F98" s="880">
        <v>30</v>
      </c>
    </row>
    <row r="99" spans="1:6" s="876" customFormat="1" ht="36">
      <c r="A99" s="880">
        <v>39</v>
      </c>
      <c r="B99" s="3606" t="s">
        <v>693</v>
      </c>
      <c r="C99" s="880" t="s">
        <v>694</v>
      </c>
      <c r="D99" s="816" t="s">
        <v>695</v>
      </c>
      <c r="E99" s="893">
        <v>0.3</v>
      </c>
      <c r="F99" s="880">
        <v>50</v>
      </c>
    </row>
    <row r="100" spans="1:6" s="876" customFormat="1" ht="24">
      <c r="A100" s="880">
        <v>40</v>
      </c>
      <c r="B100" s="3606"/>
      <c r="C100" s="880" t="s">
        <v>696</v>
      </c>
      <c r="D100" s="816" t="s">
        <v>697</v>
      </c>
      <c r="E100" s="893">
        <v>0.2</v>
      </c>
      <c r="F100" s="880">
        <v>30</v>
      </c>
    </row>
    <row r="101" spans="1:6" s="876" customFormat="1" ht="36">
      <c r="A101" s="880">
        <v>41</v>
      </c>
      <c r="B101" s="360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606" t="s">
        <v>708</v>
      </c>
      <c r="C105" s="880" t="s">
        <v>709</v>
      </c>
      <c r="D105" s="816" t="s">
        <v>710</v>
      </c>
      <c r="E105" s="893">
        <v>0.2</v>
      </c>
      <c r="F105" s="880">
        <v>30</v>
      </c>
    </row>
    <row r="106" spans="1:6" s="876" customFormat="1" ht="36">
      <c r="A106" s="880">
        <v>46</v>
      </c>
      <c r="B106" s="3606"/>
      <c r="C106" s="880" t="s">
        <v>711</v>
      </c>
      <c r="D106" s="816" t="s">
        <v>712</v>
      </c>
      <c r="E106" s="893">
        <v>0.2</v>
      </c>
      <c r="F106" s="880">
        <v>30</v>
      </c>
    </row>
    <row r="107" spans="1:6" s="876" customFormat="1" ht="36">
      <c r="A107" s="880">
        <v>47</v>
      </c>
      <c r="B107" s="3606" t="s">
        <v>713</v>
      </c>
      <c r="C107" s="880" t="s">
        <v>714</v>
      </c>
      <c r="D107" s="816" t="s">
        <v>715</v>
      </c>
      <c r="E107" s="893">
        <v>0.3</v>
      </c>
      <c r="F107" s="880">
        <v>50</v>
      </c>
    </row>
    <row r="108" spans="1:6" s="876" customFormat="1" ht="36">
      <c r="A108" s="880">
        <v>48</v>
      </c>
      <c r="B108" s="360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606" t="s">
        <v>724</v>
      </c>
      <c r="C111" s="880" t="s">
        <v>725</v>
      </c>
      <c r="D111" s="816" t="s">
        <v>726</v>
      </c>
      <c r="E111" s="893">
        <v>0.2</v>
      </c>
      <c r="F111" s="880">
        <v>30</v>
      </c>
    </row>
    <row r="112" spans="1:6" s="876" customFormat="1" ht="24">
      <c r="A112" s="880">
        <v>52</v>
      </c>
      <c r="B112" s="3606"/>
      <c r="C112" s="880" t="s">
        <v>727</v>
      </c>
      <c r="D112" s="816" t="s">
        <v>728</v>
      </c>
      <c r="E112" s="893">
        <v>0.2</v>
      </c>
      <c r="F112" s="880">
        <v>30</v>
      </c>
    </row>
    <row r="113" spans="1:6" s="876" customFormat="1" ht="24">
      <c r="A113" s="880">
        <v>53</v>
      </c>
      <c r="B113" s="360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606" t="s">
        <v>737</v>
      </c>
      <c r="C116" s="880" t="s">
        <v>738</v>
      </c>
      <c r="D116" s="816" t="s">
        <v>739</v>
      </c>
      <c r="E116" s="893">
        <v>0.2</v>
      </c>
      <c r="F116" s="880">
        <v>30</v>
      </c>
    </row>
    <row r="117" spans="1:6" ht="36">
      <c r="A117" s="880">
        <v>57</v>
      </c>
      <c r="B117" s="360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612" t="s">
        <v>1150</v>
      </c>
      <c r="C1" s="3612"/>
      <c r="D1" s="3612"/>
      <c r="E1" s="3612"/>
      <c r="F1" s="3612"/>
      <c r="G1" s="3608" t="s">
        <v>1151</v>
      </c>
      <c r="H1" s="3608"/>
      <c r="I1" s="3608"/>
      <c r="J1" s="3608"/>
      <c r="K1" s="3608"/>
      <c r="L1" s="3608"/>
      <c r="N1" s="3608" t="s">
        <v>1152</v>
      </c>
      <c r="O1" s="3608"/>
      <c r="P1" s="3608"/>
      <c r="Q1" s="3608"/>
      <c r="R1" s="1446"/>
      <c r="S1" s="3608" t="s">
        <v>1153</v>
      </c>
      <c r="T1" s="3608"/>
      <c r="U1" s="3608"/>
      <c r="V1" s="3608"/>
      <c r="X1" s="3607" t="s">
        <v>1154</v>
      </c>
      <c r="Y1" s="3608"/>
      <c r="Z1" s="3608"/>
      <c r="AA1" s="3608"/>
      <c r="AB1" s="3608"/>
      <c r="AD1" s="3607" t="s">
        <v>1155</v>
      </c>
      <c r="AE1" s="3608"/>
      <c r="AF1" s="3608"/>
      <c r="AG1" s="3608"/>
      <c r="AH1" s="3608"/>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613">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610"/>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610"/>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611"/>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609">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610"/>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610"/>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611"/>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609">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610"/>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610"/>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611"/>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614">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615"/>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615"/>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616"/>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609">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610"/>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610"/>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611"/>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609">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610">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610">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611">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609">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610">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610">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611">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609">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610">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610">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611">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609">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610">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610">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611">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609">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610">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610">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611">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609">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610">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610">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611">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609">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610">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610">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611">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609">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610">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610">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611">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609">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610">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610">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611">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609">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610">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610">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611">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2"/>
      <c r="C2" s="3302"/>
      <c r="D2" s="3302"/>
      <c r="E2" s="3302"/>
    </row>
    <row r="3" spans="1:5" ht="18">
      <c r="A3" s="3303" t="str">
        <f>IF(项目基本情况!B9="房地产市场价值","估价结果一览表（市场价值不需“结果表-1”）","估价结果一览表")</f>
        <v>估价结果一览表</v>
      </c>
      <c r="B3" s="3303"/>
      <c r="C3" s="3303"/>
      <c r="D3" s="3303"/>
      <c r="E3" s="3303"/>
    </row>
    <row r="4" spans="1:5" ht="19.5" thickBot="1">
      <c r="A4" s="1962"/>
      <c r="B4" s="3301" t="s">
        <v>1632</v>
      </c>
      <c r="C4" s="3301"/>
      <c r="D4" s="3301"/>
      <c r="E4" s="1962"/>
    </row>
    <row r="5" spans="1:5" ht="16.5" thickTop="1">
      <c r="A5" s="1960"/>
      <c r="B5" s="3299" t="s">
        <v>1624</v>
      </c>
      <c r="C5" s="1963" t="s">
        <v>1625</v>
      </c>
      <c r="D5" s="1041">
        <f ca="1">结果表!H101</f>
        <v>41769</v>
      </c>
      <c r="E5" s="1960"/>
    </row>
    <row r="6" spans="1:5" ht="15.75">
      <c r="A6" s="1960"/>
      <c r="B6" s="3299"/>
      <c r="C6" s="1963" t="s">
        <v>1626</v>
      </c>
      <c r="D6" s="1041" t="str">
        <f ca="1">NUMBERSTRING(INT(D5*10000),2)&amp;"元整"</f>
        <v>肆亿壹仟柒佰陆拾玖万元整</v>
      </c>
      <c r="E6" s="1960"/>
    </row>
    <row r="7" spans="1:5" ht="15.75">
      <c r="A7" s="1960"/>
      <c r="B7" s="3304"/>
      <c r="C7" s="1964" t="s">
        <v>1627</v>
      </c>
      <c r="D7" s="1042">
        <f ca="1">结果表!H102</f>
        <v>9852</v>
      </c>
      <c r="E7" s="1960"/>
    </row>
    <row r="8" spans="1:5" ht="15.75">
      <c r="A8" s="1960"/>
      <c r="B8" s="3305" t="str">
        <f>结果表!E103</f>
        <v>2.估价师知悉的法定优先受偿款</v>
      </c>
      <c r="C8" s="1965" t="s">
        <v>1628</v>
      </c>
      <c r="D8" s="1042">
        <f>结果表!H103</f>
        <v>0</v>
      </c>
      <c r="E8" s="1960"/>
    </row>
    <row r="9" spans="1:5" ht="15.75">
      <c r="A9" s="1960"/>
      <c r="B9" s="3307"/>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3298" t="str">
        <f>结果表!E107</f>
        <v>——</v>
      </c>
      <c r="C13" s="1968" t="s">
        <v>1625</v>
      </c>
      <c r="D13" s="1044" t="str">
        <f>结果表!H107</f>
        <v>——</v>
      </c>
      <c r="E13" s="1960"/>
    </row>
    <row r="14" spans="1:5" ht="15.75">
      <c r="A14" s="1960"/>
      <c r="B14" s="3299"/>
      <c r="C14" s="1963" t="s">
        <v>1626</v>
      </c>
      <c r="D14" s="1041" t="e">
        <f>NUMBERSTRING(INT(D13*10000),2)&amp;"元整"</f>
        <v>#VALUE!</v>
      </c>
      <c r="E14" s="1960"/>
    </row>
    <row r="15" spans="1:5" ht="15">
      <c r="A15" s="1960"/>
      <c r="B15" s="3304"/>
      <c r="C15" s="1964" t="s">
        <v>1636</v>
      </c>
      <c r="D15" s="1053" t="e">
        <f>结果表!H108</f>
        <v>#VALUE!</v>
      </c>
      <c r="E15" s="1960"/>
    </row>
    <row r="16" spans="1:5" ht="15">
      <c r="A16" s="1960"/>
      <c r="B16" s="3305" t="str">
        <f>结果表!E109</f>
        <v>3.抵押担保权已注销时的房地产抵押价值</v>
      </c>
      <c r="C16" s="1968" t="s">
        <v>1637</v>
      </c>
      <c r="D16" s="1969">
        <f ca="1">结果表!H109</f>
        <v>41769</v>
      </c>
      <c r="E16" s="1960"/>
    </row>
    <row r="17" spans="1:5" ht="15.75">
      <c r="A17" s="1960"/>
      <c r="B17" s="3306"/>
      <c r="C17" s="1963" t="s">
        <v>1638</v>
      </c>
      <c r="D17" s="1041" t="str">
        <f ca="1">NUMBERSTRING(INT(D16*10000),2)&amp;"元整"</f>
        <v>肆亿壹仟柒佰陆拾玖万元整</v>
      </c>
      <c r="E17" s="1960"/>
    </row>
    <row r="18" spans="1:5" ht="15">
      <c r="A18" s="1960"/>
      <c r="B18" s="3307"/>
      <c r="C18" s="1964" t="s">
        <v>1627</v>
      </c>
      <c r="D18" s="1053">
        <f ca="1">结果表!H110</f>
        <v>9852</v>
      </c>
      <c r="E18" s="1960"/>
    </row>
    <row r="19" spans="1:5" ht="15.75">
      <c r="A19" s="1960"/>
      <c r="B19" s="3298" t="str">
        <f>结果表!E111</f>
        <v>——</v>
      </c>
      <c r="C19" s="1968" t="s">
        <v>1625</v>
      </c>
      <c r="D19" s="1042" t="str">
        <f>结果表!H111</f>
        <v>——</v>
      </c>
      <c r="E19" s="1960"/>
    </row>
    <row r="20" spans="1:5" ht="15.75">
      <c r="A20" s="1960"/>
      <c r="B20" s="3299"/>
      <c r="C20" s="1963" t="s">
        <v>1638</v>
      </c>
      <c r="D20" s="1041" t="e">
        <f>NUMBERSTRING(INT(D19*10000),2)&amp;"元整"</f>
        <v>#VALUE!</v>
      </c>
      <c r="E20" s="1960"/>
    </row>
    <row r="21" spans="1:5" ht="15.75" thickBot="1">
      <c r="A21" s="1960"/>
      <c r="B21" s="3300"/>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54911</v>
      </c>
      <c r="C2" s="2" t="s">
        <v>133</v>
      </c>
      <c r="D2" s="243"/>
      <c r="E2" s="243"/>
      <c r="F2" s="243"/>
      <c r="G2" s="243"/>
    </row>
    <row r="3" spans="1:7" s="244" customFormat="1" ht="18" customHeight="1" thickBot="1">
      <c r="A3" s="247" t="s">
        <v>85</v>
      </c>
      <c r="B3" s="248">
        <f ca="1">ROUND(B2*10000/'数据-汇总表'!E3,0)</f>
        <v>12952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42395.67</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848</v>
      </c>
      <c r="D19" s="1037">
        <f>'数据-汇总表'!E3</f>
        <v>42395.67</v>
      </c>
      <c r="E19" s="255">
        <f>'数据-取费表'!B31</f>
        <v>200</v>
      </c>
      <c r="F19" s="275"/>
      <c r="G19" s="1" t="s">
        <v>1074</v>
      </c>
    </row>
    <row r="20" spans="1:7" s="258" customFormat="1" ht="13.5" customHeight="1">
      <c r="A20" s="949" t="s">
        <v>1057</v>
      </c>
      <c r="B20" s="254" t="s">
        <v>104</v>
      </c>
      <c r="C20" s="276">
        <f>ROUND((C5+C19)*F20,0)</f>
        <v>433</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2127</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82</v>
      </c>
      <c r="D24" s="282"/>
      <c r="E24" s="282"/>
      <c r="F24" s="283"/>
      <c r="G24" s="284" t="s">
        <v>109</v>
      </c>
    </row>
    <row r="25" spans="1:7" s="258" customFormat="1" ht="24">
      <c r="A25" s="952" t="s">
        <v>793</v>
      </c>
      <c r="B25" s="259" t="s">
        <v>1058</v>
      </c>
      <c r="C25" s="1355">
        <f ca="1">ROUND(IF('数据-取费表'!B22&lt;=1,C20*F22*'数据-取费表'!B23/2,C20*(POWER((1+F22),'数据-取费表'!B23/2)-1)),0)</f>
        <v>21</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4418</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4418</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18569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16958</v>
      </c>
      <c r="D34" s="261"/>
      <c r="E34" s="264"/>
      <c r="F34" s="301">
        <f>IF('数据-取费表'!B24=0,1,'数据-取费表'!N16)</f>
        <v>1</v>
      </c>
      <c r="G34" s="263" t="s">
        <v>116</v>
      </c>
    </row>
    <row r="35" spans="1:7" ht="13.5" customHeight="1">
      <c r="A35" s="952" t="s">
        <v>796</v>
      </c>
      <c r="B35" s="259" t="s">
        <v>60</v>
      </c>
      <c r="C35" s="264">
        <f>ROUND(C34*F35,0)</f>
        <v>509</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848</v>
      </c>
      <c r="D37" s="261">
        <f>'数据-汇总表'!E3</f>
        <v>42395.67</v>
      </c>
      <c r="E37" s="293">
        <f>'数据-取费表'!B35</f>
        <v>200</v>
      </c>
      <c r="F37" s="303"/>
      <c r="G37" s="305" t="s">
        <v>119</v>
      </c>
    </row>
    <row r="38" spans="1:7" ht="13.5" customHeight="1">
      <c r="A38" s="952" t="s">
        <v>799</v>
      </c>
      <c r="B38" s="259" t="s">
        <v>63</v>
      </c>
      <c r="C38" s="264">
        <f>ROUND(C34*F38,0)</f>
        <v>254</v>
      </c>
      <c r="D38" s="264"/>
      <c r="E38" s="264"/>
      <c r="F38" s="303">
        <f>'数据-取费表'!B36</f>
        <v>1.4999999999999999E-2</v>
      </c>
      <c r="G38" s="263" t="s">
        <v>117</v>
      </c>
    </row>
    <row r="39" spans="1:7" s="258" customFormat="1" ht="13.5" customHeight="1">
      <c r="A39" s="949" t="s">
        <v>783</v>
      </c>
      <c r="B39" s="254" t="s">
        <v>104</v>
      </c>
      <c r="C39" s="276">
        <f>ROUND(C33*F20,0)</f>
        <v>371</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900</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882</v>
      </c>
      <c r="D42" s="282"/>
      <c r="E42" s="282"/>
      <c r="F42" s="283"/>
      <c r="G42" s="3480" t="s">
        <v>121</v>
      </c>
    </row>
    <row r="43" spans="1:7" ht="13.5" customHeight="1">
      <c r="A43" s="952" t="s">
        <v>792</v>
      </c>
      <c r="B43" s="259" t="s">
        <v>1064</v>
      </c>
      <c r="C43" s="282">
        <f ca="1">ROUND(IF('数据-取费表'!B22&lt;=1,C39*F22*'数据-取费表'!B21/2,C39*(POWER((1+F22),'数据-取费表'!B21/2)-1)),0)</f>
        <v>18</v>
      </c>
      <c r="D43" s="282"/>
      <c r="E43" s="282"/>
      <c r="F43" s="283"/>
      <c r="G43" s="3481"/>
    </row>
    <row r="44" spans="1:7" ht="13.5" customHeight="1">
      <c r="A44" s="952" t="s">
        <v>793</v>
      </c>
      <c r="B44" s="259" t="s">
        <v>1066</v>
      </c>
      <c r="C44" s="282">
        <f ca="1">ROUND(IF('数据-取费表'!B22&lt;=1,C40*F22*'数据-取费表'!B21/2,C40*(POWER((1+F22),'数据-取费表'!B21/2)-1)),4)</f>
        <v>1E-3</v>
      </c>
      <c r="D44" s="282"/>
      <c r="E44" s="282"/>
      <c r="F44" s="283"/>
      <c r="G44" s="3482"/>
    </row>
    <row r="45" spans="1:7" s="258" customFormat="1" ht="13.5" customHeight="1">
      <c r="A45" s="949" t="s">
        <v>786</v>
      </c>
      <c r="B45" s="288" t="s">
        <v>112</v>
      </c>
      <c r="C45" s="289">
        <f>C46</f>
        <v>3788</v>
      </c>
      <c r="D45" s="279">
        <f>C47</f>
        <v>4.0000000000000001E-3</v>
      </c>
      <c r="E45" s="280" t="s">
        <v>129</v>
      </c>
      <c r="F45" s="290"/>
      <c r="G45" s="291" t="s">
        <v>1072</v>
      </c>
    </row>
    <row r="46" spans="1:7" s="258" customFormat="1" ht="13.5" customHeight="1">
      <c r="A46" s="952" t="s">
        <v>794</v>
      </c>
      <c r="B46" s="292" t="s">
        <v>1065</v>
      </c>
      <c r="C46" s="293">
        <f>ROUND((C33+C39)*F27,0)</f>
        <v>3788</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25636</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23841</v>
      </c>
      <c r="D51" s="276"/>
      <c r="E51" s="276"/>
      <c r="F51" s="308"/>
      <c r="G51" s="278" t="s">
        <v>64</v>
      </c>
    </row>
    <row r="52" spans="1:7" s="252" customFormat="1" ht="16.5" thickBot="1">
      <c r="A52" s="309" t="s">
        <v>65</v>
      </c>
      <c r="B52" s="310"/>
      <c r="C52" s="311">
        <f ca="1">C31+C51</f>
        <v>54911</v>
      </c>
      <c r="D52" s="310"/>
      <c r="E52" s="310"/>
      <c r="F52" s="310"/>
      <c r="G52" s="312"/>
    </row>
    <row r="55" spans="1:7" ht="15">
      <c r="B55" s="314" t="s">
        <v>66</v>
      </c>
      <c r="C55" s="315"/>
    </row>
    <row r="56" spans="1:7">
      <c r="B56" s="317" t="s">
        <v>67</v>
      </c>
      <c r="C56" s="318">
        <f ca="1">ROUND(C51/C52,3)</f>
        <v>0.434</v>
      </c>
    </row>
    <row r="57" spans="1:7">
      <c r="B57" s="317" t="s">
        <v>68</v>
      </c>
      <c r="C57" s="319">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617" t="s">
        <v>156</v>
      </c>
      <c r="B1" s="3617"/>
      <c r="C1" s="3617"/>
      <c r="D1" s="3617"/>
      <c r="E1" s="3617"/>
      <c r="F1" s="361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618" t="s">
        <v>169</v>
      </c>
      <c r="B2" s="3618"/>
      <c r="C2" s="3618"/>
      <c r="D2" s="3618"/>
      <c r="E2" s="3618"/>
      <c r="F2" s="361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61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62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617" t="s">
        <v>871</v>
      </c>
      <c r="B1" s="3617"/>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3149</v>
      </c>
      <c r="D1" s="1821" t="s">
        <v>70</v>
      </c>
      <c r="E1" s="1822" t="s">
        <v>1388</v>
      </c>
      <c r="F1" s="1283">
        <f ca="1">J53</f>
        <v>29.71</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1741</v>
      </c>
      <c r="C2" s="1846" t="s">
        <v>1518</v>
      </c>
      <c r="D2" s="1846"/>
      <c r="E2" s="1847"/>
      <c r="F2" s="1848"/>
      <c r="G2" s="1849"/>
      <c r="H2" s="1841"/>
      <c r="I2" s="1841"/>
      <c r="J2" s="1841"/>
      <c r="K2" s="1842"/>
      <c r="L2" s="1841"/>
      <c r="M2" s="1841"/>
    </row>
    <row r="3" spans="1:37" ht="18" customHeight="1" thickBot="1">
      <c r="A3" s="1850" t="s">
        <v>1519</v>
      </c>
      <c r="B3" s="1851">
        <f ca="1">IF(ISERROR(B2*10000/F43),0,ROUND(B2*10000/F43,0))</f>
        <v>6730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121</v>
      </c>
      <c r="D5" s="1823" t="s">
        <v>1403</v>
      </c>
      <c r="E5" s="1293"/>
      <c r="F5" s="1294"/>
      <c r="G5" s="1852"/>
      <c r="H5" s="344">
        <v>1</v>
      </c>
      <c r="I5" s="345" t="s">
        <v>1402</v>
      </c>
      <c r="J5" s="1292">
        <f ca="1">J6+J10+J12</f>
        <v>0</v>
      </c>
      <c r="K5" s="1823" t="s">
        <v>1403</v>
      </c>
      <c r="L5" s="1293"/>
      <c r="M5" s="1294"/>
    </row>
    <row r="6" spans="1:37" ht="18" customHeight="1">
      <c r="A6" s="1291" t="s">
        <v>1035</v>
      </c>
      <c r="B6" s="3536" t="s">
        <v>1404</v>
      </c>
      <c r="C6" s="1296">
        <f ca="1">ROUND(F6*F8*F7*(1-F9)/10000,0)</f>
        <v>121</v>
      </c>
      <c r="D6" s="164" t="s">
        <v>3014</v>
      </c>
      <c r="E6" s="347" t="s">
        <v>1406</v>
      </c>
      <c r="F6" s="348">
        <f ca="1">INDIRECT("'数据-取费表'!u"&amp;$G$1)</f>
        <v>1.35</v>
      </c>
      <c r="G6" s="1852"/>
      <c r="H6" s="1291" t="s">
        <v>1035</v>
      </c>
      <c r="I6" s="3536" t="s">
        <v>1404</v>
      </c>
      <c r="J6" s="346">
        <f ca="1">ROUND(M6*M8*M7*(1-M9)/10000,0)</f>
        <v>0</v>
      </c>
      <c r="K6" s="164" t="s">
        <v>3013</v>
      </c>
      <c r="L6" s="347" t="s">
        <v>1406</v>
      </c>
      <c r="M6" s="348">
        <f ca="1">INDIRECT("'数据-取费表'!z"&amp;$G$1)</f>
        <v>0</v>
      </c>
    </row>
    <row r="7" spans="1:37" ht="18" customHeight="1">
      <c r="A7" s="1295"/>
      <c r="B7" s="3537"/>
      <c r="C7" s="1297"/>
      <c r="D7" s="352"/>
      <c r="E7" s="2957" t="s">
        <v>1407</v>
      </c>
      <c r="F7" s="348">
        <f ca="1">IF(INDIRECT("'数据-取费表'!ah"&amp;$G$1)="",INDIRECT("'数据-取费表'!k"&amp;$G$1),INDIRECT("'数据-取费表'!ah"&amp;$G$1))</f>
        <v>2586.9499999999971</v>
      </c>
      <c r="G7" s="1852"/>
      <c r="H7" s="349"/>
      <c r="I7" s="3537"/>
      <c r="J7" s="351"/>
      <c r="K7" s="352"/>
      <c r="L7" s="347" t="s">
        <v>1407</v>
      </c>
      <c r="M7" s="348">
        <f ca="1">F7</f>
        <v>2586.9499999999971</v>
      </c>
    </row>
    <row r="8" spans="1:37" ht="18" customHeight="1">
      <c r="A8" s="349"/>
      <c r="B8" s="3537"/>
      <c r="C8" s="351"/>
      <c r="D8" s="352"/>
      <c r="E8" s="347" t="s">
        <v>1408</v>
      </c>
      <c r="F8" s="348">
        <f ca="1">INDIRECT("'数据-取费表'!ai"&amp;$G$1)</f>
        <v>365</v>
      </c>
      <c r="G8" s="1852"/>
      <c r="H8" s="349"/>
      <c r="I8" s="3537"/>
      <c r="J8" s="351"/>
      <c r="K8" s="352"/>
      <c r="L8" s="347" t="s">
        <v>1408</v>
      </c>
      <c r="M8" s="348">
        <f ca="1">INDIRECT("'数据-取费表'!ai"&amp;$G$1)</f>
        <v>365</v>
      </c>
    </row>
    <row r="9" spans="1:37" ht="18" customHeight="1">
      <c r="A9" s="349"/>
      <c r="B9" s="3538"/>
      <c r="C9" s="351"/>
      <c r="D9" s="352"/>
      <c r="E9" s="347" t="s">
        <v>1409</v>
      </c>
      <c r="F9" s="357">
        <f ca="1">INDIRECT("'数据-取费表'!w"&amp;$G$1)</f>
        <v>0.05</v>
      </c>
      <c r="G9" s="1852"/>
      <c r="H9" s="349"/>
      <c r="I9" s="35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0</v>
      </c>
      <c r="D10" s="1825" t="s">
        <v>3015</v>
      </c>
      <c r="E10" s="358" t="s">
        <v>1412</v>
      </c>
      <c r="F10" s="1366" t="s">
        <v>3075</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1456</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1035</v>
      </c>
      <c r="D14" s="2951" t="s">
        <v>1420</v>
      </c>
      <c r="E14" s="2949"/>
      <c r="F14" s="364"/>
      <c r="G14" s="1852"/>
      <c r="H14" s="1201" t="s">
        <v>1035</v>
      </c>
      <c r="I14" s="347" t="s">
        <v>1421</v>
      </c>
      <c r="J14" s="23">
        <f ca="1">C29</f>
        <v>1566</v>
      </c>
      <c r="K14" s="2956"/>
      <c r="L14" s="980"/>
      <c r="M14" s="981"/>
    </row>
    <row r="15" spans="1:37" s="1859" customFormat="1" ht="18" customHeight="1" thickBot="1">
      <c r="A15" s="1201" t="s">
        <v>1036</v>
      </c>
      <c r="B15" s="347" t="s">
        <v>1422</v>
      </c>
      <c r="C15" s="23">
        <f ca="1">ROUND(C14*F15,0)</f>
        <v>31</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21</v>
      </c>
      <c r="K16" s="1337" t="s">
        <v>1427</v>
      </c>
      <c r="L16" s="2952"/>
      <c r="M16" s="1294"/>
    </row>
    <row r="17" spans="1:37" s="1859" customFormat="1" ht="18" customHeight="1">
      <c r="A17" s="1201" t="s">
        <v>1391</v>
      </c>
      <c r="B17" s="347" t="s">
        <v>1428</v>
      </c>
      <c r="C17" s="23">
        <f ca="1">ROUND(F17*(F43+INDIRECT("'数据-取费表'!S"&amp;$G$1))/10000,0)</f>
        <v>52</v>
      </c>
      <c r="D17" s="347" t="s">
        <v>1429</v>
      </c>
      <c r="E17" s="347" t="s">
        <v>1430</v>
      </c>
      <c r="F17" s="25">
        <f>'数据-取费表'!B35</f>
        <v>200</v>
      </c>
      <c r="G17" s="1855"/>
      <c r="H17" s="1201" t="s">
        <v>1035</v>
      </c>
      <c r="I17" s="347" t="s">
        <v>1431</v>
      </c>
      <c r="J17" s="23">
        <f ca="1">ROUND(IF(项目基本情况!B11="自然人",J5*M17,J18+J19+J20),1)</f>
        <v>13.4</v>
      </c>
      <c r="K17" s="2951" t="s">
        <v>1432</v>
      </c>
      <c r="L17" s="2950"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16</v>
      </c>
      <c r="D18" s="347" t="s">
        <v>1423</v>
      </c>
      <c r="E18" s="347" t="s">
        <v>1424</v>
      </c>
      <c r="F18" s="367">
        <f>'数据-取费表'!B36</f>
        <v>1.4999999999999999E-2</v>
      </c>
      <c r="G18" s="1855"/>
      <c r="H18" s="1201" t="s">
        <v>1034</v>
      </c>
      <c r="I18" s="347" t="s">
        <v>1435</v>
      </c>
      <c r="J18" s="23">
        <f ca="1">ROUND(J5*M18/(1+'数据-取费表'!C42),2)</f>
        <v>0</v>
      </c>
      <c r="K18" s="2950"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1134</v>
      </c>
      <c r="D19" s="139" t="s">
        <v>1438</v>
      </c>
      <c r="E19" s="2955"/>
      <c r="F19" s="25"/>
      <c r="G19" s="1852"/>
      <c r="H19" s="1201" t="s">
        <v>1036</v>
      </c>
      <c r="I19" s="347" t="s">
        <v>1439</v>
      </c>
      <c r="J19" s="23">
        <f ca="1">IF(K19="按租金收入计税",ROUND(J5*M19,2),ROUND(C29*M19*0.7,2))</f>
        <v>13.15</v>
      </c>
      <c r="K19" s="1829" t="s">
        <v>1440</v>
      </c>
      <c r="L19" s="347" t="s">
        <v>1424</v>
      </c>
      <c r="M19" s="367">
        <f>IF(K19="按租金收入计税",'数据-取费表'!B51,'数据-取费表'!B50)</f>
        <v>1.2E-2</v>
      </c>
    </row>
    <row r="20" spans="1:37" s="1859" customFormat="1" ht="18" customHeight="1">
      <c r="A20" s="1201" t="s">
        <v>1039</v>
      </c>
      <c r="B20" s="347" t="s">
        <v>1441</v>
      </c>
      <c r="C20" s="23">
        <f ca="1">ROUND(C19*F20,0)</f>
        <v>23</v>
      </c>
      <c r="D20" s="369" t="s">
        <v>1442</v>
      </c>
      <c r="E20" s="347" t="s">
        <v>1424</v>
      </c>
      <c r="F20" s="367">
        <f>'数据-取费表'!B37</f>
        <v>0.02</v>
      </c>
      <c r="G20" s="1855"/>
      <c r="H20" s="1201" t="s">
        <v>1390</v>
      </c>
      <c r="I20" s="164" t="s">
        <v>1443</v>
      </c>
      <c r="J20" s="24">
        <f ca="1">ROUND(M20*M21/10000,2)</f>
        <v>0.23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384.31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5"/>
      <c r="F22" s="25"/>
      <c r="G22" s="1852"/>
      <c r="H22" s="1201" t="s">
        <v>1039</v>
      </c>
      <c r="I22" s="347" t="s">
        <v>1451</v>
      </c>
      <c r="J22" s="23">
        <f ca="1">ROUND(J14*M22,1)</f>
        <v>7.8</v>
      </c>
      <c r="K22" s="2950"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55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0"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5"/>
      <c r="F25" s="25"/>
      <c r="G25" s="1852"/>
      <c r="H25" s="1329" t="s">
        <v>1031</v>
      </c>
      <c r="I25" s="1344" t="s">
        <v>1465</v>
      </c>
      <c r="J25" s="355">
        <f ca="1">J5-J16</f>
        <v>-21</v>
      </c>
      <c r="K25" s="1345" t="s">
        <v>1466</v>
      </c>
      <c r="L25" s="1346"/>
      <c r="M25" s="1347"/>
    </row>
    <row r="26" spans="1:37">
      <c r="A26" s="1201" t="s">
        <v>1034</v>
      </c>
      <c r="B26" s="347" t="s">
        <v>1467</v>
      </c>
      <c r="C26" s="23">
        <f ca="1">ROUND((C19+C20)*F26,0)</f>
        <v>231</v>
      </c>
      <c r="D26" s="369" t="s">
        <v>1468</v>
      </c>
      <c r="E26" s="358" t="s">
        <v>1469</v>
      </c>
      <c r="F26" s="357">
        <f ca="1">INDIRECT("'数据-取费表'!q"&amp;$G$1)</f>
        <v>0.2</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1566</v>
      </c>
      <c r="D29" s="1342"/>
      <c r="E29" s="1340"/>
      <c r="F29" s="1343"/>
      <c r="G29" s="1855"/>
      <c r="H29" s="380" t="s">
        <v>1033</v>
      </c>
      <c r="I29" s="381" t="s">
        <v>1481</v>
      </c>
      <c r="J29" s="382">
        <f ca="1">ROUND(J26/(1+F40)^F41,0)</f>
        <v>0</v>
      </c>
      <c r="K29" s="383" t="s">
        <v>1482</v>
      </c>
      <c r="L29" s="384"/>
      <c r="M29" s="385">
        <f ca="1">INDIRECT("'数据-取费表'!k"&amp;$G$1)</f>
        <v>2586.9499999999971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30</v>
      </c>
      <c r="D30" s="1337" t="s">
        <v>1427</v>
      </c>
      <c r="E30" s="2952"/>
      <c r="F30" s="1294"/>
      <c r="G30" s="1852"/>
      <c r="H30" s="743"/>
      <c r="I30" s="744"/>
      <c r="J30" s="745"/>
      <c r="K30" s="746"/>
      <c r="L30" s="747"/>
      <c r="M30" s="748"/>
    </row>
    <row r="31" spans="1:37" ht="18" customHeight="1">
      <c r="A31" s="1201" t="s">
        <v>1035</v>
      </c>
      <c r="B31" s="347" t="s">
        <v>1431</v>
      </c>
      <c r="C31" s="23">
        <f ca="1">ROUND(IF(项目基本情况!B11="自然人",C5*F31,C32+C33+C34),1)</f>
        <v>19.8</v>
      </c>
      <c r="D31" s="2951" t="s">
        <v>1432</v>
      </c>
      <c r="E31" s="2950"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6.45</v>
      </c>
      <c r="D32" s="2950"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13.15</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0.23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384.31</v>
      </c>
      <c r="G35" s="1852"/>
      <c r="H35" s="743"/>
      <c r="I35" s="1861"/>
      <c r="J35" s="1862"/>
      <c r="K35" s="1863"/>
      <c r="L35" s="1860"/>
      <c r="M35" s="1860"/>
    </row>
    <row r="36" spans="1:18" ht="18" customHeight="1">
      <c r="A36" s="1352" t="s">
        <v>1039</v>
      </c>
      <c r="B36" s="347" t="s">
        <v>1451</v>
      </c>
      <c r="C36" s="23">
        <f ca="1">ROUND(C29*F36,1)</f>
        <v>7.8</v>
      </c>
      <c r="D36" s="2950"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1.5</v>
      </c>
      <c r="D37" s="2950"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1.2</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91</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1741</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29.71</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6730</v>
      </c>
      <c r="D43" s="383" t="s">
        <v>1490</v>
      </c>
      <c r="E43" s="384" t="s">
        <v>1491</v>
      </c>
      <c r="F43" s="385">
        <f ca="1">INDIRECT("'数据-取费表'!k"&amp;$G$1)</f>
        <v>2586.9499999999971</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-2056</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3055</v>
      </c>
      <c r="K47" s="1883" t="s">
        <v>1529</v>
      </c>
      <c r="L47" s="1884">
        <f ca="1">INDIRECT("'数据-取费表'!d"&amp;$G$1)</f>
        <v>40</v>
      </c>
      <c r="M47" s="1839" t="str">
        <f>IF(ISNUMBER(FIND("住宅",C1)),"住宅","非住宅")</f>
        <v>非住宅</v>
      </c>
      <c r="O47" s="1885" t="s">
        <v>1040</v>
      </c>
      <c r="P47" s="1886" t="s">
        <v>1530</v>
      </c>
      <c r="Q47" s="1887">
        <f ca="1">C40+J29</f>
        <v>1741</v>
      </c>
      <c r="R47" s="1887" t="s">
        <v>1531</v>
      </c>
    </row>
    <row r="48" spans="1:18" s="1843" customFormat="1" ht="28.5" thickBot="1">
      <c r="A48" s="1360" t="s">
        <v>1135</v>
      </c>
      <c r="B48" s="345" t="s">
        <v>1402</v>
      </c>
      <c r="C48" s="2954">
        <f ca="1">C49+C53+C55</f>
        <v>0</v>
      </c>
      <c r="D48" s="1362"/>
      <c r="E48" s="1363"/>
      <c r="F48" s="1181"/>
      <c r="G48" s="790"/>
      <c r="H48" s="791"/>
      <c r="I48" s="1888" t="s">
        <v>1532</v>
      </c>
      <c r="J48" s="1889" t="s">
        <v>3076</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1566</v>
      </c>
      <c r="R49" s="1887" t="s">
        <v>1531</v>
      </c>
    </row>
    <row r="50" spans="1:18" s="1843" customFormat="1" ht="13.5" thickBot="1">
      <c r="A50" s="1195"/>
      <c r="B50" s="1198"/>
      <c r="C50" s="1368"/>
      <c r="D50" s="1172"/>
      <c r="E50" s="1277" t="s">
        <v>1407</v>
      </c>
      <c r="F50" s="1278">
        <f ca="1">F7</f>
        <v>2586.9499999999971</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-564</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534" t="s">
        <v>1550</v>
      </c>
      <c r="L53" s="3535"/>
      <c r="O53" s="1885" t="s">
        <v>1046</v>
      </c>
      <c r="P53" s="1886" t="s">
        <v>1551</v>
      </c>
      <c r="Q53" s="1887">
        <f ca="1">Q47+Q48</f>
        <v>1741</v>
      </c>
      <c r="R53" s="1887" t="s">
        <v>1047</v>
      </c>
    </row>
    <row r="54" spans="1:18" s="1843" customFormat="1" ht="13.5" thickBot="1">
      <c r="A54" s="1406"/>
      <c r="B54" s="1826" t="s">
        <v>1389</v>
      </c>
      <c r="C54" s="1178"/>
      <c r="D54" s="1825"/>
      <c r="E54" s="295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1456</v>
      </c>
      <c r="D56" s="1915"/>
      <c r="E56" s="1916"/>
      <c r="F56" s="1908"/>
      <c r="I56" s="1917" t="s">
        <v>1556</v>
      </c>
      <c r="J56" s="1918" t="s">
        <v>3040</v>
      </c>
      <c r="K56" s="1888" t="s">
        <v>1557</v>
      </c>
      <c r="L56" s="1891" t="str">
        <f ca="1">IF(L48&lt;J51,"——",L48-J53)</f>
        <v>——</v>
      </c>
      <c r="O56" s="1885" t="s">
        <v>1040</v>
      </c>
      <c r="P56" s="1886" t="s">
        <v>1530</v>
      </c>
      <c r="Q56" s="1887">
        <f ca="1">C40+J29</f>
        <v>1741</v>
      </c>
      <c r="R56" s="1887" t="s">
        <v>1531</v>
      </c>
    </row>
    <row r="57" spans="1:18" s="1843" customFormat="1" ht="24.75" thickBot="1">
      <c r="A57" s="1919"/>
      <c r="B57" s="1169" t="s">
        <v>1480</v>
      </c>
      <c r="C57" s="282">
        <f ca="1">C29</f>
        <v>1566</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23</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13.4</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13.15</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0.23</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1741</v>
      </c>
      <c r="R62" s="1887" t="s">
        <v>1047</v>
      </c>
    </row>
    <row r="63" spans="1:18" s="1843" customFormat="1" ht="13.5" thickBot="1">
      <c r="A63" s="372"/>
      <c r="B63" s="1175"/>
      <c r="C63" s="28"/>
      <c r="D63" s="1185"/>
      <c r="E63" s="1169" t="s">
        <v>1449</v>
      </c>
      <c r="F63" s="348">
        <f t="shared" ca="1" si="0"/>
        <v>384.31</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7.8</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1.5</v>
      </c>
      <c r="D65" s="1183" t="s">
        <v>1456</v>
      </c>
      <c r="E65" s="1169" t="s">
        <v>1457</v>
      </c>
      <c r="F65" s="376">
        <f t="shared" ca="1" si="0"/>
        <v>1E-3</v>
      </c>
      <c r="I65" s="1930" t="s">
        <v>1581</v>
      </c>
      <c r="J65" s="1931">
        <v>40</v>
      </c>
      <c r="K65" s="1931">
        <v>30</v>
      </c>
      <c r="L65" s="1931">
        <v>50</v>
      </c>
      <c r="M65" s="1933">
        <v>0.02</v>
      </c>
      <c r="O65" s="1885" t="s">
        <v>1040</v>
      </c>
      <c r="P65" s="1886" t="s">
        <v>1530</v>
      </c>
      <c r="Q65" s="1887">
        <f ca="1">C40+J29</f>
        <v>1741</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-23</v>
      </c>
      <c r="D67" s="1182" t="s">
        <v>1466</v>
      </c>
      <c r="E67" s="1187"/>
      <c r="F67" s="1188"/>
      <c r="O67" s="1895" t="s">
        <v>1042</v>
      </c>
      <c r="P67" s="1886" t="s">
        <v>1564</v>
      </c>
      <c r="Q67" s="1934">
        <f ca="1">L51</f>
        <v>-564</v>
      </c>
      <c r="R67" s="1887" t="s">
        <v>1584</v>
      </c>
    </row>
    <row r="68" spans="1:18" s="1843" customFormat="1" ht="16.5" thickBot="1">
      <c r="A68" s="1166" t="s">
        <v>1032</v>
      </c>
      <c r="B68" s="1167" t="s">
        <v>1487</v>
      </c>
      <c r="C68" s="346">
        <f ca="1">ROUND(C67*(1-((1+F70)/(1+F68))^F69)/(F68-F70),0)</f>
        <v>-315</v>
      </c>
      <c r="D68" s="1184" t="s">
        <v>1471</v>
      </c>
      <c r="E68" s="1169" t="s">
        <v>1472</v>
      </c>
      <c r="F68" s="357">
        <f ca="1">F40</f>
        <v>0.06</v>
      </c>
      <c r="O68" s="1895" t="s">
        <v>1043</v>
      </c>
      <c r="P68" s="1935" t="s">
        <v>1585</v>
      </c>
      <c r="Q68" s="1887">
        <f ca="1">ROUND(Q69-Q70*Q71,0)</f>
        <v>-33</v>
      </c>
      <c r="R68" s="1887" t="s">
        <v>1051</v>
      </c>
    </row>
    <row r="69" spans="1:18" s="1843" customFormat="1" ht="13.5" thickBot="1">
      <c r="A69" s="1170"/>
      <c r="B69" s="1171"/>
      <c r="C69" s="351"/>
      <c r="D69" s="1189" t="s">
        <v>1475</v>
      </c>
      <c r="E69" s="1169" t="s">
        <v>1476</v>
      </c>
      <c r="F69" s="379">
        <f ca="1">F41</f>
        <v>29.71</v>
      </c>
      <c r="O69" s="1895" t="s">
        <v>1048</v>
      </c>
      <c r="P69" s="1935" t="s">
        <v>1586</v>
      </c>
      <c r="Q69" s="1887">
        <f ca="1">C39</f>
        <v>91</v>
      </c>
      <c r="R69" s="1887" t="s">
        <v>1531</v>
      </c>
    </row>
    <row r="70" spans="1:18" s="1843" customFormat="1" ht="13.5" thickBot="1">
      <c r="A70" s="1173"/>
      <c r="B70" s="1174"/>
      <c r="C70" s="355"/>
      <c r="D70" s="1185"/>
      <c r="E70" s="1169" t="s">
        <v>1479</v>
      </c>
      <c r="F70" s="1275"/>
      <c r="O70" s="1895" t="s">
        <v>1049</v>
      </c>
      <c r="P70" s="1935" t="s">
        <v>1587</v>
      </c>
      <c r="Q70" s="1887">
        <f ca="1">C13</f>
        <v>1456</v>
      </c>
      <c r="R70" s="1887" t="s">
        <v>1531</v>
      </c>
    </row>
    <row r="71" spans="1:18" s="1843" customFormat="1" ht="13.5" thickBot="1">
      <c r="A71" s="1190" t="s">
        <v>1033</v>
      </c>
      <c r="B71" s="1191" t="s">
        <v>1489</v>
      </c>
      <c r="C71" s="382">
        <f ca="1">ROUND(C68*10000/F71,0)</f>
        <v>-1218</v>
      </c>
      <c r="D71" s="1192" t="s">
        <v>1490</v>
      </c>
      <c r="E71" s="1193" t="s">
        <v>1491</v>
      </c>
      <c r="F71" s="385">
        <f ca="1">F43</f>
        <v>2586.9499999999971</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124</v>
      </c>
      <c r="D75" s="1843"/>
      <c r="E75" s="1843"/>
      <c r="F75" s="1843"/>
      <c r="K75" s="1869"/>
      <c r="L75" s="1843"/>
      <c r="O75" s="1885" t="s">
        <v>1046</v>
      </c>
      <c r="P75" s="1886" t="s">
        <v>1551</v>
      </c>
      <c r="Q75" s="1887">
        <f ca="1">Q65+Q66</f>
        <v>1741</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-0.36299999999999999</v>
      </c>
    </row>
    <row r="80" spans="1:18">
      <c r="B80" s="386" t="s">
        <v>1513</v>
      </c>
      <c r="C80" s="318">
        <f ca="1">ROUND(C75/C39,3)</f>
        <v>1.363</v>
      </c>
    </row>
    <row r="81" spans="2:3">
      <c r="B81" s="314" t="s">
        <v>1514</v>
      </c>
      <c r="C81" s="282"/>
    </row>
    <row r="82" spans="2:3">
      <c r="B82" s="317" t="s">
        <v>1515</v>
      </c>
      <c r="C82" s="319">
        <f ca="1">1-C83</f>
        <v>0.16400000000000003</v>
      </c>
    </row>
    <row r="83" spans="2:3">
      <c r="B83" s="317" t="s">
        <v>1516</v>
      </c>
      <c r="C83" s="318">
        <f ca="1">ROUND(C13/C40,3)</f>
        <v>0.83599999999999997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J30" sqref="J30"/>
    </sheetView>
  </sheetViews>
  <sheetFormatPr defaultRowHeight="14.25"/>
  <cols>
    <col min="1" max="1" width="9" style="2959"/>
    <col min="2" max="2" width="11.625" style="2959" bestFit="1" customWidth="1"/>
    <col min="3" max="3" width="9" style="2959"/>
    <col min="4" max="4" width="9.375" style="2959" bestFit="1" customWidth="1"/>
    <col min="5" max="5" width="9" style="2959"/>
    <col min="6" max="6" width="10.25" style="2959" bestFit="1" customWidth="1"/>
    <col min="7" max="7" width="9" style="2959"/>
    <col min="8" max="8" width="9.375" style="2959" bestFit="1" customWidth="1"/>
    <col min="9" max="9" width="9" style="2959"/>
    <col min="10" max="10" width="9.375" style="2959" bestFit="1" customWidth="1"/>
    <col min="11" max="11" width="9" style="2959"/>
    <col min="12" max="12" width="9.375" style="2959" bestFit="1" customWidth="1"/>
    <col min="13" max="13" width="9" style="2959"/>
    <col min="14" max="14" width="10.25" style="2959" bestFit="1" customWidth="1"/>
    <col min="15" max="257" width="9" style="2959"/>
    <col min="258" max="258" width="11.625" style="2959" bestFit="1" customWidth="1"/>
    <col min="259" max="259" width="9" style="2959"/>
    <col min="260" max="260" width="9.375" style="2959" bestFit="1" customWidth="1"/>
    <col min="261" max="261" width="9" style="2959"/>
    <col min="262" max="262" width="10.25" style="2959" bestFit="1" customWidth="1"/>
    <col min="263" max="263" width="9" style="2959"/>
    <col min="264" max="264" width="9.375" style="2959" bestFit="1" customWidth="1"/>
    <col min="265" max="265" width="9" style="2959"/>
    <col min="266" max="266" width="9.375" style="2959" bestFit="1" customWidth="1"/>
    <col min="267" max="267" width="9" style="2959"/>
    <col min="268" max="268" width="9.375" style="2959" bestFit="1" customWidth="1"/>
    <col min="269" max="269" width="9" style="2959"/>
    <col min="270" max="270" width="10.25" style="2959" bestFit="1" customWidth="1"/>
    <col min="271" max="513" width="9" style="2959"/>
    <col min="514" max="514" width="11.625" style="2959" bestFit="1" customWidth="1"/>
    <col min="515" max="515" width="9" style="2959"/>
    <col min="516" max="516" width="9.375" style="2959" bestFit="1" customWidth="1"/>
    <col min="517" max="517" width="9" style="2959"/>
    <col min="518" max="518" width="10.25" style="2959" bestFit="1" customWidth="1"/>
    <col min="519" max="519" width="9" style="2959"/>
    <col min="520" max="520" width="9.375" style="2959" bestFit="1" customWidth="1"/>
    <col min="521" max="521" width="9" style="2959"/>
    <col min="522" max="522" width="9.375" style="2959" bestFit="1" customWidth="1"/>
    <col min="523" max="523" width="9" style="2959"/>
    <col min="524" max="524" width="9.375" style="2959" bestFit="1" customWidth="1"/>
    <col min="525" max="525" width="9" style="2959"/>
    <col min="526" max="526" width="10.25" style="2959" bestFit="1" customWidth="1"/>
    <col min="527" max="769" width="9" style="2959"/>
    <col min="770" max="770" width="11.625" style="2959" bestFit="1" customWidth="1"/>
    <col min="771" max="771" width="9" style="2959"/>
    <col min="772" max="772" width="9.375" style="2959" bestFit="1" customWidth="1"/>
    <col min="773" max="773" width="9" style="2959"/>
    <col min="774" max="774" width="10.25" style="2959" bestFit="1" customWidth="1"/>
    <col min="775" max="775" width="9" style="2959"/>
    <col min="776" max="776" width="9.375" style="2959" bestFit="1" customWidth="1"/>
    <col min="777" max="777" width="9" style="2959"/>
    <col min="778" max="778" width="9.375" style="2959" bestFit="1" customWidth="1"/>
    <col min="779" max="779" width="9" style="2959"/>
    <col min="780" max="780" width="9.375" style="2959" bestFit="1" customWidth="1"/>
    <col min="781" max="781" width="9" style="2959"/>
    <col min="782" max="782" width="10.25" style="2959" bestFit="1" customWidth="1"/>
    <col min="783" max="1025" width="9" style="2959"/>
    <col min="1026" max="1026" width="11.625" style="2959" bestFit="1" customWidth="1"/>
    <col min="1027" max="1027" width="9" style="2959"/>
    <col min="1028" max="1028" width="9.375" style="2959" bestFit="1" customWidth="1"/>
    <col min="1029" max="1029" width="9" style="2959"/>
    <col min="1030" max="1030" width="10.25" style="2959" bestFit="1" customWidth="1"/>
    <col min="1031" max="1031" width="9" style="2959"/>
    <col min="1032" max="1032" width="9.375" style="2959" bestFit="1" customWidth="1"/>
    <col min="1033" max="1033" width="9" style="2959"/>
    <col min="1034" max="1034" width="9.375" style="2959" bestFit="1" customWidth="1"/>
    <col min="1035" max="1035" width="9" style="2959"/>
    <col min="1036" max="1036" width="9.375" style="2959" bestFit="1" customWidth="1"/>
    <col min="1037" max="1037" width="9" style="2959"/>
    <col min="1038" max="1038" width="10.25" style="2959" bestFit="1" customWidth="1"/>
    <col min="1039" max="1281" width="9" style="2959"/>
    <col min="1282" max="1282" width="11.625" style="2959" bestFit="1" customWidth="1"/>
    <col min="1283" max="1283" width="9" style="2959"/>
    <col min="1284" max="1284" width="9.375" style="2959" bestFit="1" customWidth="1"/>
    <col min="1285" max="1285" width="9" style="2959"/>
    <col min="1286" max="1286" width="10.25" style="2959" bestFit="1" customWidth="1"/>
    <col min="1287" max="1287" width="9" style="2959"/>
    <col min="1288" max="1288" width="9.375" style="2959" bestFit="1" customWidth="1"/>
    <col min="1289" max="1289" width="9" style="2959"/>
    <col min="1290" max="1290" width="9.375" style="2959" bestFit="1" customWidth="1"/>
    <col min="1291" max="1291" width="9" style="2959"/>
    <col min="1292" max="1292" width="9.375" style="2959" bestFit="1" customWidth="1"/>
    <col min="1293" max="1293" width="9" style="2959"/>
    <col min="1294" max="1294" width="10.25" style="2959" bestFit="1" customWidth="1"/>
    <col min="1295" max="1537" width="9" style="2959"/>
    <col min="1538" max="1538" width="11.625" style="2959" bestFit="1" customWidth="1"/>
    <col min="1539" max="1539" width="9" style="2959"/>
    <col min="1540" max="1540" width="9.375" style="2959" bestFit="1" customWidth="1"/>
    <col min="1541" max="1541" width="9" style="2959"/>
    <col min="1542" max="1542" width="10.25" style="2959" bestFit="1" customWidth="1"/>
    <col min="1543" max="1543" width="9" style="2959"/>
    <col min="1544" max="1544" width="9.375" style="2959" bestFit="1" customWidth="1"/>
    <col min="1545" max="1545" width="9" style="2959"/>
    <col min="1546" max="1546" width="9.375" style="2959" bestFit="1" customWidth="1"/>
    <col min="1547" max="1547" width="9" style="2959"/>
    <col min="1548" max="1548" width="9.375" style="2959" bestFit="1" customWidth="1"/>
    <col min="1549" max="1549" width="9" style="2959"/>
    <col min="1550" max="1550" width="10.25" style="2959" bestFit="1" customWidth="1"/>
    <col min="1551" max="1793" width="9" style="2959"/>
    <col min="1794" max="1794" width="11.625" style="2959" bestFit="1" customWidth="1"/>
    <col min="1795" max="1795" width="9" style="2959"/>
    <col min="1796" max="1796" width="9.375" style="2959" bestFit="1" customWidth="1"/>
    <col min="1797" max="1797" width="9" style="2959"/>
    <col min="1798" max="1798" width="10.25" style="2959" bestFit="1" customWidth="1"/>
    <col min="1799" max="1799" width="9" style="2959"/>
    <col min="1800" max="1800" width="9.375" style="2959" bestFit="1" customWidth="1"/>
    <col min="1801" max="1801" width="9" style="2959"/>
    <col min="1802" max="1802" width="9.375" style="2959" bestFit="1" customWidth="1"/>
    <col min="1803" max="1803" width="9" style="2959"/>
    <col min="1804" max="1804" width="9.375" style="2959" bestFit="1" customWidth="1"/>
    <col min="1805" max="1805" width="9" style="2959"/>
    <col min="1806" max="1806" width="10.25" style="2959" bestFit="1" customWidth="1"/>
    <col min="1807" max="2049" width="9" style="2959"/>
    <col min="2050" max="2050" width="11.625" style="2959" bestFit="1" customWidth="1"/>
    <col min="2051" max="2051" width="9" style="2959"/>
    <col min="2052" max="2052" width="9.375" style="2959" bestFit="1" customWidth="1"/>
    <col min="2053" max="2053" width="9" style="2959"/>
    <col min="2054" max="2054" width="10.25" style="2959" bestFit="1" customWidth="1"/>
    <col min="2055" max="2055" width="9" style="2959"/>
    <col min="2056" max="2056" width="9.375" style="2959" bestFit="1" customWidth="1"/>
    <col min="2057" max="2057" width="9" style="2959"/>
    <col min="2058" max="2058" width="9.375" style="2959" bestFit="1" customWidth="1"/>
    <col min="2059" max="2059" width="9" style="2959"/>
    <col min="2060" max="2060" width="9.375" style="2959" bestFit="1" customWidth="1"/>
    <col min="2061" max="2061" width="9" style="2959"/>
    <col min="2062" max="2062" width="10.25" style="2959" bestFit="1" customWidth="1"/>
    <col min="2063" max="2305" width="9" style="2959"/>
    <col min="2306" max="2306" width="11.625" style="2959" bestFit="1" customWidth="1"/>
    <col min="2307" max="2307" width="9" style="2959"/>
    <col min="2308" max="2308" width="9.375" style="2959" bestFit="1" customWidth="1"/>
    <col min="2309" max="2309" width="9" style="2959"/>
    <col min="2310" max="2310" width="10.25" style="2959" bestFit="1" customWidth="1"/>
    <col min="2311" max="2311" width="9" style="2959"/>
    <col min="2312" max="2312" width="9.375" style="2959" bestFit="1" customWidth="1"/>
    <col min="2313" max="2313" width="9" style="2959"/>
    <col min="2314" max="2314" width="9.375" style="2959" bestFit="1" customWidth="1"/>
    <col min="2315" max="2315" width="9" style="2959"/>
    <col min="2316" max="2316" width="9.375" style="2959" bestFit="1" customWidth="1"/>
    <col min="2317" max="2317" width="9" style="2959"/>
    <col min="2318" max="2318" width="10.25" style="2959" bestFit="1" customWidth="1"/>
    <col min="2319" max="2561" width="9" style="2959"/>
    <col min="2562" max="2562" width="11.625" style="2959" bestFit="1" customWidth="1"/>
    <col min="2563" max="2563" width="9" style="2959"/>
    <col min="2564" max="2564" width="9.375" style="2959" bestFit="1" customWidth="1"/>
    <col min="2565" max="2565" width="9" style="2959"/>
    <col min="2566" max="2566" width="10.25" style="2959" bestFit="1" customWidth="1"/>
    <col min="2567" max="2567" width="9" style="2959"/>
    <col min="2568" max="2568" width="9.375" style="2959" bestFit="1" customWidth="1"/>
    <col min="2569" max="2569" width="9" style="2959"/>
    <col min="2570" max="2570" width="9.375" style="2959" bestFit="1" customWidth="1"/>
    <col min="2571" max="2571" width="9" style="2959"/>
    <col min="2572" max="2572" width="9.375" style="2959" bestFit="1" customWidth="1"/>
    <col min="2573" max="2573" width="9" style="2959"/>
    <col min="2574" max="2574" width="10.25" style="2959" bestFit="1" customWidth="1"/>
    <col min="2575" max="2817" width="9" style="2959"/>
    <col min="2818" max="2818" width="11.625" style="2959" bestFit="1" customWidth="1"/>
    <col min="2819" max="2819" width="9" style="2959"/>
    <col min="2820" max="2820" width="9.375" style="2959" bestFit="1" customWidth="1"/>
    <col min="2821" max="2821" width="9" style="2959"/>
    <col min="2822" max="2822" width="10.25" style="2959" bestFit="1" customWidth="1"/>
    <col min="2823" max="2823" width="9" style="2959"/>
    <col min="2824" max="2824" width="9.375" style="2959" bestFit="1" customWidth="1"/>
    <col min="2825" max="2825" width="9" style="2959"/>
    <col min="2826" max="2826" width="9.375" style="2959" bestFit="1" customWidth="1"/>
    <col min="2827" max="2827" width="9" style="2959"/>
    <col min="2828" max="2828" width="9.375" style="2959" bestFit="1" customWidth="1"/>
    <col min="2829" max="2829" width="9" style="2959"/>
    <col min="2830" max="2830" width="10.25" style="2959" bestFit="1" customWidth="1"/>
    <col min="2831" max="3073" width="9" style="2959"/>
    <col min="3074" max="3074" width="11.625" style="2959" bestFit="1" customWidth="1"/>
    <col min="3075" max="3075" width="9" style="2959"/>
    <col min="3076" max="3076" width="9.375" style="2959" bestFit="1" customWidth="1"/>
    <col min="3077" max="3077" width="9" style="2959"/>
    <col min="3078" max="3078" width="10.25" style="2959" bestFit="1" customWidth="1"/>
    <col min="3079" max="3079" width="9" style="2959"/>
    <col min="3080" max="3080" width="9.375" style="2959" bestFit="1" customWidth="1"/>
    <col min="3081" max="3081" width="9" style="2959"/>
    <col min="3082" max="3082" width="9.375" style="2959" bestFit="1" customWidth="1"/>
    <col min="3083" max="3083" width="9" style="2959"/>
    <col min="3084" max="3084" width="9.375" style="2959" bestFit="1" customWidth="1"/>
    <col min="3085" max="3085" width="9" style="2959"/>
    <col min="3086" max="3086" width="10.25" style="2959" bestFit="1" customWidth="1"/>
    <col min="3087" max="3329" width="9" style="2959"/>
    <col min="3330" max="3330" width="11.625" style="2959" bestFit="1" customWidth="1"/>
    <col min="3331" max="3331" width="9" style="2959"/>
    <col min="3332" max="3332" width="9.375" style="2959" bestFit="1" customWidth="1"/>
    <col min="3333" max="3333" width="9" style="2959"/>
    <col min="3334" max="3334" width="10.25" style="2959" bestFit="1" customWidth="1"/>
    <col min="3335" max="3335" width="9" style="2959"/>
    <col min="3336" max="3336" width="9.375" style="2959" bestFit="1" customWidth="1"/>
    <col min="3337" max="3337" width="9" style="2959"/>
    <col min="3338" max="3338" width="9.375" style="2959" bestFit="1" customWidth="1"/>
    <col min="3339" max="3339" width="9" style="2959"/>
    <col min="3340" max="3340" width="9.375" style="2959" bestFit="1" customWidth="1"/>
    <col min="3341" max="3341" width="9" style="2959"/>
    <col min="3342" max="3342" width="10.25" style="2959" bestFit="1" customWidth="1"/>
    <col min="3343" max="3585" width="9" style="2959"/>
    <col min="3586" max="3586" width="11.625" style="2959" bestFit="1" customWidth="1"/>
    <col min="3587" max="3587" width="9" style="2959"/>
    <col min="3588" max="3588" width="9.375" style="2959" bestFit="1" customWidth="1"/>
    <col min="3589" max="3589" width="9" style="2959"/>
    <col min="3590" max="3590" width="10.25" style="2959" bestFit="1" customWidth="1"/>
    <col min="3591" max="3591" width="9" style="2959"/>
    <col min="3592" max="3592" width="9.375" style="2959" bestFit="1" customWidth="1"/>
    <col min="3593" max="3593" width="9" style="2959"/>
    <col min="3594" max="3594" width="9.375" style="2959" bestFit="1" customWidth="1"/>
    <col min="3595" max="3595" width="9" style="2959"/>
    <col min="3596" max="3596" width="9.375" style="2959" bestFit="1" customWidth="1"/>
    <col min="3597" max="3597" width="9" style="2959"/>
    <col min="3598" max="3598" width="10.25" style="2959" bestFit="1" customWidth="1"/>
    <col min="3599" max="3841" width="9" style="2959"/>
    <col min="3842" max="3842" width="11.625" style="2959" bestFit="1" customWidth="1"/>
    <col min="3843" max="3843" width="9" style="2959"/>
    <col min="3844" max="3844" width="9.375" style="2959" bestFit="1" customWidth="1"/>
    <col min="3845" max="3845" width="9" style="2959"/>
    <col min="3846" max="3846" width="10.25" style="2959" bestFit="1" customWidth="1"/>
    <col min="3847" max="3847" width="9" style="2959"/>
    <col min="3848" max="3848" width="9.375" style="2959" bestFit="1" customWidth="1"/>
    <col min="3849" max="3849" width="9" style="2959"/>
    <col min="3850" max="3850" width="9.375" style="2959" bestFit="1" customWidth="1"/>
    <col min="3851" max="3851" width="9" style="2959"/>
    <col min="3852" max="3852" width="9.375" style="2959" bestFit="1" customWidth="1"/>
    <col min="3853" max="3853" width="9" style="2959"/>
    <col min="3854" max="3854" width="10.25" style="2959" bestFit="1" customWidth="1"/>
    <col min="3855" max="4097" width="9" style="2959"/>
    <col min="4098" max="4098" width="11.625" style="2959" bestFit="1" customWidth="1"/>
    <col min="4099" max="4099" width="9" style="2959"/>
    <col min="4100" max="4100" width="9.375" style="2959" bestFit="1" customWidth="1"/>
    <col min="4101" max="4101" width="9" style="2959"/>
    <col min="4102" max="4102" width="10.25" style="2959" bestFit="1" customWidth="1"/>
    <col min="4103" max="4103" width="9" style="2959"/>
    <col min="4104" max="4104" width="9.375" style="2959" bestFit="1" customWidth="1"/>
    <col min="4105" max="4105" width="9" style="2959"/>
    <col min="4106" max="4106" width="9.375" style="2959" bestFit="1" customWidth="1"/>
    <col min="4107" max="4107" width="9" style="2959"/>
    <col min="4108" max="4108" width="9.375" style="2959" bestFit="1" customWidth="1"/>
    <col min="4109" max="4109" width="9" style="2959"/>
    <col min="4110" max="4110" width="10.25" style="2959" bestFit="1" customWidth="1"/>
    <col min="4111" max="4353" width="9" style="2959"/>
    <col min="4354" max="4354" width="11.625" style="2959" bestFit="1" customWidth="1"/>
    <col min="4355" max="4355" width="9" style="2959"/>
    <col min="4356" max="4356" width="9.375" style="2959" bestFit="1" customWidth="1"/>
    <col min="4357" max="4357" width="9" style="2959"/>
    <col min="4358" max="4358" width="10.25" style="2959" bestFit="1" customWidth="1"/>
    <col min="4359" max="4359" width="9" style="2959"/>
    <col min="4360" max="4360" width="9.375" style="2959" bestFit="1" customWidth="1"/>
    <col min="4361" max="4361" width="9" style="2959"/>
    <col min="4362" max="4362" width="9.375" style="2959" bestFit="1" customWidth="1"/>
    <col min="4363" max="4363" width="9" style="2959"/>
    <col min="4364" max="4364" width="9.375" style="2959" bestFit="1" customWidth="1"/>
    <col min="4365" max="4365" width="9" style="2959"/>
    <col min="4366" max="4366" width="10.25" style="2959" bestFit="1" customWidth="1"/>
    <col min="4367" max="4609" width="9" style="2959"/>
    <col min="4610" max="4610" width="11.625" style="2959" bestFit="1" customWidth="1"/>
    <col min="4611" max="4611" width="9" style="2959"/>
    <col min="4612" max="4612" width="9.375" style="2959" bestFit="1" customWidth="1"/>
    <col min="4613" max="4613" width="9" style="2959"/>
    <col min="4614" max="4614" width="10.25" style="2959" bestFit="1" customWidth="1"/>
    <col min="4615" max="4615" width="9" style="2959"/>
    <col min="4616" max="4616" width="9.375" style="2959" bestFit="1" customWidth="1"/>
    <col min="4617" max="4617" width="9" style="2959"/>
    <col min="4618" max="4618" width="9.375" style="2959" bestFit="1" customWidth="1"/>
    <col min="4619" max="4619" width="9" style="2959"/>
    <col min="4620" max="4620" width="9.375" style="2959" bestFit="1" customWidth="1"/>
    <col min="4621" max="4621" width="9" style="2959"/>
    <col min="4622" max="4622" width="10.25" style="2959" bestFit="1" customWidth="1"/>
    <col min="4623" max="4865" width="9" style="2959"/>
    <col min="4866" max="4866" width="11.625" style="2959" bestFit="1" customWidth="1"/>
    <col min="4867" max="4867" width="9" style="2959"/>
    <col min="4868" max="4868" width="9.375" style="2959" bestFit="1" customWidth="1"/>
    <col min="4869" max="4869" width="9" style="2959"/>
    <col min="4870" max="4870" width="10.25" style="2959" bestFit="1" customWidth="1"/>
    <col min="4871" max="4871" width="9" style="2959"/>
    <col min="4872" max="4872" width="9.375" style="2959" bestFit="1" customWidth="1"/>
    <col min="4873" max="4873" width="9" style="2959"/>
    <col min="4874" max="4874" width="9.375" style="2959" bestFit="1" customWidth="1"/>
    <col min="4875" max="4875" width="9" style="2959"/>
    <col min="4876" max="4876" width="9.375" style="2959" bestFit="1" customWidth="1"/>
    <col min="4877" max="4877" width="9" style="2959"/>
    <col min="4878" max="4878" width="10.25" style="2959" bestFit="1" customWidth="1"/>
    <col min="4879" max="5121" width="9" style="2959"/>
    <col min="5122" max="5122" width="11.625" style="2959" bestFit="1" customWidth="1"/>
    <col min="5123" max="5123" width="9" style="2959"/>
    <col min="5124" max="5124" width="9.375" style="2959" bestFit="1" customWidth="1"/>
    <col min="5125" max="5125" width="9" style="2959"/>
    <col min="5126" max="5126" width="10.25" style="2959" bestFit="1" customWidth="1"/>
    <col min="5127" max="5127" width="9" style="2959"/>
    <col min="5128" max="5128" width="9.375" style="2959" bestFit="1" customWidth="1"/>
    <col min="5129" max="5129" width="9" style="2959"/>
    <col min="5130" max="5130" width="9.375" style="2959" bestFit="1" customWidth="1"/>
    <col min="5131" max="5131" width="9" style="2959"/>
    <col min="5132" max="5132" width="9.375" style="2959" bestFit="1" customWidth="1"/>
    <col min="5133" max="5133" width="9" style="2959"/>
    <col min="5134" max="5134" width="10.25" style="2959" bestFit="1" customWidth="1"/>
    <col min="5135" max="5377" width="9" style="2959"/>
    <col min="5378" max="5378" width="11.625" style="2959" bestFit="1" customWidth="1"/>
    <col min="5379" max="5379" width="9" style="2959"/>
    <col min="5380" max="5380" width="9.375" style="2959" bestFit="1" customWidth="1"/>
    <col min="5381" max="5381" width="9" style="2959"/>
    <col min="5382" max="5382" width="10.25" style="2959" bestFit="1" customWidth="1"/>
    <col min="5383" max="5383" width="9" style="2959"/>
    <col min="5384" max="5384" width="9.375" style="2959" bestFit="1" customWidth="1"/>
    <col min="5385" max="5385" width="9" style="2959"/>
    <col min="5386" max="5386" width="9.375" style="2959" bestFit="1" customWidth="1"/>
    <col min="5387" max="5387" width="9" style="2959"/>
    <col min="5388" max="5388" width="9.375" style="2959" bestFit="1" customWidth="1"/>
    <col min="5389" max="5389" width="9" style="2959"/>
    <col min="5390" max="5390" width="10.25" style="2959" bestFit="1" customWidth="1"/>
    <col min="5391" max="5633" width="9" style="2959"/>
    <col min="5634" max="5634" width="11.625" style="2959" bestFit="1" customWidth="1"/>
    <col min="5635" max="5635" width="9" style="2959"/>
    <col min="5636" max="5636" width="9.375" style="2959" bestFit="1" customWidth="1"/>
    <col min="5637" max="5637" width="9" style="2959"/>
    <col min="5638" max="5638" width="10.25" style="2959" bestFit="1" customWidth="1"/>
    <col min="5639" max="5639" width="9" style="2959"/>
    <col min="5640" max="5640" width="9.375" style="2959" bestFit="1" customWidth="1"/>
    <col min="5641" max="5641" width="9" style="2959"/>
    <col min="5642" max="5642" width="9.375" style="2959" bestFit="1" customWidth="1"/>
    <col min="5643" max="5643" width="9" style="2959"/>
    <col min="5644" max="5644" width="9.375" style="2959" bestFit="1" customWidth="1"/>
    <col min="5645" max="5645" width="9" style="2959"/>
    <col min="5646" max="5646" width="10.25" style="2959" bestFit="1" customWidth="1"/>
    <col min="5647" max="5889" width="9" style="2959"/>
    <col min="5890" max="5890" width="11.625" style="2959" bestFit="1" customWidth="1"/>
    <col min="5891" max="5891" width="9" style="2959"/>
    <col min="5892" max="5892" width="9.375" style="2959" bestFit="1" customWidth="1"/>
    <col min="5893" max="5893" width="9" style="2959"/>
    <col min="5894" max="5894" width="10.25" style="2959" bestFit="1" customWidth="1"/>
    <col min="5895" max="5895" width="9" style="2959"/>
    <col min="5896" max="5896" width="9.375" style="2959" bestFit="1" customWidth="1"/>
    <col min="5897" max="5897" width="9" style="2959"/>
    <col min="5898" max="5898" width="9.375" style="2959" bestFit="1" customWidth="1"/>
    <col min="5899" max="5899" width="9" style="2959"/>
    <col min="5900" max="5900" width="9.375" style="2959" bestFit="1" customWidth="1"/>
    <col min="5901" max="5901" width="9" style="2959"/>
    <col min="5902" max="5902" width="10.25" style="2959" bestFit="1" customWidth="1"/>
    <col min="5903" max="6145" width="9" style="2959"/>
    <col min="6146" max="6146" width="11.625" style="2959" bestFit="1" customWidth="1"/>
    <col min="6147" max="6147" width="9" style="2959"/>
    <col min="6148" max="6148" width="9.375" style="2959" bestFit="1" customWidth="1"/>
    <col min="6149" max="6149" width="9" style="2959"/>
    <col min="6150" max="6150" width="10.25" style="2959" bestFit="1" customWidth="1"/>
    <col min="6151" max="6151" width="9" style="2959"/>
    <col min="6152" max="6152" width="9.375" style="2959" bestFit="1" customWidth="1"/>
    <col min="6153" max="6153" width="9" style="2959"/>
    <col min="6154" max="6154" width="9.375" style="2959" bestFit="1" customWidth="1"/>
    <col min="6155" max="6155" width="9" style="2959"/>
    <col min="6156" max="6156" width="9.375" style="2959" bestFit="1" customWidth="1"/>
    <col min="6157" max="6157" width="9" style="2959"/>
    <col min="6158" max="6158" width="10.25" style="2959" bestFit="1" customWidth="1"/>
    <col min="6159" max="6401" width="9" style="2959"/>
    <col min="6402" max="6402" width="11.625" style="2959" bestFit="1" customWidth="1"/>
    <col min="6403" max="6403" width="9" style="2959"/>
    <col min="6404" max="6404" width="9.375" style="2959" bestFit="1" customWidth="1"/>
    <col min="6405" max="6405" width="9" style="2959"/>
    <col min="6406" max="6406" width="10.25" style="2959" bestFit="1" customWidth="1"/>
    <col min="6407" max="6407" width="9" style="2959"/>
    <col min="6408" max="6408" width="9.375" style="2959" bestFit="1" customWidth="1"/>
    <col min="6409" max="6409" width="9" style="2959"/>
    <col min="6410" max="6410" width="9.375" style="2959" bestFit="1" customWidth="1"/>
    <col min="6411" max="6411" width="9" style="2959"/>
    <col min="6412" max="6412" width="9.375" style="2959" bestFit="1" customWidth="1"/>
    <col min="6413" max="6413" width="9" style="2959"/>
    <col min="6414" max="6414" width="10.25" style="2959" bestFit="1" customWidth="1"/>
    <col min="6415" max="6657" width="9" style="2959"/>
    <col min="6658" max="6658" width="11.625" style="2959" bestFit="1" customWidth="1"/>
    <col min="6659" max="6659" width="9" style="2959"/>
    <col min="6660" max="6660" width="9.375" style="2959" bestFit="1" customWidth="1"/>
    <col min="6661" max="6661" width="9" style="2959"/>
    <col min="6662" max="6662" width="10.25" style="2959" bestFit="1" customWidth="1"/>
    <col min="6663" max="6663" width="9" style="2959"/>
    <col min="6664" max="6664" width="9.375" style="2959" bestFit="1" customWidth="1"/>
    <col min="6665" max="6665" width="9" style="2959"/>
    <col min="6666" max="6666" width="9.375" style="2959" bestFit="1" customWidth="1"/>
    <col min="6667" max="6667" width="9" style="2959"/>
    <col min="6668" max="6668" width="9.375" style="2959" bestFit="1" customWidth="1"/>
    <col min="6669" max="6669" width="9" style="2959"/>
    <col min="6670" max="6670" width="10.25" style="2959" bestFit="1" customWidth="1"/>
    <col min="6671" max="6913" width="9" style="2959"/>
    <col min="6914" max="6914" width="11.625" style="2959" bestFit="1" customWidth="1"/>
    <col min="6915" max="6915" width="9" style="2959"/>
    <col min="6916" max="6916" width="9.375" style="2959" bestFit="1" customWidth="1"/>
    <col min="6917" max="6917" width="9" style="2959"/>
    <col min="6918" max="6918" width="10.25" style="2959" bestFit="1" customWidth="1"/>
    <col min="6919" max="6919" width="9" style="2959"/>
    <col min="6920" max="6920" width="9.375" style="2959" bestFit="1" customWidth="1"/>
    <col min="6921" max="6921" width="9" style="2959"/>
    <col min="6922" max="6922" width="9.375" style="2959" bestFit="1" customWidth="1"/>
    <col min="6923" max="6923" width="9" style="2959"/>
    <col min="6924" max="6924" width="9.375" style="2959" bestFit="1" customWidth="1"/>
    <col min="6925" max="6925" width="9" style="2959"/>
    <col min="6926" max="6926" width="10.25" style="2959" bestFit="1" customWidth="1"/>
    <col min="6927" max="7169" width="9" style="2959"/>
    <col min="7170" max="7170" width="11.625" style="2959" bestFit="1" customWidth="1"/>
    <col min="7171" max="7171" width="9" style="2959"/>
    <col min="7172" max="7172" width="9.375" style="2959" bestFit="1" customWidth="1"/>
    <col min="7173" max="7173" width="9" style="2959"/>
    <col min="7174" max="7174" width="10.25" style="2959" bestFit="1" customWidth="1"/>
    <col min="7175" max="7175" width="9" style="2959"/>
    <col min="7176" max="7176" width="9.375" style="2959" bestFit="1" customWidth="1"/>
    <col min="7177" max="7177" width="9" style="2959"/>
    <col min="7178" max="7178" width="9.375" style="2959" bestFit="1" customWidth="1"/>
    <col min="7179" max="7179" width="9" style="2959"/>
    <col min="7180" max="7180" width="9.375" style="2959" bestFit="1" customWidth="1"/>
    <col min="7181" max="7181" width="9" style="2959"/>
    <col min="7182" max="7182" width="10.25" style="2959" bestFit="1" customWidth="1"/>
    <col min="7183" max="7425" width="9" style="2959"/>
    <col min="7426" max="7426" width="11.625" style="2959" bestFit="1" customWidth="1"/>
    <col min="7427" max="7427" width="9" style="2959"/>
    <col min="7428" max="7428" width="9.375" style="2959" bestFit="1" customWidth="1"/>
    <col min="7429" max="7429" width="9" style="2959"/>
    <col min="7430" max="7430" width="10.25" style="2959" bestFit="1" customWidth="1"/>
    <col min="7431" max="7431" width="9" style="2959"/>
    <col min="7432" max="7432" width="9.375" style="2959" bestFit="1" customWidth="1"/>
    <col min="7433" max="7433" width="9" style="2959"/>
    <col min="7434" max="7434" width="9.375" style="2959" bestFit="1" customWidth="1"/>
    <col min="7435" max="7435" width="9" style="2959"/>
    <col min="7436" max="7436" width="9.375" style="2959" bestFit="1" customWidth="1"/>
    <col min="7437" max="7437" width="9" style="2959"/>
    <col min="7438" max="7438" width="10.25" style="2959" bestFit="1" customWidth="1"/>
    <col min="7439" max="7681" width="9" style="2959"/>
    <col min="7682" max="7682" width="11.625" style="2959" bestFit="1" customWidth="1"/>
    <col min="7683" max="7683" width="9" style="2959"/>
    <col min="7684" max="7684" width="9.375" style="2959" bestFit="1" customWidth="1"/>
    <col min="7685" max="7685" width="9" style="2959"/>
    <col min="7686" max="7686" width="10.25" style="2959" bestFit="1" customWidth="1"/>
    <col min="7687" max="7687" width="9" style="2959"/>
    <col min="7688" max="7688" width="9.375" style="2959" bestFit="1" customWidth="1"/>
    <col min="7689" max="7689" width="9" style="2959"/>
    <col min="7690" max="7690" width="9.375" style="2959" bestFit="1" customWidth="1"/>
    <col min="7691" max="7691" width="9" style="2959"/>
    <col min="7692" max="7692" width="9.375" style="2959" bestFit="1" customWidth="1"/>
    <col min="7693" max="7693" width="9" style="2959"/>
    <col min="7694" max="7694" width="10.25" style="2959" bestFit="1" customWidth="1"/>
    <col min="7695" max="7937" width="9" style="2959"/>
    <col min="7938" max="7938" width="11.625" style="2959" bestFit="1" customWidth="1"/>
    <col min="7939" max="7939" width="9" style="2959"/>
    <col min="7940" max="7940" width="9.375" style="2959" bestFit="1" customWidth="1"/>
    <col min="7941" max="7941" width="9" style="2959"/>
    <col min="7942" max="7942" width="10.25" style="2959" bestFit="1" customWidth="1"/>
    <col min="7943" max="7943" width="9" style="2959"/>
    <col min="7944" max="7944" width="9.375" style="2959" bestFit="1" customWidth="1"/>
    <col min="7945" max="7945" width="9" style="2959"/>
    <col min="7946" max="7946" width="9.375" style="2959" bestFit="1" customWidth="1"/>
    <col min="7947" max="7947" width="9" style="2959"/>
    <col min="7948" max="7948" width="9.375" style="2959" bestFit="1" customWidth="1"/>
    <col min="7949" max="7949" width="9" style="2959"/>
    <col min="7950" max="7950" width="10.25" style="2959" bestFit="1" customWidth="1"/>
    <col min="7951" max="8193" width="9" style="2959"/>
    <col min="8194" max="8194" width="11.625" style="2959" bestFit="1" customWidth="1"/>
    <col min="8195" max="8195" width="9" style="2959"/>
    <col min="8196" max="8196" width="9.375" style="2959" bestFit="1" customWidth="1"/>
    <col min="8197" max="8197" width="9" style="2959"/>
    <col min="8198" max="8198" width="10.25" style="2959" bestFit="1" customWidth="1"/>
    <col min="8199" max="8199" width="9" style="2959"/>
    <col min="8200" max="8200" width="9.375" style="2959" bestFit="1" customWidth="1"/>
    <col min="8201" max="8201" width="9" style="2959"/>
    <col min="8202" max="8202" width="9.375" style="2959" bestFit="1" customWidth="1"/>
    <col min="8203" max="8203" width="9" style="2959"/>
    <col min="8204" max="8204" width="9.375" style="2959" bestFit="1" customWidth="1"/>
    <col min="8205" max="8205" width="9" style="2959"/>
    <col min="8206" max="8206" width="10.25" style="2959" bestFit="1" customWidth="1"/>
    <col min="8207" max="8449" width="9" style="2959"/>
    <col min="8450" max="8450" width="11.625" style="2959" bestFit="1" customWidth="1"/>
    <col min="8451" max="8451" width="9" style="2959"/>
    <col min="8452" max="8452" width="9.375" style="2959" bestFit="1" customWidth="1"/>
    <col min="8453" max="8453" width="9" style="2959"/>
    <col min="8454" max="8454" width="10.25" style="2959" bestFit="1" customWidth="1"/>
    <col min="8455" max="8455" width="9" style="2959"/>
    <col min="8456" max="8456" width="9.375" style="2959" bestFit="1" customWidth="1"/>
    <col min="8457" max="8457" width="9" style="2959"/>
    <col min="8458" max="8458" width="9.375" style="2959" bestFit="1" customWidth="1"/>
    <col min="8459" max="8459" width="9" style="2959"/>
    <col min="8460" max="8460" width="9.375" style="2959" bestFit="1" customWidth="1"/>
    <col min="8461" max="8461" width="9" style="2959"/>
    <col min="8462" max="8462" width="10.25" style="2959" bestFit="1" customWidth="1"/>
    <col min="8463" max="8705" width="9" style="2959"/>
    <col min="8706" max="8706" width="11.625" style="2959" bestFit="1" customWidth="1"/>
    <col min="8707" max="8707" width="9" style="2959"/>
    <col min="8708" max="8708" width="9.375" style="2959" bestFit="1" customWidth="1"/>
    <col min="8709" max="8709" width="9" style="2959"/>
    <col min="8710" max="8710" width="10.25" style="2959" bestFit="1" customWidth="1"/>
    <col min="8711" max="8711" width="9" style="2959"/>
    <col min="8712" max="8712" width="9.375" style="2959" bestFit="1" customWidth="1"/>
    <col min="8713" max="8713" width="9" style="2959"/>
    <col min="8714" max="8714" width="9.375" style="2959" bestFit="1" customWidth="1"/>
    <col min="8715" max="8715" width="9" style="2959"/>
    <col min="8716" max="8716" width="9.375" style="2959" bestFit="1" customWidth="1"/>
    <col min="8717" max="8717" width="9" style="2959"/>
    <col min="8718" max="8718" width="10.25" style="2959" bestFit="1" customWidth="1"/>
    <col min="8719" max="8961" width="9" style="2959"/>
    <col min="8962" max="8962" width="11.625" style="2959" bestFit="1" customWidth="1"/>
    <col min="8963" max="8963" width="9" style="2959"/>
    <col min="8964" max="8964" width="9.375" style="2959" bestFit="1" customWidth="1"/>
    <col min="8965" max="8965" width="9" style="2959"/>
    <col min="8966" max="8966" width="10.25" style="2959" bestFit="1" customWidth="1"/>
    <col min="8967" max="8967" width="9" style="2959"/>
    <col min="8968" max="8968" width="9.375" style="2959" bestFit="1" customWidth="1"/>
    <col min="8969" max="8969" width="9" style="2959"/>
    <col min="8970" max="8970" width="9.375" style="2959" bestFit="1" customWidth="1"/>
    <col min="8971" max="8971" width="9" style="2959"/>
    <col min="8972" max="8972" width="9.375" style="2959" bestFit="1" customWidth="1"/>
    <col min="8973" max="8973" width="9" style="2959"/>
    <col min="8974" max="8974" width="10.25" style="2959" bestFit="1" customWidth="1"/>
    <col min="8975" max="9217" width="9" style="2959"/>
    <col min="9218" max="9218" width="11.625" style="2959" bestFit="1" customWidth="1"/>
    <col min="9219" max="9219" width="9" style="2959"/>
    <col min="9220" max="9220" width="9.375" style="2959" bestFit="1" customWidth="1"/>
    <col min="9221" max="9221" width="9" style="2959"/>
    <col min="9222" max="9222" width="10.25" style="2959" bestFit="1" customWidth="1"/>
    <col min="9223" max="9223" width="9" style="2959"/>
    <col min="9224" max="9224" width="9.375" style="2959" bestFit="1" customWidth="1"/>
    <col min="9225" max="9225" width="9" style="2959"/>
    <col min="9226" max="9226" width="9.375" style="2959" bestFit="1" customWidth="1"/>
    <col min="9227" max="9227" width="9" style="2959"/>
    <col min="9228" max="9228" width="9.375" style="2959" bestFit="1" customWidth="1"/>
    <col min="9229" max="9229" width="9" style="2959"/>
    <col min="9230" max="9230" width="10.25" style="2959" bestFit="1" customWidth="1"/>
    <col min="9231" max="9473" width="9" style="2959"/>
    <col min="9474" max="9474" width="11.625" style="2959" bestFit="1" customWidth="1"/>
    <col min="9475" max="9475" width="9" style="2959"/>
    <col min="9476" max="9476" width="9.375" style="2959" bestFit="1" customWidth="1"/>
    <col min="9477" max="9477" width="9" style="2959"/>
    <col min="9478" max="9478" width="10.25" style="2959" bestFit="1" customWidth="1"/>
    <col min="9479" max="9479" width="9" style="2959"/>
    <col min="9480" max="9480" width="9.375" style="2959" bestFit="1" customWidth="1"/>
    <col min="9481" max="9481" width="9" style="2959"/>
    <col min="9482" max="9482" width="9.375" style="2959" bestFit="1" customWidth="1"/>
    <col min="9483" max="9483" width="9" style="2959"/>
    <col min="9484" max="9484" width="9.375" style="2959" bestFit="1" customWidth="1"/>
    <col min="9485" max="9485" width="9" style="2959"/>
    <col min="9486" max="9486" width="10.25" style="2959" bestFit="1" customWidth="1"/>
    <col min="9487" max="9729" width="9" style="2959"/>
    <col min="9730" max="9730" width="11.625" style="2959" bestFit="1" customWidth="1"/>
    <col min="9731" max="9731" width="9" style="2959"/>
    <col min="9732" max="9732" width="9.375" style="2959" bestFit="1" customWidth="1"/>
    <col min="9733" max="9733" width="9" style="2959"/>
    <col min="9734" max="9734" width="10.25" style="2959" bestFit="1" customWidth="1"/>
    <col min="9735" max="9735" width="9" style="2959"/>
    <col min="9736" max="9736" width="9.375" style="2959" bestFit="1" customWidth="1"/>
    <col min="9737" max="9737" width="9" style="2959"/>
    <col min="9738" max="9738" width="9.375" style="2959" bestFit="1" customWidth="1"/>
    <col min="9739" max="9739" width="9" style="2959"/>
    <col min="9740" max="9740" width="9.375" style="2959" bestFit="1" customWidth="1"/>
    <col min="9741" max="9741" width="9" style="2959"/>
    <col min="9742" max="9742" width="10.25" style="2959" bestFit="1" customWidth="1"/>
    <col min="9743" max="9985" width="9" style="2959"/>
    <col min="9986" max="9986" width="11.625" style="2959" bestFit="1" customWidth="1"/>
    <col min="9987" max="9987" width="9" style="2959"/>
    <col min="9988" max="9988" width="9.375" style="2959" bestFit="1" customWidth="1"/>
    <col min="9989" max="9989" width="9" style="2959"/>
    <col min="9990" max="9990" width="10.25" style="2959" bestFit="1" customWidth="1"/>
    <col min="9991" max="9991" width="9" style="2959"/>
    <col min="9992" max="9992" width="9.375" style="2959" bestFit="1" customWidth="1"/>
    <col min="9993" max="9993" width="9" style="2959"/>
    <col min="9994" max="9994" width="9.375" style="2959" bestFit="1" customWidth="1"/>
    <col min="9995" max="9995" width="9" style="2959"/>
    <col min="9996" max="9996" width="9.375" style="2959" bestFit="1" customWidth="1"/>
    <col min="9997" max="9997" width="9" style="2959"/>
    <col min="9998" max="9998" width="10.25" style="2959" bestFit="1" customWidth="1"/>
    <col min="9999" max="10241" width="9" style="2959"/>
    <col min="10242" max="10242" width="11.625" style="2959" bestFit="1" customWidth="1"/>
    <col min="10243" max="10243" width="9" style="2959"/>
    <col min="10244" max="10244" width="9.375" style="2959" bestFit="1" customWidth="1"/>
    <col min="10245" max="10245" width="9" style="2959"/>
    <col min="10246" max="10246" width="10.25" style="2959" bestFit="1" customWidth="1"/>
    <col min="10247" max="10247" width="9" style="2959"/>
    <col min="10248" max="10248" width="9.375" style="2959" bestFit="1" customWidth="1"/>
    <col min="10249" max="10249" width="9" style="2959"/>
    <col min="10250" max="10250" width="9.375" style="2959" bestFit="1" customWidth="1"/>
    <col min="10251" max="10251" width="9" style="2959"/>
    <col min="10252" max="10252" width="9.375" style="2959" bestFit="1" customWidth="1"/>
    <col min="10253" max="10253" width="9" style="2959"/>
    <col min="10254" max="10254" width="10.25" style="2959" bestFit="1" customWidth="1"/>
    <col min="10255" max="10497" width="9" style="2959"/>
    <col min="10498" max="10498" width="11.625" style="2959" bestFit="1" customWidth="1"/>
    <col min="10499" max="10499" width="9" style="2959"/>
    <col min="10500" max="10500" width="9.375" style="2959" bestFit="1" customWidth="1"/>
    <col min="10501" max="10501" width="9" style="2959"/>
    <col min="10502" max="10502" width="10.25" style="2959" bestFit="1" customWidth="1"/>
    <col min="10503" max="10503" width="9" style="2959"/>
    <col min="10504" max="10504" width="9.375" style="2959" bestFit="1" customWidth="1"/>
    <col min="10505" max="10505" width="9" style="2959"/>
    <col min="10506" max="10506" width="9.375" style="2959" bestFit="1" customWidth="1"/>
    <col min="10507" max="10507" width="9" style="2959"/>
    <col min="10508" max="10508" width="9.375" style="2959" bestFit="1" customWidth="1"/>
    <col min="10509" max="10509" width="9" style="2959"/>
    <col min="10510" max="10510" width="10.25" style="2959" bestFit="1" customWidth="1"/>
    <col min="10511" max="10753" width="9" style="2959"/>
    <col min="10754" max="10754" width="11.625" style="2959" bestFit="1" customWidth="1"/>
    <col min="10755" max="10755" width="9" style="2959"/>
    <col min="10756" max="10756" width="9.375" style="2959" bestFit="1" customWidth="1"/>
    <col min="10757" max="10757" width="9" style="2959"/>
    <col min="10758" max="10758" width="10.25" style="2959" bestFit="1" customWidth="1"/>
    <col min="10759" max="10759" width="9" style="2959"/>
    <col min="10760" max="10760" width="9.375" style="2959" bestFit="1" customWidth="1"/>
    <col min="10761" max="10761" width="9" style="2959"/>
    <col min="10762" max="10762" width="9.375" style="2959" bestFit="1" customWidth="1"/>
    <col min="10763" max="10763" width="9" style="2959"/>
    <col min="10764" max="10764" width="9.375" style="2959" bestFit="1" customWidth="1"/>
    <col min="10765" max="10765" width="9" style="2959"/>
    <col min="10766" max="10766" width="10.25" style="2959" bestFit="1" customWidth="1"/>
    <col min="10767" max="11009" width="9" style="2959"/>
    <col min="11010" max="11010" width="11.625" style="2959" bestFit="1" customWidth="1"/>
    <col min="11011" max="11011" width="9" style="2959"/>
    <col min="11012" max="11012" width="9.375" style="2959" bestFit="1" customWidth="1"/>
    <col min="11013" max="11013" width="9" style="2959"/>
    <col min="11014" max="11014" width="10.25" style="2959" bestFit="1" customWidth="1"/>
    <col min="11015" max="11015" width="9" style="2959"/>
    <col min="11016" max="11016" width="9.375" style="2959" bestFit="1" customWidth="1"/>
    <col min="11017" max="11017" width="9" style="2959"/>
    <col min="11018" max="11018" width="9.375" style="2959" bestFit="1" customWidth="1"/>
    <col min="11019" max="11019" width="9" style="2959"/>
    <col min="11020" max="11020" width="9.375" style="2959" bestFit="1" customWidth="1"/>
    <col min="11021" max="11021" width="9" style="2959"/>
    <col min="11022" max="11022" width="10.25" style="2959" bestFit="1" customWidth="1"/>
    <col min="11023" max="11265" width="9" style="2959"/>
    <col min="11266" max="11266" width="11.625" style="2959" bestFit="1" customWidth="1"/>
    <col min="11267" max="11267" width="9" style="2959"/>
    <col min="11268" max="11268" width="9.375" style="2959" bestFit="1" customWidth="1"/>
    <col min="11269" max="11269" width="9" style="2959"/>
    <col min="11270" max="11270" width="10.25" style="2959" bestFit="1" customWidth="1"/>
    <col min="11271" max="11271" width="9" style="2959"/>
    <col min="11272" max="11272" width="9.375" style="2959" bestFit="1" customWidth="1"/>
    <col min="11273" max="11273" width="9" style="2959"/>
    <col min="11274" max="11274" width="9.375" style="2959" bestFit="1" customWidth="1"/>
    <col min="11275" max="11275" width="9" style="2959"/>
    <col min="11276" max="11276" width="9.375" style="2959" bestFit="1" customWidth="1"/>
    <col min="11277" max="11277" width="9" style="2959"/>
    <col min="11278" max="11278" width="10.25" style="2959" bestFit="1" customWidth="1"/>
    <col min="11279" max="11521" width="9" style="2959"/>
    <col min="11522" max="11522" width="11.625" style="2959" bestFit="1" customWidth="1"/>
    <col min="11523" max="11523" width="9" style="2959"/>
    <col min="11524" max="11524" width="9.375" style="2959" bestFit="1" customWidth="1"/>
    <col min="11525" max="11525" width="9" style="2959"/>
    <col min="11526" max="11526" width="10.25" style="2959" bestFit="1" customWidth="1"/>
    <col min="11527" max="11527" width="9" style="2959"/>
    <col min="11528" max="11528" width="9.375" style="2959" bestFit="1" customWidth="1"/>
    <col min="11529" max="11529" width="9" style="2959"/>
    <col min="11530" max="11530" width="9.375" style="2959" bestFit="1" customWidth="1"/>
    <col min="11531" max="11531" width="9" style="2959"/>
    <col min="11532" max="11532" width="9.375" style="2959" bestFit="1" customWidth="1"/>
    <col min="11533" max="11533" width="9" style="2959"/>
    <col min="11534" max="11534" width="10.25" style="2959" bestFit="1" customWidth="1"/>
    <col min="11535" max="11777" width="9" style="2959"/>
    <col min="11778" max="11778" width="11.625" style="2959" bestFit="1" customWidth="1"/>
    <col min="11779" max="11779" width="9" style="2959"/>
    <col min="11780" max="11780" width="9.375" style="2959" bestFit="1" customWidth="1"/>
    <col min="11781" max="11781" width="9" style="2959"/>
    <col min="11782" max="11782" width="10.25" style="2959" bestFit="1" customWidth="1"/>
    <col min="11783" max="11783" width="9" style="2959"/>
    <col min="11784" max="11784" width="9.375" style="2959" bestFit="1" customWidth="1"/>
    <col min="11785" max="11785" width="9" style="2959"/>
    <col min="11786" max="11786" width="9.375" style="2959" bestFit="1" customWidth="1"/>
    <col min="11787" max="11787" width="9" style="2959"/>
    <col min="11788" max="11788" width="9.375" style="2959" bestFit="1" customWidth="1"/>
    <col min="11789" max="11789" width="9" style="2959"/>
    <col min="11790" max="11790" width="10.25" style="2959" bestFit="1" customWidth="1"/>
    <col min="11791" max="12033" width="9" style="2959"/>
    <col min="12034" max="12034" width="11.625" style="2959" bestFit="1" customWidth="1"/>
    <col min="12035" max="12035" width="9" style="2959"/>
    <col min="12036" max="12036" width="9.375" style="2959" bestFit="1" customWidth="1"/>
    <col min="12037" max="12037" width="9" style="2959"/>
    <col min="12038" max="12038" width="10.25" style="2959" bestFit="1" customWidth="1"/>
    <col min="12039" max="12039" width="9" style="2959"/>
    <col min="12040" max="12040" width="9.375" style="2959" bestFit="1" customWidth="1"/>
    <col min="12041" max="12041" width="9" style="2959"/>
    <col min="12042" max="12042" width="9.375" style="2959" bestFit="1" customWidth="1"/>
    <col min="12043" max="12043" width="9" style="2959"/>
    <col min="12044" max="12044" width="9.375" style="2959" bestFit="1" customWidth="1"/>
    <col min="12045" max="12045" width="9" style="2959"/>
    <col min="12046" max="12046" width="10.25" style="2959" bestFit="1" customWidth="1"/>
    <col min="12047" max="12289" width="9" style="2959"/>
    <col min="12290" max="12290" width="11.625" style="2959" bestFit="1" customWidth="1"/>
    <col min="12291" max="12291" width="9" style="2959"/>
    <col min="12292" max="12292" width="9.375" style="2959" bestFit="1" customWidth="1"/>
    <col min="12293" max="12293" width="9" style="2959"/>
    <col min="12294" max="12294" width="10.25" style="2959" bestFit="1" customWidth="1"/>
    <col min="12295" max="12295" width="9" style="2959"/>
    <col min="12296" max="12296" width="9.375" style="2959" bestFit="1" customWidth="1"/>
    <col min="12297" max="12297" width="9" style="2959"/>
    <col min="12298" max="12298" width="9.375" style="2959" bestFit="1" customWidth="1"/>
    <col min="12299" max="12299" width="9" style="2959"/>
    <col min="12300" max="12300" width="9.375" style="2959" bestFit="1" customWidth="1"/>
    <col min="12301" max="12301" width="9" style="2959"/>
    <col min="12302" max="12302" width="10.25" style="2959" bestFit="1" customWidth="1"/>
    <col min="12303" max="12545" width="9" style="2959"/>
    <col min="12546" max="12546" width="11.625" style="2959" bestFit="1" customWidth="1"/>
    <col min="12547" max="12547" width="9" style="2959"/>
    <col min="12548" max="12548" width="9.375" style="2959" bestFit="1" customWidth="1"/>
    <col min="12549" max="12549" width="9" style="2959"/>
    <col min="12550" max="12550" width="10.25" style="2959" bestFit="1" customWidth="1"/>
    <col min="12551" max="12551" width="9" style="2959"/>
    <col min="12552" max="12552" width="9.375" style="2959" bestFit="1" customWidth="1"/>
    <col min="12553" max="12553" width="9" style="2959"/>
    <col min="12554" max="12554" width="9.375" style="2959" bestFit="1" customWidth="1"/>
    <col min="12555" max="12555" width="9" style="2959"/>
    <col min="12556" max="12556" width="9.375" style="2959" bestFit="1" customWidth="1"/>
    <col min="12557" max="12557" width="9" style="2959"/>
    <col min="12558" max="12558" width="10.25" style="2959" bestFit="1" customWidth="1"/>
    <col min="12559" max="12801" width="9" style="2959"/>
    <col min="12802" max="12802" width="11.625" style="2959" bestFit="1" customWidth="1"/>
    <col min="12803" max="12803" width="9" style="2959"/>
    <col min="12804" max="12804" width="9.375" style="2959" bestFit="1" customWidth="1"/>
    <col min="12805" max="12805" width="9" style="2959"/>
    <col min="12806" max="12806" width="10.25" style="2959" bestFit="1" customWidth="1"/>
    <col min="12807" max="12807" width="9" style="2959"/>
    <col min="12808" max="12808" width="9.375" style="2959" bestFit="1" customWidth="1"/>
    <col min="12809" max="12809" width="9" style="2959"/>
    <col min="12810" max="12810" width="9.375" style="2959" bestFit="1" customWidth="1"/>
    <col min="12811" max="12811" width="9" style="2959"/>
    <col min="12812" max="12812" width="9.375" style="2959" bestFit="1" customWidth="1"/>
    <col min="12813" max="12813" width="9" style="2959"/>
    <col min="12814" max="12814" width="10.25" style="2959" bestFit="1" customWidth="1"/>
    <col min="12815" max="13057" width="9" style="2959"/>
    <col min="13058" max="13058" width="11.625" style="2959" bestFit="1" customWidth="1"/>
    <col min="13059" max="13059" width="9" style="2959"/>
    <col min="13060" max="13060" width="9.375" style="2959" bestFit="1" customWidth="1"/>
    <col min="13061" max="13061" width="9" style="2959"/>
    <col min="13062" max="13062" width="10.25" style="2959" bestFit="1" customWidth="1"/>
    <col min="13063" max="13063" width="9" style="2959"/>
    <col min="13064" max="13064" width="9.375" style="2959" bestFit="1" customWidth="1"/>
    <col min="13065" max="13065" width="9" style="2959"/>
    <col min="13066" max="13066" width="9.375" style="2959" bestFit="1" customWidth="1"/>
    <col min="13067" max="13067" width="9" style="2959"/>
    <col min="13068" max="13068" width="9.375" style="2959" bestFit="1" customWidth="1"/>
    <col min="13069" max="13069" width="9" style="2959"/>
    <col min="13070" max="13070" width="10.25" style="2959" bestFit="1" customWidth="1"/>
    <col min="13071" max="13313" width="9" style="2959"/>
    <col min="13314" max="13314" width="11.625" style="2959" bestFit="1" customWidth="1"/>
    <col min="13315" max="13315" width="9" style="2959"/>
    <col min="13316" max="13316" width="9.375" style="2959" bestFit="1" customWidth="1"/>
    <col min="13317" max="13317" width="9" style="2959"/>
    <col min="13318" max="13318" width="10.25" style="2959" bestFit="1" customWidth="1"/>
    <col min="13319" max="13319" width="9" style="2959"/>
    <col min="13320" max="13320" width="9.375" style="2959" bestFit="1" customWidth="1"/>
    <col min="13321" max="13321" width="9" style="2959"/>
    <col min="13322" max="13322" width="9.375" style="2959" bestFit="1" customWidth="1"/>
    <col min="13323" max="13323" width="9" style="2959"/>
    <col min="13324" max="13324" width="9.375" style="2959" bestFit="1" customWidth="1"/>
    <col min="13325" max="13325" width="9" style="2959"/>
    <col min="13326" max="13326" width="10.25" style="2959" bestFit="1" customWidth="1"/>
    <col min="13327" max="13569" width="9" style="2959"/>
    <col min="13570" max="13570" width="11.625" style="2959" bestFit="1" customWidth="1"/>
    <col min="13571" max="13571" width="9" style="2959"/>
    <col min="13572" max="13572" width="9.375" style="2959" bestFit="1" customWidth="1"/>
    <col min="13573" max="13573" width="9" style="2959"/>
    <col min="13574" max="13574" width="10.25" style="2959" bestFit="1" customWidth="1"/>
    <col min="13575" max="13575" width="9" style="2959"/>
    <col min="13576" max="13576" width="9.375" style="2959" bestFit="1" customWidth="1"/>
    <col min="13577" max="13577" width="9" style="2959"/>
    <col min="13578" max="13578" width="9.375" style="2959" bestFit="1" customWidth="1"/>
    <col min="13579" max="13579" width="9" style="2959"/>
    <col min="13580" max="13580" width="9.375" style="2959" bestFit="1" customWidth="1"/>
    <col min="13581" max="13581" width="9" style="2959"/>
    <col min="13582" max="13582" width="10.25" style="2959" bestFit="1" customWidth="1"/>
    <col min="13583" max="13825" width="9" style="2959"/>
    <col min="13826" max="13826" width="11.625" style="2959" bestFit="1" customWidth="1"/>
    <col min="13827" max="13827" width="9" style="2959"/>
    <col min="13828" max="13828" width="9.375" style="2959" bestFit="1" customWidth="1"/>
    <col min="13829" max="13829" width="9" style="2959"/>
    <col min="13830" max="13830" width="10.25" style="2959" bestFit="1" customWidth="1"/>
    <col min="13831" max="13831" width="9" style="2959"/>
    <col min="13832" max="13832" width="9.375" style="2959" bestFit="1" customWidth="1"/>
    <col min="13833" max="13833" width="9" style="2959"/>
    <col min="13834" max="13834" width="9.375" style="2959" bestFit="1" customWidth="1"/>
    <col min="13835" max="13835" width="9" style="2959"/>
    <col min="13836" max="13836" width="9.375" style="2959" bestFit="1" customWidth="1"/>
    <col min="13837" max="13837" width="9" style="2959"/>
    <col min="13838" max="13838" width="10.25" style="2959" bestFit="1" customWidth="1"/>
    <col min="13839" max="14081" width="9" style="2959"/>
    <col min="14082" max="14082" width="11.625" style="2959" bestFit="1" customWidth="1"/>
    <col min="14083" max="14083" width="9" style="2959"/>
    <col min="14084" max="14084" width="9.375" style="2959" bestFit="1" customWidth="1"/>
    <col min="14085" max="14085" width="9" style="2959"/>
    <col min="14086" max="14086" width="10.25" style="2959" bestFit="1" customWidth="1"/>
    <col min="14087" max="14087" width="9" style="2959"/>
    <col min="14088" max="14088" width="9.375" style="2959" bestFit="1" customWidth="1"/>
    <col min="14089" max="14089" width="9" style="2959"/>
    <col min="14090" max="14090" width="9.375" style="2959" bestFit="1" customWidth="1"/>
    <col min="14091" max="14091" width="9" style="2959"/>
    <col min="14092" max="14092" width="9.375" style="2959" bestFit="1" customWidth="1"/>
    <col min="14093" max="14093" width="9" style="2959"/>
    <col min="14094" max="14094" width="10.25" style="2959" bestFit="1" customWidth="1"/>
    <col min="14095" max="14337" width="9" style="2959"/>
    <col min="14338" max="14338" width="11.625" style="2959" bestFit="1" customWidth="1"/>
    <col min="14339" max="14339" width="9" style="2959"/>
    <col min="14340" max="14340" width="9.375" style="2959" bestFit="1" customWidth="1"/>
    <col min="14341" max="14341" width="9" style="2959"/>
    <col min="14342" max="14342" width="10.25" style="2959" bestFit="1" customWidth="1"/>
    <col min="14343" max="14343" width="9" style="2959"/>
    <col min="14344" max="14344" width="9.375" style="2959" bestFit="1" customWidth="1"/>
    <col min="14345" max="14345" width="9" style="2959"/>
    <col min="14346" max="14346" width="9.375" style="2959" bestFit="1" customWidth="1"/>
    <col min="14347" max="14347" width="9" style="2959"/>
    <col min="14348" max="14348" width="9.375" style="2959" bestFit="1" customWidth="1"/>
    <col min="14349" max="14349" width="9" style="2959"/>
    <col min="14350" max="14350" width="10.25" style="2959" bestFit="1" customWidth="1"/>
    <col min="14351" max="14593" width="9" style="2959"/>
    <col min="14594" max="14594" width="11.625" style="2959" bestFit="1" customWidth="1"/>
    <col min="14595" max="14595" width="9" style="2959"/>
    <col min="14596" max="14596" width="9.375" style="2959" bestFit="1" customWidth="1"/>
    <col min="14597" max="14597" width="9" style="2959"/>
    <col min="14598" max="14598" width="10.25" style="2959" bestFit="1" customWidth="1"/>
    <col min="14599" max="14599" width="9" style="2959"/>
    <col min="14600" max="14600" width="9.375" style="2959" bestFit="1" customWidth="1"/>
    <col min="14601" max="14601" width="9" style="2959"/>
    <col min="14602" max="14602" width="9.375" style="2959" bestFit="1" customWidth="1"/>
    <col min="14603" max="14603" width="9" style="2959"/>
    <col min="14604" max="14604" width="9.375" style="2959" bestFit="1" customWidth="1"/>
    <col min="14605" max="14605" width="9" style="2959"/>
    <col min="14606" max="14606" width="10.25" style="2959" bestFit="1" customWidth="1"/>
    <col min="14607" max="14849" width="9" style="2959"/>
    <col min="14850" max="14850" width="11.625" style="2959" bestFit="1" customWidth="1"/>
    <col min="14851" max="14851" width="9" style="2959"/>
    <col min="14852" max="14852" width="9.375" style="2959" bestFit="1" customWidth="1"/>
    <col min="14853" max="14853" width="9" style="2959"/>
    <col min="14854" max="14854" width="10.25" style="2959" bestFit="1" customWidth="1"/>
    <col min="14855" max="14855" width="9" style="2959"/>
    <col min="14856" max="14856" width="9.375" style="2959" bestFit="1" customWidth="1"/>
    <col min="14857" max="14857" width="9" style="2959"/>
    <col min="14858" max="14858" width="9.375" style="2959" bestFit="1" customWidth="1"/>
    <col min="14859" max="14859" width="9" style="2959"/>
    <col min="14860" max="14860" width="9.375" style="2959" bestFit="1" customWidth="1"/>
    <col min="14861" max="14861" width="9" style="2959"/>
    <col min="14862" max="14862" width="10.25" style="2959" bestFit="1" customWidth="1"/>
    <col min="14863" max="15105" width="9" style="2959"/>
    <col min="15106" max="15106" width="11.625" style="2959" bestFit="1" customWidth="1"/>
    <col min="15107" max="15107" width="9" style="2959"/>
    <col min="15108" max="15108" width="9.375" style="2959" bestFit="1" customWidth="1"/>
    <col min="15109" max="15109" width="9" style="2959"/>
    <col min="15110" max="15110" width="10.25" style="2959" bestFit="1" customWidth="1"/>
    <col min="15111" max="15111" width="9" style="2959"/>
    <col min="15112" max="15112" width="9.375" style="2959" bestFit="1" customWidth="1"/>
    <col min="15113" max="15113" width="9" style="2959"/>
    <col min="15114" max="15114" width="9.375" style="2959" bestFit="1" customWidth="1"/>
    <col min="15115" max="15115" width="9" style="2959"/>
    <col min="15116" max="15116" width="9.375" style="2959" bestFit="1" customWidth="1"/>
    <col min="15117" max="15117" width="9" style="2959"/>
    <col min="15118" max="15118" width="10.25" style="2959" bestFit="1" customWidth="1"/>
    <col min="15119" max="15361" width="9" style="2959"/>
    <col min="15362" max="15362" width="11.625" style="2959" bestFit="1" customWidth="1"/>
    <col min="15363" max="15363" width="9" style="2959"/>
    <col min="15364" max="15364" width="9.375" style="2959" bestFit="1" customWidth="1"/>
    <col min="15365" max="15365" width="9" style="2959"/>
    <col min="15366" max="15366" width="10.25" style="2959" bestFit="1" customWidth="1"/>
    <col min="15367" max="15367" width="9" style="2959"/>
    <col min="15368" max="15368" width="9.375" style="2959" bestFit="1" customWidth="1"/>
    <col min="15369" max="15369" width="9" style="2959"/>
    <col min="15370" max="15370" width="9.375" style="2959" bestFit="1" customWidth="1"/>
    <col min="15371" max="15371" width="9" style="2959"/>
    <col min="15372" max="15372" width="9.375" style="2959" bestFit="1" customWidth="1"/>
    <col min="15373" max="15373" width="9" style="2959"/>
    <col min="15374" max="15374" width="10.25" style="2959" bestFit="1" customWidth="1"/>
    <col min="15375" max="15617" width="9" style="2959"/>
    <col min="15618" max="15618" width="11.625" style="2959" bestFit="1" customWidth="1"/>
    <col min="15619" max="15619" width="9" style="2959"/>
    <col min="15620" max="15620" width="9.375" style="2959" bestFit="1" customWidth="1"/>
    <col min="15621" max="15621" width="9" style="2959"/>
    <col min="15622" max="15622" width="10.25" style="2959" bestFit="1" customWidth="1"/>
    <col min="15623" max="15623" width="9" style="2959"/>
    <col min="15624" max="15624" width="9.375" style="2959" bestFit="1" customWidth="1"/>
    <col min="15625" max="15625" width="9" style="2959"/>
    <col min="15626" max="15626" width="9.375" style="2959" bestFit="1" customWidth="1"/>
    <col min="15627" max="15627" width="9" style="2959"/>
    <col min="15628" max="15628" width="9.375" style="2959" bestFit="1" customWidth="1"/>
    <col min="15629" max="15629" width="9" style="2959"/>
    <col min="15630" max="15630" width="10.25" style="2959" bestFit="1" customWidth="1"/>
    <col min="15631" max="15873" width="9" style="2959"/>
    <col min="15874" max="15874" width="11.625" style="2959" bestFit="1" customWidth="1"/>
    <col min="15875" max="15875" width="9" style="2959"/>
    <col min="15876" max="15876" width="9.375" style="2959" bestFit="1" customWidth="1"/>
    <col min="15877" max="15877" width="9" style="2959"/>
    <col min="15878" max="15878" width="10.25" style="2959" bestFit="1" customWidth="1"/>
    <col min="15879" max="15879" width="9" style="2959"/>
    <col min="15880" max="15880" width="9.375" style="2959" bestFit="1" customWidth="1"/>
    <col min="15881" max="15881" width="9" style="2959"/>
    <col min="15882" max="15882" width="9.375" style="2959" bestFit="1" customWidth="1"/>
    <col min="15883" max="15883" width="9" style="2959"/>
    <col min="15884" max="15884" width="9.375" style="2959" bestFit="1" customWidth="1"/>
    <col min="15885" max="15885" width="9" style="2959"/>
    <col min="15886" max="15886" width="10.25" style="2959" bestFit="1" customWidth="1"/>
    <col min="15887" max="16129" width="9" style="2959"/>
    <col min="16130" max="16130" width="11.625" style="2959" bestFit="1" customWidth="1"/>
    <col min="16131" max="16131" width="9" style="2959"/>
    <col min="16132" max="16132" width="9.375" style="2959" bestFit="1" customWidth="1"/>
    <col min="16133" max="16133" width="9" style="2959"/>
    <col min="16134" max="16134" width="10.25" style="2959" bestFit="1" customWidth="1"/>
    <col min="16135" max="16135" width="9" style="2959"/>
    <col min="16136" max="16136" width="9.375" style="2959" bestFit="1" customWidth="1"/>
    <col min="16137" max="16137" width="9" style="2959"/>
    <col min="16138" max="16138" width="9.375" style="2959" bestFit="1" customWidth="1"/>
    <col min="16139" max="16139" width="9" style="2959"/>
    <col min="16140" max="16140" width="9.375" style="2959" bestFit="1" customWidth="1"/>
    <col min="16141" max="16141" width="9" style="2959"/>
    <col min="16142" max="16142" width="10.25" style="2959" bestFit="1" customWidth="1"/>
    <col min="16143" max="16384" width="9" style="2959"/>
  </cols>
  <sheetData>
    <row r="1" spans="1:15">
      <c r="B1" s="2959" t="s">
        <v>3159</v>
      </c>
      <c r="C1" s="2959" t="s">
        <v>3160</v>
      </c>
      <c r="D1" s="2959" t="s">
        <v>3161</v>
      </c>
      <c r="E1" s="2960" t="s">
        <v>3162</v>
      </c>
      <c r="F1" s="2959" t="s">
        <v>3163</v>
      </c>
      <c r="G1" s="2961" t="s">
        <v>3164</v>
      </c>
      <c r="H1" s="2959">
        <v>4.5</v>
      </c>
      <c r="I1" s="2961" t="s">
        <v>3165</v>
      </c>
    </row>
    <row r="2" spans="1:15">
      <c r="A2" s="2959">
        <v>2018</v>
      </c>
      <c r="B2" s="2962">
        <v>43465</v>
      </c>
      <c r="C2" s="2959">
        <f>ROUND(I2/D2/365,2)</f>
        <v>3.5</v>
      </c>
      <c r="D2" s="2959">
        <v>268</v>
      </c>
      <c r="E2" s="2960">
        <f>ROUND(D2*C2*365,0)</f>
        <v>342370</v>
      </c>
      <c r="F2" s="2959">
        <v>1.1499999999999999</v>
      </c>
      <c r="I2" s="2959">
        <v>342469</v>
      </c>
    </row>
    <row r="3" spans="1:15">
      <c r="A3" s="2959">
        <v>2019</v>
      </c>
      <c r="B3" s="2962">
        <v>43747</v>
      </c>
      <c r="C3" s="2959">
        <f t="shared" ref="C3:C8" si="0">ROUND(I3/D3/365,2)</f>
        <v>2.94</v>
      </c>
      <c r="D3" s="2959">
        <v>2815</v>
      </c>
      <c r="E3" s="2960">
        <f t="shared" ref="E3:E9" si="1">ROUND(D3*C3*365,0)</f>
        <v>3020777</v>
      </c>
      <c r="F3" s="2959">
        <v>1.93</v>
      </c>
      <c r="I3" s="2959">
        <v>3020227</v>
      </c>
    </row>
    <row r="4" spans="1:15">
      <c r="A4" s="2959">
        <v>2020</v>
      </c>
      <c r="B4" s="2962">
        <v>44165</v>
      </c>
      <c r="C4" s="2959">
        <f t="shared" si="0"/>
        <v>1.72</v>
      </c>
      <c r="D4" s="2959">
        <v>2542</v>
      </c>
      <c r="E4" s="2960">
        <f t="shared" si="1"/>
        <v>1595868</v>
      </c>
      <c r="F4" s="2959">
        <v>3.07</v>
      </c>
      <c r="I4" s="2959">
        <v>1594540</v>
      </c>
    </row>
    <row r="5" spans="1:15">
      <c r="A5" s="2959">
        <v>2021</v>
      </c>
      <c r="B5" s="2962">
        <v>44428</v>
      </c>
      <c r="C5" s="2959">
        <f t="shared" si="0"/>
        <v>3.13</v>
      </c>
      <c r="D5" s="2959">
        <v>523</v>
      </c>
      <c r="E5" s="2960">
        <f t="shared" si="1"/>
        <v>597501</v>
      </c>
      <c r="F5" s="2959">
        <v>3.79</v>
      </c>
      <c r="I5" s="2959">
        <v>596957</v>
      </c>
    </row>
    <row r="6" spans="1:15">
      <c r="A6" s="2959">
        <v>2022</v>
      </c>
      <c r="B6" s="2962">
        <v>44729</v>
      </c>
      <c r="C6" s="2959">
        <f t="shared" si="0"/>
        <v>2</v>
      </c>
      <c r="D6" s="2959">
        <v>3129</v>
      </c>
      <c r="E6" s="2960">
        <f t="shared" si="1"/>
        <v>2284170</v>
      </c>
      <c r="F6" s="2959">
        <v>4.62</v>
      </c>
      <c r="I6" s="2959">
        <v>2284170</v>
      </c>
    </row>
    <row r="7" spans="1:15">
      <c r="A7" s="2959">
        <v>2023</v>
      </c>
      <c r="B7" s="2962">
        <v>45152</v>
      </c>
      <c r="C7" s="2959">
        <f t="shared" si="0"/>
        <v>2.2999999999999998</v>
      </c>
      <c r="D7" s="2959">
        <v>1060</v>
      </c>
      <c r="E7" s="2960">
        <f t="shared" si="1"/>
        <v>889870</v>
      </c>
      <c r="F7" s="2959">
        <v>5.78</v>
      </c>
      <c r="I7" s="2959">
        <v>889320</v>
      </c>
    </row>
    <row r="8" spans="1:15">
      <c r="A8" s="2959">
        <v>2027</v>
      </c>
      <c r="B8" s="2962">
        <v>46721</v>
      </c>
      <c r="C8" s="2959">
        <f t="shared" si="0"/>
        <v>0.72</v>
      </c>
      <c r="D8" s="2959">
        <v>4236.8999999999996</v>
      </c>
      <c r="E8" s="2960">
        <f t="shared" si="1"/>
        <v>1113457</v>
      </c>
      <c r="F8" s="2959">
        <v>10.07</v>
      </c>
      <c r="I8" s="2959">
        <v>1106063</v>
      </c>
    </row>
    <row r="9" spans="1:15">
      <c r="D9" s="2959">
        <f>SUM(D2:D8)</f>
        <v>14573.9</v>
      </c>
      <c r="E9" s="2959">
        <f t="shared" si="1"/>
        <v>0</v>
      </c>
    </row>
    <row r="12" spans="1:15">
      <c r="A12" s="2959" t="s">
        <v>3166</v>
      </c>
      <c r="B12" s="3621">
        <v>43465</v>
      </c>
      <c r="C12" s="3621" t="s">
        <v>3167</v>
      </c>
      <c r="D12" s="3621">
        <f>B3</f>
        <v>43747</v>
      </c>
      <c r="E12" s="3621" t="s">
        <v>3167</v>
      </c>
      <c r="F12" s="3621">
        <f>B4</f>
        <v>44165</v>
      </c>
      <c r="G12" s="3621" t="s">
        <v>3167</v>
      </c>
      <c r="H12" s="3621">
        <f>B5</f>
        <v>44428</v>
      </c>
      <c r="I12" s="3621" t="s">
        <v>3167</v>
      </c>
      <c r="J12" s="3621">
        <f>B6</f>
        <v>44729</v>
      </c>
      <c r="K12" s="3621" t="s">
        <v>3167</v>
      </c>
      <c r="L12" s="3621">
        <f>B7</f>
        <v>45152</v>
      </c>
      <c r="M12" s="3621" t="s">
        <v>3167</v>
      </c>
      <c r="N12" s="3621">
        <f>B8</f>
        <v>46721</v>
      </c>
      <c r="O12" s="3621" t="s">
        <v>3167</v>
      </c>
    </row>
    <row r="13" spans="1:15">
      <c r="B13" s="3623"/>
      <c r="C13" s="3622"/>
      <c r="D13" s="3623"/>
      <c r="E13" s="3622"/>
      <c r="F13" s="3623"/>
      <c r="G13" s="3622"/>
      <c r="H13" s="3623"/>
      <c r="I13" s="3622"/>
      <c r="J13" s="3623"/>
      <c r="K13" s="3622"/>
      <c r="L13" s="3623"/>
      <c r="M13" s="3622"/>
      <c r="N13" s="3623"/>
      <c r="O13" s="3622"/>
    </row>
    <row r="14" spans="1:15">
      <c r="A14" s="2959" t="s">
        <v>3168</v>
      </c>
      <c r="B14" s="2963">
        <f>D2</f>
        <v>268</v>
      </c>
      <c r="C14" s="2963">
        <f>B14</f>
        <v>268</v>
      </c>
      <c r="D14" s="2963">
        <f>D3</f>
        <v>2815</v>
      </c>
      <c r="E14" s="2963">
        <f>D14</f>
        <v>2815</v>
      </c>
      <c r="F14" s="2963">
        <f>D4</f>
        <v>2542</v>
      </c>
      <c r="G14" s="2963">
        <f>F14</f>
        <v>2542</v>
      </c>
      <c r="H14" s="2963">
        <f>D5</f>
        <v>523</v>
      </c>
      <c r="I14" s="2963">
        <f>H14</f>
        <v>523</v>
      </c>
      <c r="J14" s="2963">
        <f>D6</f>
        <v>3129</v>
      </c>
      <c r="K14" s="2963">
        <f>J14</f>
        <v>3129</v>
      </c>
      <c r="L14" s="2963">
        <f>D7</f>
        <v>1060</v>
      </c>
      <c r="M14" s="2963">
        <f>L14</f>
        <v>1060</v>
      </c>
      <c r="N14" s="2963">
        <f>D8</f>
        <v>4236.8999999999996</v>
      </c>
      <c r="O14" s="2963">
        <f>N14</f>
        <v>4236.8999999999996</v>
      </c>
    </row>
    <row r="15" spans="1:15">
      <c r="A15" s="2959" t="s">
        <v>3160</v>
      </c>
      <c r="B15" s="2964" t="s">
        <v>3169</v>
      </c>
      <c r="C15" s="2964">
        <f>ROUND(H1*(1+C20)^F2,1)</f>
        <v>4.7</v>
      </c>
      <c r="D15" s="2964" t="s">
        <v>3169</v>
      </c>
      <c r="E15" s="2964">
        <f>ROUND($H$1*(1+E20)^D21,1)</f>
        <v>4.8</v>
      </c>
      <c r="F15" s="2964" t="s">
        <v>3169</v>
      </c>
      <c r="G15" s="2964">
        <f>ROUND($H$1*(1+G20)^F21,1)</f>
        <v>4.9000000000000004</v>
      </c>
      <c r="H15" s="2964" t="s">
        <v>3169</v>
      </c>
      <c r="I15" s="2964">
        <f>ROUND($H$1*(1+I20)^H21,1)</f>
        <v>5</v>
      </c>
      <c r="J15" s="2964" t="s">
        <v>3169</v>
      </c>
      <c r="K15" s="2964">
        <f>ROUND($H$1*(1+K20)^J21,1)</f>
        <v>5.2</v>
      </c>
      <c r="L15" s="2964" t="s">
        <v>3169</v>
      </c>
      <c r="M15" s="2964">
        <f>ROUND($H$1*(1+M20)^L21,1)</f>
        <v>5.3</v>
      </c>
      <c r="N15" s="2964" t="s">
        <v>3169</v>
      </c>
      <c r="O15" s="2964">
        <f>ROUND($H$1*(1+O20)^N21,1)</f>
        <v>6.1</v>
      </c>
    </row>
    <row r="16" spans="1:15">
      <c r="A16" s="2959" t="s">
        <v>3170</v>
      </c>
      <c r="B16" s="2964" t="s">
        <v>3169</v>
      </c>
      <c r="C16" s="2965">
        <f>C20</f>
        <v>0.03</v>
      </c>
      <c r="D16" s="2964" t="s">
        <v>3171</v>
      </c>
      <c r="E16" s="2965">
        <f>E20</f>
        <v>0.03</v>
      </c>
      <c r="F16" s="2964" t="s">
        <v>3171</v>
      </c>
      <c r="G16" s="2965">
        <f>G20</f>
        <v>0.03</v>
      </c>
      <c r="H16" s="2964" t="s">
        <v>3171</v>
      </c>
      <c r="I16" s="2965">
        <f>I20</f>
        <v>0.03</v>
      </c>
      <c r="J16" s="2964" t="s">
        <v>3171</v>
      </c>
      <c r="K16" s="2965">
        <f>K20</f>
        <v>0.03</v>
      </c>
      <c r="L16" s="2964" t="s">
        <v>3171</v>
      </c>
      <c r="M16" s="2965">
        <f>M20</f>
        <v>0.03</v>
      </c>
      <c r="N16" s="2964" t="s">
        <v>3171</v>
      </c>
      <c r="O16" s="2965">
        <f>O20</f>
        <v>0.03</v>
      </c>
    </row>
    <row r="17" spans="1:15">
      <c r="A17" s="2959" t="s">
        <v>3172</v>
      </c>
      <c r="B17" s="2964" t="s">
        <v>3171</v>
      </c>
      <c r="C17" s="2965">
        <v>0.1</v>
      </c>
      <c r="D17" s="2964" t="s">
        <v>3171</v>
      </c>
      <c r="E17" s="2965">
        <f>C17</f>
        <v>0.1</v>
      </c>
      <c r="F17" s="2964" t="s">
        <v>3171</v>
      </c>
      <c r="G17" s="2965">
        <f>E17</f>
        <v>0.1</v>
      </c>
      <c r="H17" s="2964" t="s">
        <v>555</v>
      </c>
      <c r="I17" s="2965">
        <f>G17</f>
        <v>0.1</v>
      </c>
      <c r="J17" s="2964" t="s">
        <v>3173</v>
      </c>
      <c r="K17" s="2965">
        <f>I17</f>
        <v>0.1</v>
      </c>
      <c r="L17" s="2964" t="s">
        <v>3173</v>
      </c>
      <c r="M17" s="2965">
        <f>K17</f>
        <v>0.1</v>
      </c>
      <c r="N17" s="2964" t="s">
        <v>3173</v>
      </c>
      <c r="O17" s="2965">
        <f>M17</f>
        <v>0.1</v>
      </c>
    </row>
    <row r="18" spans="1:15">
      <c r="A18" s="2959" t="s">
        <v>3174</v>
      </c>
      <c r="B18" s="2966">
        <f>I2/10000</f>
        <v>34.246899999999997</v>
      </c>
      <c r="C18" s="2966">
        <f>ROUND(C14*C15*365*(1-C17)*(1-(1+C16)^C21)/(1-(1+C16))/10000,0)</f>
        <v>416</v>
      </c>
      <c r="D18" s="2966">
        <f>I3/10000</f>
        <v>302.02269999999999</v>
      </c>
      <c r="E18" s="2966">
        <f>ROUND(E14*E15*365*(1-E17)*(1-(1+E16)^E21)/(1-(1+E16))/10000,0)</f>
        <v>4025</v>
      </c>
      <c r="F18" s="2966">
        <f>I4/10000</f>
        <v>159.45400000000001</v>
      </c>
      <c r="G18" s="2966">
        <f>ROUND(G14*G15*365*(1-G17)*(1-(1+G16)^G21)/(1-(1+G16))/10000,0)</f>
        <v>3135</v>
      </c>
      <c r="H18" s="2966">
        <f>I5/10000</f>
        <v>59.695700000000002</v>
      </c>
      <c r="I18" s="2966">
        <f>ROUND(I14*I15*365*(1-I17)*(1-(1+I16)^I21)/(1-(1+I16))/10000,0)</f>
        <v>584</v>
      </c>
      <c r="J18" s="2966">
        <f>I6/10000</f>
        <v>228.417</v>
      </c>
      <c r="K18" s="2966">
        <f>ROUND(K14*K15*365*(1-K17)*(1-(1+K16)^K21)/(1-(1+K16))/10000,0)</f>
        <v>3114</v>
      </c>
      <c r="L18" s="2966">
        <f>I7/10000</f>
        <v>88.932000000000002</v>
      </c>
      <c r="M18" s="2966">
        <f>ROUND(M14*M15*365*(1-M17)*(1-(1+M16)^M21)/(1-(1+M16))/10000,0)</f>
        <v>832</v>
      </c>
      <c r="N18" s="2966">
        <f>I8/10000</f>
        <v>110.6063</v>
      </c>
      <c r="O18" s="2966">
        <f>ROUND(O14*O15*365*(1-O17)*(1-(1+O16)^O21)/(1-(1+O16))/10000,0)</f>
        <v>0</v>
      </c>
    </row>
    <row r="19" spans="1:15">
      <c r="A19" s="2959" t="s">
        <v>3175</v>
      </c>
      <c r="B19" s="2967">
        <v>0.06</v>
      </c>
      <c r="C19" s="2967">
        <f>B19</f>
        <v>0.06</v>
      </c>
      <c r="D19" s="2967">
        <v>0.06</v>
      </c>
      <c r="E19" s="2967">
        <f>D19</f>
        <v>0.06</v>
      </c>
      <c r="F19" s="2967">
        <v>0.06</v>
      </c>
      <c r="G19" s="2967">
        <f>F19</f>
        <v>0.06</v>
      </c>
      <c r="H19" s="2967">
        <v>0.06</v>
      </c>
      <c r="I19" s="2967">
        <f>H19</f>
        <v>0.06</v>
      </c>
      <c r="J19" s="2967">
        <v>0.06</v>
      </c>
      <c r="K19" s="2967">
        <f>J19</f>
        <v>0.06</v>
      </c>
      <c r="L19" s="2967">
        <v>0.06</v>
      </c>
      <c r="M19" s="2967">
        <f>L19</f>
        <v>0.06</v>
      </c>
      <c r="N19" s="2967">
        <v>0.06</v>
      </c>
      <c r="O19" s="2967">
        <f>N19</f>
        <v>0.06</v>
      </c>
    </row>
    <row r="20" spans="1:15">
      <c r="A20" s="2959" t="s">
        <v>3170</v>
      </c>
      <c r="B20" s="2967" t="s">
        <v>3173</v>
      </c>
      <c r="C20" s="2967">
        <v>0.03</v>
      </c>
      <c r="D20" s="2967" t="s">
        <v>3173</v>
      </c>
      <c r="E20" s="2967">
        <f>C20</f>
        <v>0.03</v>
      </c>
      <c r="F20" s="2967" t="s">
        <v>3173</v>
      </c>
      <c r="G20" s="2967">
        <f>E20</f>
        <v>0.03</v>
      </c>
      <c r="H20" s="2967" t="s">
        <v>3173</v>
      </c>
      <c r="I20" s="2967">
        <f>G20</f>
        <v>0.03</v>
      </c>
      <c r="J20" s="2967" t="s">
        <v>3173</v>
      </c>
      <c r="K20" s="2967">
        <f>I20</f>
        <v>0.03</v>
      </c>
      <c r="L20" s="2967" t="s">
        <v>3173</v>
      </c>
      <c r="M20" s="2967">
        <f>K20</f>
        <v>0.03</v>
      </c>
      <c r="N20" s="2967" t="s">
        <v>3173</v>
      </c>
      <c r="O20" s="2967">
        <f>M20</f>
        <v>0.03</v>
      </c>
    </row>
    <row r="21" spans="1:15">
      <c r="A21" s="2959" t="s">
        <v>3176</v>
      </c>
      <c r="B21" s="2968">
        <v>1.1499999999999999</v>
      </c>
      <c r="C21" s="2968">
        <f>F8-B21</f>
        <v>8.92</v>
      </c>
      <c r="D21" s="2968">
        <f>F3</f>
        <v>1.93</v>
      </c>
      <c r="E21" s="2968">
        <f>F8-D21</f>
        <v>8.14</v>
      </c>
      <c r="F21" s="2968">
        <f>F4</f>
        <v>3.07</v>
      </c>
      <c r="G21" s="2968">
        <f>F8-F21</f>
        <v>7</v>
      </c>
      <c r="H21" s="2968">
        <f>F5</f>
        <v>3.79</v>
      </c>
      <c r="I21" s="2968">
        <f>F8-H21</f>
        <v>6.28</v>
      </c>
      <c r="J21" s="2968">
        <f>F6</f>
        <v>4.62</v>
      </c>
      <c r="K21" s="2968">
        <f>F8-J21</f>
        <v>5.45</v>
      </c>
      <c r="L21" s="2968">
        <f>F7</f>
        <v>5.78</v>
      </c>
      <c r="M21" s="2968">
        <f>F8-L21</f>
        <v>4.29</v>
      </c>
      <c r="N21" s="2968">
        <f>F8</f>
        <v>10.07</v>
      </c>
      <c r="O21" s="2968">
        <f>F8-N21</f>
        <v>0</v>
      </c>
    </row>
    <row r="22" spans="1:15">
      <c r="A22" s="2959" t="s">
        <v>3177</v>
      </c>
      <c r="B22" s="2969">
        <f>B18*B21</f>
        <v>39.383934999999994</v>
      </c>
      <c r="C22" s="2969">
        <f>ROUND(C18/((1+C19)^B21),0)</f>
        <v>389</v>
      </c>
      <c r="D22" s="2969">
        <f>D18*D21</f>
        <v>582.90381099999991</v>
      </c>
      <c r="E22" s="2969">
        <f>ROUND(E18/((1+E19)^D21),0)</f>
        <v>3597</v>
      </c>
      <c r="F22" s="2969">
        <f>F18*F21</f>
        <v>489.52377999999999</v>
      </c>
      <c r="G22" s="2969">
        <f>ROUND(G18/((1+G19)^F21),0)</f>
        <v>2621</v>
      </c>
      <c r="H22" s="2969">
        <f>H18*H21</f>
        <v>226.246703</v>
      </c>
      <c r="I22" s="2969">
        <f>ROUND(I18/((1+I19)^H21),0)</f>
        <v>468</v>
      </c>
      <c r="J22" s="2969">
        <f>J18*J21</f>
        <v>1055.2865400000001</v>
      </c>
      <c r="K22" s="2969">
        <f>ROUND(K18/((1+K19)^J21),0)</f>
        <v>2379</v>
      </c>
      <c r="L22" s="2969">
        <f>L18*L21</f>
        <v>514.02696000000003</v>
      </c>
      <c r="M22" s="2969">
        <f>ROUND(M18/((1+M19)^L21),0)</f>
        <v>594</v>
      </c>
      <c r="N22" s="2969">
        <f>N18*N21</f>
        <v>1113.805441</v>
      </c>
      <c r="O22" s="2969">
        <f>ROUND(O18/((1+O19)^N21),0)</f>
        <v>0</v>
      </c>
    </row>
    <row r="23" spans="1:15">
      <c r="A23" s="2961" t="s">
        <v>3178</v>
      </c>
      <c r="B23" s="2970">
        <f>SUM(B22:O22)</f>
        <v>14069.177169999999</v>
      </c>
    </row>
    <row r="24" spans="1:15">
      <c r="B24" s="2959">
        <f>ROUND(B23*10000/365/(D2+D3+D4+D5+D6+D7+D8)/F8,1)</f>
        <v>2.6</v>
      </c>
      <c r="C24" s="2959">
        <f>B24*0.53</f>
        <v>1.3780000000000001</v>
      </c>
    </row>
    <row r="30" spans="1:15">
      <c r="B30" s="3154" t="s">
        <v>3912</v>
      </c>
    </row>
  </sheetData>
  <mergeCells count="14">
    <mergeCell ref="N12:N13"/>
    <mergeCell ref="O12:O13"/>
    <mergeCell ref="H12:H13"/>
    <mergeCell ref="I12:I13"/>
    <mergeCell ref="J12:J13"/>
    <mergeCell ref="K12:K13"/>
    <mergeCell ref="L12:L13"/>
    <mergeCell ref="M12:M13"/>
    <mergeCell ref="G12:G13"/>
    <mergeCell ref="B12:B13"/>
    <mergeCell ref="C12:C13"/>
    <mergeCell ref="D12:D13"/>
    <mergeCell ref="E12:E13"/>
    <mergeCell ref="F12:F13"/>
  </mergeCells>
  <phoneticPr fontId="143" type="noConversion"/>
  <hyperlinks>
    <hyperlink ref="B30"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3"/>
  <sheetViews>
    <sheetView topLeftCell="A55" zoomScale="85" zoomScaleSheetLayoutView="100" workbookViewId="0">
      <selection activeCell="K77" sqref="K77"/>
    </sheetView>
  </sheetViews>
  <sheetFormatPr defaultRowHeight="13.5"/>
  <cols>
    <col min="1" max="1" width="9.75" style="3164" customWidth="1"/>
    <col min="2" max="2" width="25.5" style="3155" customWidth="1"/>
    <col min="3" max="3" width="12" style="3155" customWidth="1"/>
    <col min="4" max="4" width="11.875" style="3155" customWidth="1"/>
    <col min="5" max="5" width="11.125" style="3155" customWidth="1"/>
    <col min="6" max="6" width="12.875" style="3155" customWidth="1"/>
    <col min="7" max="7" width="11.75" style="3155" customWidth="1"/>
    <col min="8" max="8" width="9" style="3155"/>
    <col min="9" max="9" width="12.75" style="3155" bestFit="1" customWidth="1"/>
    <col min="10" max="10" width="9.5" style="3155" bestFit="1" customWidth="1"/>
    <col min="11" max="11" width="14.125" style="3155" customWidth="1"/>
    <col min="12" max="12" width="9" style="3155"/>
    <col min="13" max="13" width="12.75" style="3155" bestFit="1" customWidth="1"/>
    <col min="14" max="14" width="10.875" style="3155" customWidth="1"/>
    <col min="15" max="15" width="4.875" style="3155" customWidth="1"/>
    <col min="16" max="256" width="9" style="3155"/>
    <col min="257" max="257" width="9.75" style="3155" customWidth="1"/>
    <col min="258" max="258" width="11.25" style="3155" customWidth="1"/>
    <col min="259" max="259" width="12" style="3155" customWidth="1"/>
    <col min="260" max="260" width="11.875" style="3155" customWidth="1"/>
    <col min="261" max="261" width="11.125" style="3155" customWidth="1"/>
    <col min="262" max="262" width="12.875" style="3155" customWidth="1"/>
    <col min="263" max="263" width="11.75" style="3155" customWidth="1"/>
    <col min="264" max="264" width="9" style="3155"/>
    <col min="265" max="265" width="11.625" style="3155" bestFit="1" customWidth="1"/>
    <col min="266" max="266" width="9.5" style="3155" bestFit="1" customWidth="1"/>
    <col min="267" max="267" width="14.125" style="3155" customWidth="1"/>
    <col min="268" max="268" width="9" style="3155"/>
    <col min="269" max="269" width="10.5" style="3155" bestFit="1" customWidth="1"/>
    <col min="270" max="270" width="10.875" style="3155" customWidth="1"/>
    <col min="271" max="271" width="4.875" style="3155" customWidth="1"/>
    <col min="272" max="512" width="9" style="3155"/>
    <col min="513" max="513" width="9.75" style="3155" customWidth="1"/>
    <col min="514" max="514" width="11.25" style="3155" customWidth="1"/>
    <col min="515" max="515" width="12" style="3155" customWidth="1"/>
    <col min="516" max="516" width="11.875" style="3155" customWidth="1"/>
    <col min="517" max="517" width="11.125" style="3155" customWidth="1"/>
    <col min="518" max="518" width="12.875" style="3155" customWidth="1"/>
    <col min="519" max="519" width="11.75" style="3155" customWidth="1"/>
    <col min="520" max="520" width="9" style="3155"/>
    <col min="521" max="521" width="11.625" style="3155" bestFit="1" customWidth="1"/>
    <col min="522" max="522" width="9.5" style="3155" bestFit="1" customWidth="1"/>
    <col min="523" max="523" width="14.125" style="3155" customWidth="1"/>
    <col min="524" max="524" width="9" style="3155"/>
    <col min="525" max="525" width="10.5" style="3155" bestFit="1" customWidth="1"/>
    <col min="526" max="526" width="10.875" style="3155" customWidth="1"/>
    <col min="527" max="527" width="4.875" style="3155" customWidth="1"/>
    <col min="528" max="768" width="9" style="3155"/>
    <col min="769" max="769" width="9.75" style="3155" customWidth="1"/>
    <col min="770" max="770" width="11.25" style="3155" customWidth="1"/>
    <col min="771" max="771" width="12" style="3155" customWidth="1"/>
    <col min="772" max="772" width="11.875" style="3155" customWidth="1"/>
    <col min="773" max="773" width="11.125" style="3155" customWidth="1"/>
    <col min="774" max="774" width="12.875" style="3155" customWidth="1"/>
    <col min="775" max="775" width="11.75" style="3155" customWidth="1"/>
    <col min="776" max="776" width="9" style="3155"/>
    <col min="777" max="777" width="11.625" style="3155" bestFit="1" customWidth="1"/>
    <col min="778" max="778" width="9.5" style="3155" bestFit="1" customWidth="1"/>
    <col min="779" max="779" width="14.125" style="3155" customWidth="1"/>
    <col min="780" max="780" width="9" style="3155"/>
    <col min="781" max="781" width="10.5" style="3155" bestFit="1" customWidth="1"/>
    <col min="782" max="782" width="10.875" style="3155" customWidth="1"/>
    <col min="783" max="783" width="4.875" style="3155" customWidth="1"/>
    <col min="784" max="1024" width="9" style="3155"/>
    <col min="1025" max="1025" width="9.75" style="3155" customWidth="1"/>
    <col min="1026" max="1026" width="11.25" style="3155" customWidth="1"/>
    <col min="1027" max="1027" width="12" style="3155" customWidth="1"/>
    <col min="1028" max="1028" width="11.875" style="3155" customWidth="1"/>
    <col min="1029" max="1029" width="11.125" style="3155" customWidth="1"/>
    <col min="1030" max="1030" width="12.875" style="3155" customWidth="1"/>
    <col min="1031" max="1031" width="11.75" style="3155" customWidth="1"/>
    <col min="1032" max="1032" width="9" style="3155"/>
    <col min="1033" max="1033" width="11.625" style="3155" bestFit="1" customWidth="1"/>
    <col min="1034" max="1034" width="9.5" style="3155" bestFit="1" customWidth="1"/>
    <col min="1035" max="1035" width="14.125" style="3155" customWidth="1"/>
    <col min="1036" max="1036" width="9" style="3155"/>
    <col min="1037" max="1037" width="10.5" style="3155" bestFit="1" customWidth="1"/>
    <col min="1038" max="1038" width="10.875" style="3155" customWidth="1"/>
    <col min="1039" max="1039" width="4.875" style="3155" customWidth="1"/>
    <col min="1040" max="1280" width="9" style="3155"/>
    <col min="1281" max="1281" width="9.75" style="3155" customWidth="1"/>
    <col min="1282" max="1282" width="11.25" style="3155" customWidth="1"/>
    <col min="1283" max="1283" width="12" style="3155" customWidth="1"/>
    <col min="1284" max="1284" width="11.875" style="3155" customWidth="1"/>
    <col min="1285" max="1285" width="11.125" style="3155" customWidth="1"/>
    <col min="1286" max="1286" width="12.875" style="3155" customWidth="1"/>
    <col min="1287" max="1287" width="11.75" style="3155" customWidth="1"/>
    <col min="1288" max="1288" width="9" style="3155"/>
    <col min="1289" max="1289" width="11.625" style="3155" bestFit="1" customWidth="1"/>
    <col min="1290" max="1290" width="9.5" style="3155" bestFit="1" customWidth="1"/>
    <col min="1291" max="1291" width="14.125" style="3155" customWidth="1"/>
    <col min="1292" max="1292" width="9" style="3155"/>
    <col min="1293" max="1293" width="10.5" style="3155" bestFit="1" customWidth="1"/>
    <col min="1294" max="1294" width="10.875" style="3155" customWidth="1"/>
    <col min="1295" max="1295" width="4.875" style="3155" customWidth="1"/>
    <col min="1296" max="1536" width="9" style="3155"/>
    <col min="1537" max="1537" width="9.75" style="3155" customWidth="1"/>
    <col min="1538" max="1538" width="11.25" style="3155" customWidth="1"/>
    <col min="1539" max="1539" width="12" style="3155" customWidth="1"/>
    <col min="1540" max="1540" width="11.875" style="3155" customWidth="1"/>
    <col min="1541" max="1541" width="11.125" style="3155" customWidth="1"/>
    <col min="1542" max="1542" width="12.875" style="3155" customWidth="1"/>
    <col min="1543" max="1543" width="11.75" style="3155" customWidth="1"/>
    <col min="1544" max="1544" width="9" style="3155"/>
    <col min="1545" max="1545" width="11.625" style="3155" bestFit="1" customWidth="1"/>
    <col min="1546" max="1546" width="9.5" style="3155" bestFit="1" customWidth="1"/>
    <col min="1547" max="1547" width="14.125" style="3155" customWidth="1"/>
    <col min="1548" max="1548" width="9" style="3155"/>
    <col min="1549" max="1549" width="10.5" style="3155" bestFit="1" customWidth="1"/>
    <col min="1550" max="1550" width="10.875" style="3155" customWidth="1"/>
    <col min="1551" max="1551" width="4.875" style="3155" customWidth="1"/>
    <col min="1552" max="1792" width="9" style="3155"/>
    <col min="1793" max="1793" width="9.75" style="3155" customWidth="1"/>
    <col min="1794" max="1794" width="11.25" style="3155" customWidth="1"/>
    <col min="1795" max="1795" width="12" style="3155" customWidth="1"/>
    <col min="1796" max="1796" width="11.875" style="3155" customWidth="1"/>
    <col min="1797" max="1797" width="11.125" style="3155" customWidth="1"/>
    <col min="1798" max="1798" width="12.875" style="3155" customWidth="1"/>
    <col min="1799" max="1799" width="11.75" style="3155" customWidth="1"/>
    <col min="1800" max="1800" width="9" style="3155"/>
    <col min="1801" max="1801" width="11.625" style="3155" bestFit="1" customWidth="1"/>
    <col min="1802" max="1802" width="9.5" style="3155" bestFit="1" customWidth="1"/>
    <col min="1803" max="1803" width="14.125" style="3155" customWidth="1"/>
    <col min="1804" max="1804" width="9" style="3155"/>
    <col min="1805" max="1805" width="10.5" style="3155" bestFit="1" customWidth="1"/>
    <col min="1806" max="1806" width="10.875" style="3155" customWidth="1"/>
    <col min="1807" max="1807" width="4.875" style="3155" customWidth="1"/>
    <col min="1808" max="2048" width="9" style="3155"/>
    <col min="2049" max="2049" width="9.75" style="3155" customWidth="1"/>
    <col min="2050" max="2050" width="11.25" style="3155" customWidth="1"/>
    <col min="2051" max="2051" width="12" style="3155" customWidth="1"/>
    <col min="2052" max="2052" width="11.875" style="3155" customWidth="1"/>
    <col min="2053" max="2053" width="11.125" style="3155" customWidth="1"/>
    <col min="2054" max="2054" width="12.875" style="3155" customWidth="1"/>
    <col min="2055" max="2055" width="11.75" style="3155" customWidth="1"/>
    <col min="2056" max="2056" width="9" style="3155"/>
    <col min="2057" max="2057" width="11.625" style="3155" bestFit="1" customWidth="1"/>
    <col min="2058" max="2058" width="9.5" style="3155" bestFit="1" customWidth="1"/>
    <col min="2059" max="2059" width="14.125" style="3155" customWidth="1"/>
    <col min="2060" max="2060" width="9" style="3155"/>
    <col min="2061" max="2061" width="10.5" style="3155" bestFit="1" customWidth="1"/>
    <col min="2062" max="2062" width="10.875" style="3155" customWidth="1"/>
    <col min="2063" max="2063" width="4.875" style="3155" customWidth="1"/>
    <col min="2064" max="2304" width="9" style="3155"/>
    <col min="2305" max="2305" width="9.75" style="3155" customWidth="1"/>
    <col min="2306" max="2306" width="11.25" style="3155" customWidth="1"/>
    <col min="2307" max="2307" width="12" style="3155" customWidth="1"/>
    <col min="2308" max="2308" width="11.875" style="3155" customWidth="1"/>
    <col min="2309" max="2309" width="11.125" style="3155" customWidth="1"/>
    <col min="2310" max="2310" width="12.875" style="3155" customWidth="1"/>
    <col min="2311" max="2311" width="11.75" style="3155" customWidth="1"/>
    <col min="2312" max="2312" width="9" style="3155"/>
    <col min="2313" max="2313" width="11.625" style="3155" bestFit="1" customWidth="1"/>
    <col min="2314" max="2314" width="9.5" style="3155" bestFit="1" customWidth="1"/>
    <col min="2315" max="2315" width="14.125" style="3155" customWidth="1"/>
    <col min="2316" max="2316" width="9" style="3155"/>
    <col min="2317" max="2317" width="10.5" style="3155" bestFit="1" customWidth="1"/>
    <col min="2318" max="2318" width="10.875" style="3155" customWidth="1"/>
    <col min="2319" max="2319" width="4.875" style="3155" customWidth="1"/>
    <col min="2320" max="2560" width="9" style="3155"/>
    <col min="2561" max="2561" width="9.75" style="3155" customWidth="1"/>
    <col min="2562" max="2562" width="11.25" style="3155" customWidth="1"/>
    <col min="2563" max="2563" width="12" style="3155" customWidth="1"/>
    <col min="2564" max="2564" width="11.875" style="3155" customWidth="1"/>
    <col min="2565" max="2565" width="11.125" style="3155" customWidth="1"/>
    <col min="2566" max="2566" width="12.875" style="3155" customWidth="1"/>
    <col min="2567" max="2567" width="11.75" style="3155" customWidth="1"/>
    <col min="2568" max="2568" width="9" style="3155"/>
    <col min="2569" max="2569" width="11.625" style="3155" bestFit="1" customWidth="1"/>
    <col min="2570" max="2570" width="9.5" style="3155" bestFit="1" customWidth="1"/>
    <col min="2571" max="2571" width="14.125" style="3155" customWidth="1"/>
    <col min="2572" max="2572" width="9" style="3155"/>
    <col min="2573" max="2573" width="10.5" style="3155" bestFit="1" customWidth="1"/>
    <col min="2574" max="2574" width="10.875" style="3155" customWidth="1"/>
    <col min="2575" max="2575" width="4.875" style="3155" customWidth="1"/>
    <col min="2576" max="2816" width="9" style="3155"/>
    <col min="2817" max="2817" width="9.75" style="3155" customWidth="1"/>
    <col min="2818" max="2818" width="11.25" style="3155" customWidth="1"/>
    <col min="2819" max="2819" width="12" style="3155" customWidth="1"/>
    <col min="2820" max="2820" width="11.875" style="3155" customWidth="1"/>
    <col min="2821" max="2821" width="11.125" style="3155" customWidth="1"/>
    <col min="2822" max="2822" width="12.875" style="3155" customWidth="1"/>
    <col min="2823" max="2823" width="11.75" style="3155" customWidth="1"/>
    <col min="2824" max="2824" width="9" style="3155"/>
    <col min="2825" max="2825" width="11.625" style="3155" bestFit="1" customWidth="1"/>
    <col min="2826" max="2826" width="9.5" style="3155" bestFit="1" customWidth="1"/>
    <col min="2827" max="2827" width="14.125" style="3155" customWidth="1"/>
    <col min="2828" max="2828" width="9" style="3155"/>
    <col min="2829" max="2829" width="10.5" style="3155" bestFit="1" customWidth="1"/>
    <col min="2830" max="2830" width="10.875" style="3155" customWidth="1"/>
    <col min="2831" max="2831" width="4.875" style="3155" customWidth="1"/>
    <col min="2832" max="3072" width="9" style="3155"/>
    <col min="3073" max="3073" width="9.75" style="3155" customWidth="1"/>
    <col min="3074" max="3074" width="11.25" style="3155" customWidth="1"/>
    <col min="3075" max="3075" width="12" style="3155" customWidth="1"/>
    <col min="3076" max="3076" width="11.875" style="3155" customWidth="1"/>
    <col min="3077" max="3077" width="11.125" style="3155" customWidth="1"/>
    <col min="3078" max="3078" width="12.875" style="3155" customWidth="1"/>
    <col min="3079" max="3079" width="11.75" style="3155" customWidth="1"/>
    <col min="3080" max="3080" width="9" style="3155"/>
    <col min="3081" max="3081" width="11.625" style="3155" bestFit="1" customWidth="1"/>
    <col min="3082" max="3082" width="9.5" style="3155" bestFit="1" customWidth="1"/>
    <col min="3083" max="3083" width="14.125" style="3155" customWidth="1"/>
    <col min="3084" max="3084" width="9" style="3155"/>
    <col min="3085" max="3085" width="10.5" style="3155" bestFit="1" customWidth="1"/>
    <col min="3086" max="3086" width="10.875" style="3155" customWidth="1"/>
    <col min="3087" max="3087" width="4.875" style="3155" customWidth="1"/>
    <col min="3088" max="3328" width="9" style="3155"/>
    <col min="3329" max="3329" width="9.75" style="3155" customWidth="1"/>
    <col min="3330" max="3330" width="11.25" style="3155" customWidth="1"/>
    <col min="3331" max="3331" width="12" style="3155" customWidth="1"/>
    <col min="3332" max="3332" width="11.875" style="3155" customWidth="1"/>
    <col min="3333" max="3333" width="11.125" style="3155" customWidth="1"/>
    <col min="3334" max="3334" width="12.875" style="3155" customWidth="1"/>
    <col min="3335" max="3335" width="11.75" style="3155" customWidth="1"/>
    <col min="3336" max="3336" width="9" style="3155"/>
    <col min="3337" max="3337" width="11.625" style="3155" bestFit="1" customWidth="1"/>
    <col min="3338" max="3338" width="9.5" style="3155" bestFit="1" customWidth="1"/>
    <col min="3339" max="3339" width="14.125" style="3155" customWidth="1"/>
    <col min="3340" max="3340" width="9" style="3155"/>
    <col min="3341" max="3341" width="10.5" style="3155" bestFit="1" customWidth="1"/>
    <col min="3342" max="3342" width="10.875" style="3155" customWidth="1"/>
    <col min="3343" max="3343" width="4.875" style="3155" customWidth="1"/>
    <col min="3344" max="3584" width="9" style="3155"/>
    <col min="3585" max="3585" width="9.75" style="3155" customWidth="1"/>
    <col min="3586" max="3586" width="11.25" style="3155" customWidth="1"/>
    <col min="3587" max="3587" width="12" style="3155" customWidth="1"/>
    <col min="3588" max="3588" width="11.875" style="3155" customWidth="1"/>
    <col min="3589" max="3589" width="11.125" style="3155" customWidth="1"/>
    <col min="3590" max="3590" width="12.875" style="3155" customWidth="1"/>
    <col min="3591" max="3591" width="11.75" style="3155" customWidth="1"/>
    <col min="3592" max="3592" width="9" style="3155"/>
    <col min="3593" max="3593" width="11.625" style="3155" bestFit="1" customWidth="1"/>
    <col min="3594" max="3594" width="9.5" style="3155" bestFit="1" customWidth="1"/>
    <col min="3595" max="3595" width="14.125" style="3155" customWidth="1"/>
    <col min="3596" max="3596" width="9" style="3155"/>
    <col min="3597" max="3597" width="10.5" style="3155" bestFit="1" customWidth="1"/>
    <col min="3598" max="3598" width="10.875" style="3155" customWidth="1"/>
    <col min="3599" max="3599" width="4.875" style="3155" customWidth="1"/>
    <col min="3600" max="3840" width="9" style="3155"/>
    <col min="3841" max="3841" width="9.75" style="3155" customWidth="1"/>
    <col min="3842" max="3842" width="11.25" style="3155" customWidth="1"/>
    <col min="3843" max="3843" width="12" style="3155" customWidth="1"/>
    <col min="3844" max="3844" width="11.875" style="3155" customWidth="1"/>
    <col min="3845" max="3845" width="11.125" style="3155" customWidth="1"/>
    <col min="3846" max="3846" width="12.875" style="3155" customWidth="1"/>
    <col min="3847" max="3847" width="11.75" style="3155" customWidth="1"/>
    <col min="3848" max="3848" width="9" style="3155"/>
    <col min="3849" max="3849" width="11.625" style="3155" bestFit="1" customWidth="1"/>
    <col min="3850" max="3850" width="9.5" style="3155" bestFit="1" customWidth="1"/>
    <col min="3851" max="3851" width="14.125" style="3155" customWidth="1"/>
    <col min="3852" max="3852" width="9" style="3155"/>
    <col min="3853" max="3853" width="10.5" style="3155" bestFit="1" customWidth="1"/>
    <col min="3854" max="3854" width="10.875" style="3155" customWidth="1"/>
    <col min="3855" max="3855" width="4.875" style="3155" customWidth="1"/>
    <col min="3856" max="4096" width="9" style="3155"/>
    <col min="4097" max="4097" width="9.75" style="3155" customWidth="1"/>
    <col min="4098" max="4098" width="11.25" style="3155" customWidth="1"/>
    <col min="4099" max="4099" width="12" style="3155" customWidth="1"/>
    <col min="4100" max="4100" width="11.875" style="3155" customWidth="1"/>
    <col min="4101" max="4101" width="11.125" style="3155" customWidth="1"/>
    <col min="4102" max="4102" width="12.875" style="3155" customWidth="1"/>
    <col min="4103" max="4103" width="11.75" style="3155" customWidth="1"/>
    <col min="4104" max="4104" width="9" style="3155"/>
    <col min="4105" max="4105" width="11.625" style="3155" bestFit="1" customWidth="1"/>
    <col min="4106" max="4106" width="9.5" style="3155" bestFit="1" customWidth="1"/>
    <col min="4107" max="4107" width="14.125" style="3155" customWidth="1"/>
    <col min="4108" max="4108" width="9" style="3155"/>
    <col min="4109" max="4109" width="10.5" style="3155" bestFit="1" customWidth="1"/>
    <col min="4110" max="4110" width="10.875" style="3155" customWidth="1"/>
    <col min="4111" max="4111" width="4.875" style="3155" customWidth="1"/>
    <col min="4112" max="4352" width="9" style="3155"/>
    <col min="4353" max="4353" width="9.75" style="3155" customWidth="1"/>
    <col min="4354" max="4354" width="11.25" style="3155" customWidth="1"/>
    <col min="4355" max="4355" width="12" style="3155" customWidth="1"/>
    <col min="4356" max="4356" width="11.875" style="3155" customWidth="1"/>
    <col min="4357" max="4357" width="11.125" style="3155" customWidth="1"/>
    <col min="4358" max="4358" width="12.875" style="3155" customWidth="1"/>
    <col min="4359" max="4359" width="11.75" style="3155" customWidth="1"/>
    <col min="4360" max="4360" width="9" style="3155"/>
    <col min="4361" max="4361" width="11.625" style="3155" bestFit="1" customWidth="1"/>
    <col min="4362" max="4362" width="9.5" style="3155" bestFit="1" customWidth="1"/>
    <col min="4363" max="4363" width="14.125" style="3155" customWidth="1"/>
    <col min="4364" max="4364" width="9" style="3155"/>
    <col min="4365" max="4365" width="10.5" style="3155" bestFit="1" customWidth="1"/>
    <col min="4366" max="4366" width="10.875" style="3155" customWidth="1"/>
    <col min="4367" max="4367" width="4.875" style="3155" customWidth="1"/>
    <col min="4368" max="4608" width="9" style="3155"/>
    <col min="4609" max="4609" width="9.75" style="3155" customWidth="1"/>
    <col min="4610" max="4610" width="11.25" style="3155" customWidth="1"/>
    <col min="4611" max="4611" width="12" style="3155" customWidth="1"/>
    <col min="4612" max="4612" width="11.875" style="3155" customWidth="1"/>
    <col min="4613" max="4613" width="11.125" style="3155" customWidth="1"/>
    <col min="4614" max="4614" width="12.875" style="3155" customWidth="1"/>
    <col min="4615" max="4615" width="11.75" style="3155" customWidth="1"/>
    <col min="4616" max="4616" width="9" style="3155"/>
    <col min="4617" max="4617" width="11.625" style="3155" bestFit="1" customWidth="1"/>
    <col min="4618" max="4618" width="9.5" style="3155" bestFit="1" customWidth="1"/>
    <col min="4619" max="4619" width="14.125" style="3155" customWidth="1"/>
    <col min="4620" max="4620" width="9" style="3155"/>
    <col min="4621" max="4621" width="10.5" style="3155" bestFit="1" customWidth="1"/>
    <col min="4622" max="4622" width="10.875" style="3155" customWidth="1"/>
    <col min="4623" max="4623" width="4.875" style="3155" customWidth="1"/>
    <col min="4624" max="4864" width="9" style="3155"/>
    <col min="4865" max="4865" width="9.75" style="3155" customWidth="1"/>
    <col min="4866" max="4866" width="11.25" style="3155" customWidth="1"/>
    <col min="4867" max="4867" width="12" style="3155" customWidth="1"/>
    <col min="4868" max="4868" width="11.875" style="3155" customWidth="1"/>
    <col min="4869" max="4869" width="11.125" style="3155" customWidth="1"/>
    <col min="4870" max="4870" width="12.875" style="3155" customWidth="1"/>
    <col min="4871" max="4871" width="11.75" style="3155" customWidth="1"/>
    <col min="4872" max="4872" width="9" style="3155"/>
    <col min="4873" max="4873" width="11.625" style="3155" bestFit="1" customWidth="1"/>
    <col min="4874" max="4874" width="9.5" style="3155" bestFit="1" customWidth="1"/>
    <col min="4875" max="4875" width="14.125" style="3155" customWidth="1"/>
    <col min="4876" max="4876" width="9" style="3155"/>
    <col min="4877" max="4877" width="10.5" style="3155" bestFit="1" customWidth="1"/>
    <col min="4878" max="4878" width="10.875" style="3155" customWidth="1"/>
    <col min="4879" max="4879" width="4.875" style="3155" customWidth="1"/>
    <col min="4880" max="5120" width="9" style="3155"/>
    <col min="5121" max="5121" width="9.75" style="3155" customWidth="1"/>
    <col min="5122" max="5122" width="11.25" style="3155" customWidth="1"/>
    <col min="5123" max="5123" width="12" style="3155" customWidth="1"/>
    <col min="5124" max="5124" width="11.875" style="3155" customWidth="1"/>
    <col min="5125" max="5125" width="11.125" style="3155" customWidth="1"/>
    <col min="5126" max="5126" width="12.875" style="3155" customWidth="1"/>
    <col min="5127" max="5127" width="11.75" style="3155" customWidth="1"/>
    <col min="5128" max="5128" width="9" style="3155"/>
    <col min="5129" max="5129" width="11.625" style="3155" bestFit="1" customWidth="1"/>
    <col min="5130" max="5130" width="9.5" style="3155" bestFit="1" customWidth="1"/>
    <col min="5131" max="5131" width="14.125" style="3155" customWidth="1"/>
    <col min="5132" max="5132" width="9" style="3155"/>
    <col min="5133" max="5133" width="10.5" style="3155" bestFit="1" customWidth="1"/>
    <col min="5134" max="5134" width="10.875" style="3155" customWidth="1"/>
    <col min="5135" max="5135" width="4.875" style="3155" customWidth="1"/>
    <col min="5136" max="5376" width="9" style="3155"/>
    <col min="5377" max="5377" width="9.75" style="3155" customWidth="1"/>
    <col min="5378" max="5378" width="11.25" style="3155" customWidth="1"/>
    <col min="5379" max="5379" width="12" style="3155" customWidth="1"/>
    <col min="5380" max="5380" width="11.875" style="3155" customWidth="1"/>
    <col min="5381" max="5381" width="11.125" style="3155" customWidth="1"/>
    <col min="5382" max="5382" width="12.875" style="3155" customWidth="1"/>
    <col min="5383" max="5383" width="11.75" style="3155" customWidth="1"/>
    <col min="5384" max="5384" width="9" style="3155"/>
    <col min="5385" max="5385" width="11.625" style="3155" bestFit="1" customWidth="1"/>
    <col min="5386" max="5386" width="9.5" style="3155" bestFit="1" customWidth="1"/>
    <col min="5387" max="5387" width="14.125" style="3155" customWidth="1"/>
    <col min="5388" max="5388" width="9" style="3155"/>
    <col min="5389" max="5389" width="10.5" style="3155" bestFit="1" customWidth="1"/>
    <col min="5390" max="5390" width="10.875" style="3155" customWidth="1"/>
    <col min="5391" max="5391" width="4.875" style="3155" customWidth="1"/>
    <col min="5392" max="5632" width="9" style="3155"/>
    <col min="5633" max="5633" width="9.75" style="3155" customWidth="1"/>
    <col min="5634" max="5634" width="11.25" style="3155" customWidth="1"/>
    <col min="5635" max="5635" width="12" style="3155" customWidth="1"/>
    <col min="5636" max="5636" width="11.875" style="3155" customWidth="1"/>
    <col min="5637" max="5637" width="11.125" style="3155" customWidth="1"/>
    <col min="5638" max="5638" width="12.875" style="3155" customWidth="1"/>
    <col min="5639" max="5639" width="11.75" style="3155" customWidth="1"/>
    <col min="5640" max="5640" width="9" style="3155"/>
    <col min="5641" max="5641" width="11.625" style="3155" bestFit="1" customWidth="1"/>
    <col min="5642" max="5642" width="9.5" style="3155" bestFit="1" customWidth="1"/>
    <col min="5643" max="5643" width="14.125" style="3155" customWidth="1"/>
    <col min="5644" max="5644" width="9" style="3155"/>
    <col min="5645" max="5645" width="10.5" style="3155" bestFit="1" customWidth="1"/>
    <col min="5646" max="5646" width="10.875" style="3155" customWidth="1"/>
    <col min="5647" max="5647" width="4.875" style="3155" customWidth="1"/>
    <col min="5648" max="5888" width="9" style="3155"/>
    <col min="5889" max="5889" width="9.75" style="3155" customWidth="1"/>
    <col min="5890" max="5890" width="11.25" style="3155" customWidth="1"/>
    <col min="5891" max="5891" width="12" style="3155" customWidth="1"/>
    <col min="5892" max="5892" width="11.875" style="3155" customWidth="1"/>
    <col min="5893" max="5893" width="11.125" style="3155" customWidth="1"/>
    <col min="5894" max="5894" width="12.875" style="3155" customWidth="1"/>
    <col min="5895" max="5895" width="11.75" style="3155" customWidth="1"/>
    <col min="5896" max="5896" width="9" style="3155"/>
    <col min="5897" max="5897" width="11.625" style="3155" bestFit="1" customWidth="1"/>
    <col min="5898" max="5898" width="9.5" style="3155" bestFit="1" customWidth="1"/>
    <col min="5899" max="5899" width="14.125" style="3155" customWidth="1"/>
    <col min="5900" max="5900" width="9" style="3155"/>
    <col min="5901" max="5901" width="10.5" style="3155" bestFit="1" customWidth="1"/>
    <col min="5902" max="5902" width="10.875" style="3155" customWidth="1"/>
    <col min="5903" max="5903" width="4.875" style="3155" customWidth="1"/>
    <col min="5904" max="6144" width="9" style="3155"/>
    <col min="6145" max="6145" width="9.75" style="3155" customWidth="1"/>
    <col min="6146" max="6146" width="11.25" style="3155" customWidth="1"/>
    <col min="6147" max="6147" width="12" style="3155" customWidth="1"/>
    <col min="6148" max="6148" width="11.875" style="3155" customWidth="1"/>
    <col min="6149" max="6149" width="11.125" style="3155" customWidth="1"/>
    <col min="6150" max="6150" width="12.875" style="3155" customWidth="1"/>
    <col min="6151" max="6151" width="11.75" style="3155" customWidth="1"/>
    <col min="6152" max="6152" width="9" style="3155"/>
    <col min="6153" max="6153" width="11.625" style="3155" bestFit="1" customWidth="1"/>
    <col min="6154" max="6154" width="9.5" style="3155" bestFit="1" customWidth="1"/>
    <col min="6155" max="6155" width="14.125" style="3155" customWidth="1"/>
    <col min="6156" max="6156" width="9" style="3155"/>
    <col min="6157" max="6157" width="10.5" style="3155" bestFit="1" customWidth="1"/>
    <col min="6158" max="6158" width="10.875" style="3155" customWidth="1"/>
    <col min="6159" max="6159" width="4.875" style="3155" customWidth="1"/>
    <col min="6160" max="6400" width="9" style="3155"/>
    <col min="6401" max="6401" width="9.75" style="3155" customWidth="1"/>
    <col min="6402" max="6402" width="11.25" style="3155" customWidth="1"/>
    <col min="6403" max="6403" width="12" style="3155" customWidth="1"/>
    <col min="6404" max="6404" width="11.875" style="3155" customWidth="1"/>
    <col min="6405" max="6405" width="11.125" style="3155" customWidth="1"/>
    <col min="6406" max="6406" width="12.875" style="3155" customWidth="1"/>
    <col min="6407" max="6407" width="11.75" style="3155" customWidth="1"/>
    <col min="6408" max="6408" width="9" style="3155"/>
    <col min="6409" max="6409" width="11.625" style="3155" bestFit="1" customWidth="1"/>
    <col min="6410" max="6410" width="9.5" style="3155" bestFit="1" customWidth="1"/>
    <col min="6411" max="6411" width="14.125" style="3155" customWidth="1"/>
    <col min="6412" max="6412" width="9" style="3155"/>
    <col min="6413" max="6413" width="10.5" style="3155" bestFit="1" customWidth="1"/>
    <col min="6414" max="6414" width="10.875" style="3155" customWidth="1"/>
    <col min="6415" max="6415" width="4.875" style="3155" customWidth="1"/>
    <col min="6416" max="6656" width="9" style="3155"/>
    <col min="6657" max="6657" width="9.75" style="3155" customWidth="1"/>
    <col min="6658" max="6658" width="11.25" style="3155" customWidth="1"/>
    <col min="6659" max="6659" width="12" style="3155" customWidth="1"/>
    <col min="6660" max="6660" width="11.875" style="3155" customWidth="1"/>
    <col min="6661" max="6661" width="11.125" style="3155" customWidth="1"/>
    <col min="6662" max="6662" width="12.875" style="3155" customWidth="1"/>
    <col min="6663" max="6663" width="11.75" style="3155" customWidth="1"/>
    <col min="6664" max="6664" width="9" style="3155"/>
    <col min="6665" max="6665" width="11.625" style="3155" bestFit="1" customWidth="1"/>
    <col min="6666" max="6666" width="9.5" style="3155" bestFit="1" customWidth="1"/>
    <col min="6667" max="6667" width="14.125" style="3155" customWidth="1"/>
    <col min="6668" max="6668" width="9" style="3155"/>
    <col min="6669" max="6669" width="10.5" style="3155" bestFit="1" customWidth="1"/>
    <col min="6670" max="6670" width="10.875" style="3155" customWidth="1"/>
    <col min="6671" max="6671" width="4.875" style="3155" customWidth="1"/>
    <col min="6672" max="6912" width="9" style="3155"/>
    <col min="6913" max="6913" width="9.75" style="3155" customWidth="1"/>
    <col min="6914" max="6914" width="11.25" style="3155" customWidth="1"/>
    <col min="6915" max="6915" width="12" style="3155" customWidth="1"/>
    <col min="6916" max="6916" width="11.875" style="3155" customWidth="1"/>
    <col min="6917" max="6917" width="11.125" style="3155" customWidth="1"/>
    <col min="6918" max="6918" width="12.875" style="3155" customWidth="1"/>
    <col min="6919" max="6919" width="11.75" style="3155" customWidth="1"/>
    <col min="6920" max="6920" width="9" style="3155"/>
    <col min="6921" max="6921" width="11.625" style="3155" bestFit="1" customWidth="1"/>
    <col min="6922" max="6922" width="9.5" style="3155" bestFit="1" customWidth="1"/>
    <col min="6923" max="6923" width="14.125" style="3155" customWidth="1"/>
    <col min="6924" max="6924" width="9" style="3155"/>
    <col min="6925" max="6925" width="10.5" style="3155" bestFit="1" customWidth="1"/>
    <col min="6926" max="6926" width="10.875" style="3155" customWidth="1"/>
    <col min="6927" max="6927" width="4.875" style="3155" customWidth="1"/>
    <col min="6928" max="7168" width="9" style="3155"/>
    <col min="7169" max="7169" width="9.75" style="3155" customWidth="1"/>
    <col min="7170" max="7170" width="11.25" style="3155" customWidth="1"/>
    <col min="7171" max="7171" width="12" style="3155" customWidth="1"/>
    <col min="7172" max="7172" width="11.875" style="3155" customWidth="1"/>
    <col min="7173" max="7173" width="11.125" style="3155" customWidth="1"/>
    <col min="7174" max="7174" width="12.875" style="3155" customWidth="1"/>
    <col min="7175" max="7175" width="11.75" style="3155" customWidth="1"/>
    <col min="7176" max="7176" width="9" style="3155"/>
    <col min="7177" max="7177" width="11.625" style="3155" bestFit="1" customWidth="1"/>
    <col min="7178" max="7178" width="9.5" style="3155" bestFit="1" customWidth="1"/>
    <col min="7179" max="7179" width="14.125" style="3155" customWidth="1"/>
    <col min="7180" max="7180" width="9" style="3155"/>
    <col min="7181" max="7181" width="10.5" style="3155" bestFit="1" customWidth="1"/>
    <col min="7182" max="7182" width="10.875" style="3155" customWidth="1"/>
    <col min="7183" max="7183" width="4.875" style="3155" customWidth="1"/>
    <col min="7184" max="7424" width="9" style="3155"/>
    <col min="7425" max="7425" width="9.75" style="3155" customWidth="1"/>
    <col min="7426" max="7426" width="11.25" style="3155" customWidth="1"/>
    <col min="7427" max="7427" width="12" style="3155" customWidth="1"/>
    <col min="7428" max="7428" width="11.875" style="3155" customWidth="1"/>
    <col min="7429" max="7429" width="11.125" style="3155" customWidth="1"/>
    <col min="7430" max="7430" width="12.875" style="3155" customWidth="1"/>
    <col min="7431" max="7431" width="11.75" style="3155" customWidth="1"/>
    <col min="7432" max="7432" width="9" style="3155"/>
    <col min="7433" max="7433" width="11.625" style="3155" bestFit="1" customWidth="1"/>
    <col min="7434" max="7434" width="9.5" style="3155" bestFit="1" customWidth="1"/>
    <col min="7435" max="7435" width="14.125" style="3155" customWidth="1"/>
    <col min="7436" max="7436" width="9" style="3155"/>
    <col min="7437" max="7437" width="10.5" style="3155" bestFit="1" customWidth="1"/>
    <col min="7438" max="7438" width="10.875" style="3155" customWidth="1"/>
    <col min="7439" max="7439" width="4.875" style="3155" customWidth="1"/>
    <col min="7440" max="7680" width="9" style="3155"/>
    <col min="7681" max="7681" width="9.75" style="3155" customWidth="1"/>
    <col min="7682" max="7682" width="11.25" style="3155" customWidth="1"/>
    <col min="7683" max="7683" width="12" style="3155" customWidth="1"/>
    <col min="7684" max="7684" width="11.875" style="3155" customWidth="1"/>
    <col min="7685" max="7685" width="11.125" style="3155" customWidth="1"/>
    <col min="7686" max="7686" width="12.875" style="3155" customWidth="1"/>
    <col min="7687" max="7687" width="11.75" style="3155" customWidth="1"/>
    <col min="7688" max="7688" width="9" style="3155"/>
    <col min="7689" max="7689" width="11.625" style="3155" bestFit="1" customWidth="1"/>
    <col min="7690" max="7690" width="9.5" style="3155" bestFit="1" customWidth="1"/>
    <col min="7691" max="7691" width="14.125" style="3155" customWidth="1"/>
    <col min="7692" max="7692" width="9" style="3155"/>
    <col min="7693" max="7693" width="10.5" style="3155" bestFit="1" customWidth="1"/>
    <col min="7694" max="7694" width="10.875" style="3155" customWidth="1"/>
    <col min="7695" max="7695" width="4.875" style="3155" customWidth="1"/>
    <col min="7696" max="7936" width="9" style="3155"/>
    <col min="7937" max="7937" width="9.75" style="3155" customWidth="1"/>
    <col min="7938" max="7938" width="11.25" style="3155" customWidth="1"/>
    <col min="7939" max="7939" width="12" style="3155" customWidth="1"/>
    <col min="7940" max="7940" width="11.875" style="3155" customWidth="1"/>
    <col min="7941" max="7941" width="11.125" style="3155" customWidth="1"/>
    <col min="7942" max="7942" width="12.875" style="3155" customWidth="1"/>
    <col min="7943" max="7943" width="11.75" style="3155" customWidth="1"/>
    <col min="7944" max="7944" width="9" style="3155"/>
    <col min="7945" max="7945" width="11.625" style="3155" bestFit="1" customWidth="1"/>
    <col min="7946" max="7946" width="9.5" style="3155" bestFit="1" customWidth="1"/>
    <col min="7947" max="7947" width="14.125" style="3155" customWidth="1"/>
    <col min="7948" max="7948" width="9" style="3155"/>
    <col min="7949" max="7949" width="10.5" style="3155" bestFit="1" customWidth="1"/>
    <col min="7950" max="7950" width="10.875" style="3155" customWidth="1"/>
    <col min="7951" max="7951" width="4.875" style="3155" customWidth="1"/>
    <col min="7952" max="8192" width="9" style="3155"/>
    <col min="8193" max="8193" width="9.75" style="3155" customWidth="1"/>
    <col min="8194" max="8194" width="11.25" style="3155" customWidth="1"/>
    <col min="8195" max="8195" width="12" style="3155" customWidth="1"/>
    <col min="8196" max="8196" width="11.875" style="3155" customWidth="1"/>
    <col min="8197" max="8197" width="11.125" style="3155" customWidth="1"/>
    <col min="8198" max="8198" width="12.875" style="3155" customWidth="1"/>
    <col min="8199" max="8199" width="11.75" style="3155" customWidth="1"/>
    <col min="8200" max="8200" width="9" style="3155"/>
    <col min="8201" max="8201" width="11.625" style="3155" bestFit="1" customWidth="1"/>
    <col min="8202" max="8202" width="9.5" style="3155" bestFit="1" customWidth="1"/>
    <col min="8203" max="8203" width="14.125" style="3155" customWidth="1"/>
    <col min="8204" max="8204" width="9" style="3155"/>
    <col min="8205" max="8205" width="10.5" style="3155" bestFit="1" customWidth="1"/>
    <col min="8206" max="8206" width="10.875" style="3155" customWidth="1"/>
    <col min="8207" max="8207" width="4.875" style="3155" customWidth="1"/>
    <col min="8208" max="8448" width="9" style="3155"/>
    <col min="8449" max="8449" width="9.75" style="3155" customWidth="1"/>
    <col min="8450" max="8450" width="11.25" style="3155" customWidth="1"/>
    <col min="8451" max="8451" width="12" style="3155" customWidth="1"/>
    <col min="8452" max="8452" width="11.875" style="3155" customWidth="1"/>
    <col min="8453" max="8453" width="11.125" style="3155" customWidth="1"/>
    <col min="8454" max="8454" width="12.875" style="3155" customWidth="1"/>
    <col min="8455" max="8455" width="11.75" style="3155" customWidth="1"/>
    <col min="8456" max="8456" width="9" style="3155"/>
    <col min="8457" max="8457" width="11.625" style="3155" bestFit="1" customWidth="1"/>
    <col min="8458" max="8458" width="9.5" style="3155" bestFit="1" customWidth="1"/>
    <col min="8459" max="8459" width="14.125" style="3155" customWidth="1"/>
    <col min="8460" max="8460" width="9" style="3155"/>
    <col min="8461" max="8461" width="10.5" style="3155" bestFit="1" customWidth="1"/>
    <col min="8462" max="8462" width="10.875" style="3155" customWidth="1"/>
    <col min="8463" max="8463" width="4.875" style="3155" customWidth="1"/>
    <col min="8464" max="8704" width="9" style="3155"/>
    <col min="8705" max="8705" width="9.75" style="3155" customWidth="1"/>
    <col min="8706" max="8706" width="11.25" style="3155" customWidth="1"/>
    <col min="8707" max="8707" width="12" style="3155" customWidth="1"/>
    <col min="8708" max="8708" width="11.875" style="3155" customWidth="1"/>
    <col min="8709" max="8709" width="11.125" style="3155" customWidth="1"/>
    <col min="8710" max="8710" width="12.875" style="3155" customWidth="1"/>
    <col min="8711" max="8711" width="11.75" style="3155" customWidth="1"/>
    <col min="8712" max="8712" width="9" style="3155"/>
    <col min="8713" max="8713" width="11.625" style="3155" bestFit="1" customWidth="1"/>
    <col min="8714" max="8714" width="9.5" style="3155" bestFit="1" customWidth="1"/>
    <col min="8715" max="8715" width="14.125" style="3155" customWidth="1"/>
    <col min="8716" max="8716" width="9" style="3155"/>
    <col min="8717" max="8717" width="10.5" style="3155" bestFit="1" customWidth="1"/>
    <col min="8718" max="8718" width="10.875" style="3155" customWidth="1"/>
    <col min="8719" max="8719" width="4.875" style="3155" customWidth="1"/>
    <col min="8720" max="8960" width="9" style="3155"/>
    <col min="8961" max="8961" width="9.75" style="3155" customWidth="1"/>
    <col min="8962" max="8962" width="11.25" style="3155" customWidth="1"/>
    <col min="8963" max="8963" width="12" style="3155" customWidth="1"/>
    <col min="8964" max="8964" width="11.875" style="3155" customWidth="1"/>
    <col min="8965" max="8965" width="11.125" style="3155" customWidth="1"/>
    <col min="8966" max="8966" width="12.875" style="3155" customWidth="1"/>
    <col min="8967" max="8967" width="11.75" style="3155" customWidth="1"/>
    <col min="8968" max="8968" width="9" style="3155"/>
    <col min="8969" max="8969" width="11.625" style="3155" bestFit="1" customWidth="1"/>
    <col min="8970" max="8970" width="9.5" style="3155" bestFit="1" customWidth="1"/>
    <col min="8971" max="8971" width="14.125" style="3155" customWidth="1"/>
    <col min="8972" max="8972" width="9" style="3155"/>
    <col min="8973" max="8973" width="10.5" style="3155" bestFit="1" customWidth="1"/>
    <col min="8974" max="8974" width="10.875" style="3155" customWidth="1"/>
    <col min="8975" max="8975" width="4.875" style="3155" customWidth="1"/>
    <col min="8976" max="9216" width="9" style="3155"/>
    <col min="9217" max="9217" width="9.75" style="3155" customWidth="1"/>
    <col min="9218" max="9218" width="11.25" style="3155" customWidth="1"/>
    <col min="9219" max="9219" width="12" style="3155" customWidth="1"/>
    <col min="9220" max="9220" width="11.875" style="3155" customWidth="1"/>
    <col min="9221" max="9221" width="11.125" style="3155" customWidth="1"/>
    <col min="9222" max="9222" width="12.875" style="3155" customWidth="1"/>
    <col min="9223" max="9223" width="11.75" style="3155" customWidth="1"/>
    <col min="9224" max="9224" width="9" style="3155"/>
    <col min="9225" max="9225" width="11.625" style="3155" bestFit="1" customWidth="1"/>
    <col min="9226" max="9226" width="9.5" style="3155" bestFit="1" customWidth="1"/>
    <col min="9227" max="9227" width="14.125" style="3155" customWidth="1"/>
    <col min="9228" max="9228" width="9" style="3155"/>
    <col min="9229" max="9229" width="10.5" style="3155" bestFit="1" customWidth="1"/>
    <col min="9230" max="9230" width="10.875" style="3155" customWidth="1"/>
    <col min="9231" max="9231" width="4.875" style="3155" customWidth="1"/>
    <col min="9232" max="9472" width="9" style="3155"/>
    <col min="9473" max="9473" width="9.75" style="3155" customWidth="1"/>
    <col min="9474" max="9474" width="11.25" style="3155" customWidth="1"/>
    <col min="9475" max="9475" width="12" style="3155" customWidth="1"/>
    <col min="9476" max="9476" width="11.875" style="3155" customWidth="1"/>
    <col min="9477" max="9477" width="11.125" style="3155" customWidth="1"/>
    <col min="9478" max="9478" width="12.875" style="3155" customWidth="1"/>
    <col min="9479" max="9479" width="11.75" style="3155" customWidth="1"/>
    <col min="9480" max="9480" width="9" style="3155"/>
    <col min="9481" max="9481" width="11.625" style="3155" bestFit="1" customWidth="1"/>
    <col min="9482" max="9482" width="9.5" style="3155" bestFit="1" customWidth="1"/>
    <col min="9483" max="9483" width="14.125" style="3155" customWidth="1"/>
    <col min="9484" max="9484" width="9" style="3155"/>
    <col min="9485" max="9485" width="10.5" style="3155" bestFit="1" customWidth="1"/>
    <col min="9486" max="9486" width="10.875" style="3155" customWidth="1"/>
    <col min="9487" max="9487" width="4.875" style="3155" customWidth="1"/>
    <col min="9488" max="9728" width="9" style="3155"/>
    <col min="9729" max="9729" width="9.75" style="3155" customWidth="1"/>
    <col min="9730" max="9730" width="11.25" style="3155" customWidth="1"/>
    <col min="9731" max="9731" width="12" style="3155" customWidth="1"/>
    <col min="9732" max="9732" width="11.875" style="3155" customWidth="1"/>
    <col min="9733" max="9733" width="11.125" style="3155" customWidth="1"/>
    <col min="9734" max="9734" width="12.875" style="3155" customWidth="1"/>
    <col min="9735" max="9735" width="11.75" style="3155" customWidth="1"/>
    <col min="9736" max="9736" width="9" style="3155"/>
    <col min="9737" max="9737" width="11.625" style="3155" bestFit="1" customWidth="1"/>
    <col min="9738" max="9738" width="9.5" style="3155" bestFit="1" customWidth="1"/>
    <col min="9739" max="9739" width="14.125" style="3155" customWidth="1"/>
    <col min="9740" max="9740" width="9" style="3155"/>
    <col min="9741" max="9741" width="10.5" style="3155" bestFit="1" customWidth="1"/>
    <col min="9742" max="9742" width="10.875" style="3155" customWidth="1"/>
    <col min="9743" max="9743" width="4.875" style="3155" customWidth="1"/>
    <col min="9744" max="9984" width="9" style="3155"/>
    <col min="9985" max="9985" width="9.75" style="3155" customWidth="1"/>
    <col min="9986" max="9986" width="11.25" style="3155" customWidth="1"/>
    <col min="9987" max="9987" width="12" style="3155" customWidth="1"/>
    <col min="9988" max="9988" width="11.875" style="3155" customWidth="1"/>
    <col min="9989" max="9989" width="11.125" style="3155" customWidth="1"/>
    <col min="9990" max="9990" width="12.875" style="3155" customWidth="1"/>
    <col min="9991" max="9991" width="11.75" style="3155" customWidth="1"/>
    <col min="9992" max="9992" width="9" style="3155"/>
    <col min="9993" max="9993" width="11.625" style="3155" bestFit="1" customWidth="1"/>
    <col min="9994" max="9994" width="9.5" style="3155" bestFit="1" customWidth="1"/>
    <col min="9995" max="9995" width="14.125" style="3155" customWidth="1"/>
    <col min="9996" max="9996" width="9" style="3155"/>
    <col min="9997" max="9997" width="10.5" style="3155" bestFit="1" customWidth="1"/>
    <col min="9998" max="9998" width="10.875" style="3155" customWidth="1"/>
    <col min="9999" max="9999" width="4.875" style="3155" customWidth="1"/>
    <col min="10000" max="10240" width="9" style="3155"/>
    <col min="10241" max="10241" width="9.75" style="3155" customWidth="1"/>
    <col min="10242" max="10242" width="11.25" style="3155" customWidth="1"/>
    <col min="10243" max="10243" width="12" style="3155" customWidth="1"/>
    <col min="10244" max="10244" width="11.875" style="3155" customWidth="1"/>
    <col min="10245" max="10245" width="11.125" style="3155" customWidth="1"/>
    <col min="10246" max="10246" width="12.875" style="3155" customWidth="1"/>
    <col min="10247" max="10247" width="11.75" style="3155" customWidth="1"/>
    <col min="10248" max="10248" width="9" style="3155"/>
    <col min="10249" max="10249" width="11.625" style="3155" bestFit="1" customWidth="1"/>
    <col min="10250" max="10250" width="9.5" style="3155" bestFit="1" customWidth="1"/>
    <col min="10251" max="10251" width="14.125" style="3155" customWidth="1"/>
    <col min="10252" max="10252" width="9" style="3155"/>
    <col min="10253" max="10253" width="10.5" style="3155" bestFit="1" customWidth="1"/>
    <col min="10254" max="10254" width="10.875" style="3155" customWidth="1"/>
    <col min="10255" max="10255" width="4.875" style="3155" customWidth="1"/>
    <col min="10256" max="10496" width="9" style="3155"/>
    <col min="10497" max="10497" width="9.75" style="3155" customWidth="1"/>
    <col min="10498" max="10498" width="11.25" style="3155" customWidth="1"/>
    <col min="10499" max="10499" width="12" style="3155" customWidth="1"/>
    <col min="10500" max="10500" width="11.875" style="3155" customWidth="1"/>
    <col min="10501" max="10501" width="11.125" style="3155" customWidth="1"/>
    <col min="10502" max="10502" width="12.875" style="3155" customWidth="1"/>
    <col min="10503" max="10503" width="11.75" style="3155" customWidth="1"/>
    <col min="10504" max="10504" width="9" style="3155"/>
    <col min="10505" max="10505" width="11.625" style="3155" bestFit="1" customWidth="1"/>
    <col min="10506" max="10506" width="9.5" style="3155" bestFit="1" customWidth="1"/>
    <col min="10507" max="10507" width="14.125" style="3155" customWidth="1"/>
    <col min="10508" max="10508" width="9" style="3155"/>
    <col min="10509" max="10509" width="10.5" style="3155" bestFit="1" customWidth="1"/>
    <col min="10510" max="10510" width="10.875" style="3155" customWidth="1"/>
    <col min="10511" max="10511" width="4.875" style="3155" customWidth="1"/>
    <col min="10512" max="10752" width="9" style="3155"/>
    <col min="10753" max="10753" width="9.75" style="3155" customWidth="1"/>
    <col min="10754" max="10754" width="11.25" style="3155" customWidth="1"/>
    <col min="10755" max="10755" width="12" style="3155" customWidth="1"/>
    <col min="10756" max="10756" width="11.875" style="3155" customWidth="1"/>
    <col min="10757" max="10757" width="11.125" style="3155" customWidth="1"/>
    <col min="10758" max="10758" width="12.875" style="3155" customWidth="1"/>
    <col min="10759" max="10759" width="11.75" style="3155" customWidth="1"/>
    <col min="10760" max="10760" width="9" style="3155"/>
    <col min="10761" max="10761" width="11.625" style="3155" bestFit="1" customWidth="1"/>
    <col min="10762" max="10762" width="9.5" style="3155" bestFit="1" customWidth="1"/>
    <col min="10763" max="10763" width="14.125" style="3155" customWidth="1"/>
    <col min="10764" max="10764" width="9" style="3155"/>
    <col min="10765" max="10765" width="10.5" style="3155" bestFit="1" customWidth="1"/>
    <col min="10766" max="10766" width="10.875" style="3155" customWidth="1"/>
    <col min="10767" max="10767" width="4.875" style="3155" customWidth="1"/>
    <col min="10768" max="11008" width="9" style="3155"/>
    <col min="11009" max="11009" width="9.75" style="3155" customWidth="1"/>
    <col min="11010" max="11010" width="11.25" style="3155" customWidth="1"/>
    <col min="11011" max="11011" width="12" style="3155" customWidth="1"/>
    <col min="11012" max="11012" width="11.875" style="3155" customWidth="1"/>
    <col min="11013" max="11013" width="11.125" style="3155" customWidth="1"/>
    <col min="11014" max="11014" width="12.875" style="3155" customWidth="1"/>
    <col min="11015" max="11015" width="11.75" style="3155" customWidth="1"/>
    <col min="11016" max="11016" width="9" style="3155"/>
    <col min="11017" max="11017" width="11.625" style="3155" bestFit="1" customWidth="1"/>
    <col min="11018" max="11018" width="9.5" style="3155" bestFit="1" customWidth="1"/>
    <col min="11019" max="11019" width="14.125" style="3155" customWidth="1"/>
    <col min="11020" max="11020" width="9" style="3155"/>
    <col min="11021" max="11021" width="10.5" style="3155" bestFit="1" customWidth="1"/>
    <col min="11022" max="11022" width="10.875" style="3155" customWidth="1"/>
    <col min="11023" max="11023" width="4.875" style="3155" customWidth="1"/>
    <col min="11024" max="11264" width="9" style="3155"/>
    <col min="11265" max="11265" width="9.75" style="3155" customWidth="1"/>
    <col min="11266" max="11266" width="11.25" style="3155" customWidth="1"/>
    <col min="11267" max="11267" width="12" style="3155" customWidth="1"/>
    <col min="11268" max="11268" width="11.875" style="3155" customWidth="1"/>
    <col min="11269" max="11269" width="11.125" style="3155" customWidth="1"/>
    <col min="11270" max="11270" width="12.875" style="3155" customWidth="1"/>
    <col min="11271" max="11271" width="11.75" style="3155" customWidth="1"/>
    <col min="11272" max="11272" width="9" style="3155"/>
    <col min="11273" max="11273" width="11.625" style="3155" bestFit="1" customWidth="1"/>
    <col min="11274" max="11274" width="9.5" style="3155" bestFit="1" customWidth="1"/>
    <col min="11275" max="11275" width="14.125" style="3155" customWidth="1"/>
    <col min="11276" max="11276" width="9" style="3155"/>
    <col min="11277" max="11277" width="10.5" style="3155" bestFit="1" customWidth="1"/>
    <col min="11278" max="11278" width="10.875" style="3155" customWidth="1"/>
    <col min="11279" max="11279" width="4.875" style="3155" customWidth="1"/>
    <col min="11280" max="11520" width="9" style="3155"/>
    <col min="11521" max="11521" width="9.75" style="3155" customWidth="1"/>
    <col min="11522" max="11522" width="11.25" style="3155" customWidth="1"/>
    <col min="11523" max="11523" width="12" style="3155" customWidth="1"/>
    <col min="11524" max="11524" width="11.875" style="3155" customWidth="1"/>
    <col min="11525" max="11525" width="11.125" style="3155" customWidth="1"/>
    <col min="11526" max="11526" width="12.875" style="3155" customWidth="1"/>
    <col min="11527" max="11527" width="11.75" style="3155" customWidth="1"/>
    <col min="11528" max="11528" width="9" style="3155"/>
    <col min="11529" max="11529" width="11.625" style="3155" bestFit="1" customWidth="1"/>
    <col min="11530" max="11530" width="9.5" style="3155" bestFit="1" customWidth="1"/>
    <col min="11531" max="11531" width="14.125" style="3155" customWidth="1"/>
    <col min="11532" max="11532" width="9" style="3155"/>
    <col min="11533" max="11533" width="10.5" style="3155" bestFit="1" customWidth="1"/>
    <col min="11534" max="11534" width="10.875" style="3155" customWidth="1"/>
    <col min="11535" max="11535" width="4.875" style="3155" customWidth="1"/>
    <col min="11536" max="11776" width="9" style="3155"/>
    <col min="11777" max="11777" width="9.75" style="3155" customWidth="1"/>
    <col min="11778" max="11778" width="11.25" style="3155" customWidth="1"/>
    <col min="11779" max="11779" width="12" style="3155" customWidth="1"/>
    <col min="11780" max="11780" width="11.875" style="3155" customWidth="1"/>
    <col min="11781" max="11781" width="11.125" style="3155" customWidth="1"/>
    <col min="11782" max="11782" width="12.875" style="3155" customWidth="1"/>
    <col min="11783" max="11783" width="11.75" style="3155" customWidth="1"/>
    <col min="11784" max="11784" width="9" style="3155"/>
    <col min="11785" max="11785" width="11.625" style="3155" bestFit="1" customWidth="1"/>
    <col min="11786" max="11786" width="9.5" style="3155" bestFit="1" customWidth="1"/>
    <col min="11787" max="11787" width="14.125" style="3155" customWidth="1"/>
    <col min="11788" max="11788" width="9" style="3155"/>
    <col min="11789" max="11789" width="10.5" style="3155" bestFit="1" customWidth="1"/>
    <col min="11790" max="11790" width="10.875" style="3155" customWidth="1"/>
    <col min="11791" max="11791" width="4.875" style="3155" customWidth="1"/>
    <col min="11792" max="12032" width="9" style="3155"/>
    <col min="12033" max="12033" width="9.75" style="3155" customWidth="1"/>
    <col min="12034" max="12034" width="11.25" style="3155" customWidth="1"/>
    <col min="12035" max="12035" width="12" style="3155" customWidth="1"/>
    <col min="12036" max="12036" width="11.875" style="3155" customWidth="1"/>
    <col min="12037" max="12037" width="11.125" style="3155" customWidth="1"/>
    <col min="12038" max="12038" width="12.875" style="3155" customWidth="1"/>
    <col min="12039" max="12039" width="11.75" style="3155" customWidth="1"/>
    <col min="12040" max="12040" width="9" style="3155"/>
    <col min="12041" max="12041" width="11.625" style="3155" bestFit="1" customWidth="1"/>
    <col min="12042" max="12042" width="9.5" style="3155" bestFit="1" customWidth="1"/>
    <col min="12043" max="12043" width="14.125" style="3155" customWidth="1"/>
    <col min="12044" max="12044" width="9" style="3155"/>
    <col min="12045" max="12045" width="10.5" style="3155" bestFit="1" customWidth="1"/>
    <col min="12046" max="12046" width="10.875" style="3155" customWidth="1"/>
    <col min="12047" max="12047" width="4.875" style="3155" customWidth="1"/>
    <col min="12048" max="12288" width="9" style="3155"/>
    <col min="12289" max="12289" width="9.75" style="3155" customWidth="1"/>
    <col min="12290" max="12290" width="11.25" style="3155" customWidth="1"/>
    <col min="12291" max="12291" width="12" style="3155" customWidth="1"/>
    <col min="12292" max="12292" width="11.875" style="3155" customWidth="1"/>
    <col min="12293" max="12293" width="11.125" style="3155" customWidth="1"/>
    <col min="12294" max="12294" width="12.875" style="3155" customWidth="1"/>
    <col min="12295" max="12295" width="11.75" style="3155" customWidth="1"/>
    <col min="12296" max="12296" width="9" style="3155"/>
    <col min="12297" max="12297" width="11.625" style="3155" bestFit="1" customWidth="1"/>
    <col min="12298" max="12298" width="9.5" style="3155" bestFit="1" customWidth="1"/>
    <col min="12299" max="12299" width="14.125" style="3155" customWidth="1"/>
    <col min="12300" max="12300" width="9" style="3155"/>
    <col min="12301" max="12301" width="10.5" style="3155" bestFit="1" customWidth="1"/>
    <col min="12302" max="12302" width="10.875" style="3155" customWidth="1"/>
    <col min="12303" max="12303" width="4.875" style="3155" customWidth="1"/>
    <col min="12304" max="12544" width="9" style="3155"/>
    <col min="12545" max="12545" width="9.75" style="3155" customWidth="1"/>
    <col min="12546" max="12546" width="11.25" style="3155" customWidth="1"/>
    <col min="12547" max="12547" width="12" style="3155" customWidth="1"/>
    <col min="12548" max="12548" width="11.875" style="3155" customWidth="1"/>
    <col min="12549" max="12549" width="11.125" style="3155" customWidth="1"/>
    <col min="12550" max="12550" width="12.875" style="3155" customWidth="1"/>
    <col min="12551" max="12551" width="11.75" style="3155" customWidth="1"/>
    <col min="12552" max="12552" width="9" style="3155"/>
    <col min="12553" max="12553" width="11.625" style="3155" bestFit="1" customWidth="1"/>
    <col min="12554" max="12554" width="9.5" style="3155" bestFit="1" customWidth="1"/>
    <col min="12555" max="12555" width="14.125" style="3155" customWidth="1"/>
    <col min="12556" max="12556" width="9" style="3155"/>
    <col min="12557" max="12557" width="10.5" style="3155" bestFit="1" customWidth="1"/>
    <col min="12558" max="12558" width="10.875" style="3155" customWidth="1"/>
    <col min="12559" max="12559" width="4.875" style="3155" customWidth="1"/>
    <col min="12560" max="12800" width="9" style="3155"/>
    <col min="12801" max="12801" width="9.75" style="3155" customWidth="1"/>
    <col min="12802" max="12802" width="11.25" style="3155" customWidth="1"/>
    <col min="12803" max="12803" width="12" style="3155" customWidth="1"/>
    <col min="12804" max="12804" width="11.875" style="3155" customWidth="1"/>
    <col min="12805" max="12805" width="11.125" style="3155" customWidth="1"/>
    <col min="12806" max="12806" width="12.875" style="3155" customWidth="1"/>
    <col min="12807" max="12807" width="11.75" style="3155" customWidth="1"/>
    <col min="12808" max="12808" width="9" style="3155"/>
    <col min="12809" max="12809" width="11.625" style="3155" bestFit="1" customWidth="1"/>
    <col min="12810" max="12810" width="9.5" style="3155" bestFit="1" customWidth="1"/>
    <col min="12811" max="12811" width="14.125" style="3155" customWidth="1"/>
    <col min="12812" max="12812" width="9" style="3155"/>
    <col min="12813" max="12813" width="10.5" style="3155" bestFit="1" customWidth="1"/>
    <col min="12814" max="12814" width="10.875" style="3155" customWidth="1"/>
    <col min="12815" max="12815" width="4.875" style="3155" customWidth="1"/>
    <col min="12816" max="13056" width="9" style="3155"/>
    <col min="13057" max="13057" width="9.75" style="3155" customWidth="1"/>
    <col min="13058" max="13058" width="11.25" style="3155" customWidth="1"/>
    <col min="13059" max="13059" width="12" style="3155" customWidth="1"/>
    <col min="13060" max="13060" width="11.875" style="3155" customWidth="1"/>
    <col min="13061" max="13061" width="11.125" style="3155" customWidth="1"/>
    <col min="13062" max="13062" width="12.875" style="3155" customWidth="1"/>
    <col min="13063" max="13063" width="11.75" style="3155" customWidth="1"/>
    <col min="13064" max="13064" width="9" style="3155"/>
    <col min="13065" max="13065" width="11.625" style="3155" bestFit="1" customWidth="1"/>
    <col min="13066" max="13066" width="9.5" style="3155" bestFit="1" customWidth="1"/>
    <col min="13067" max="13067" width="14.125" style="3155" customWidth="1"/>
    <col min="13068" max="13068" width="9" style="3155"/>
    <col min="13069" max="13069" width="10.5" style="3155" bestFit="1" customWidth="1"/>
    <col min="13070" max="13070" width="10.875" style="3155" customWidth="1"/>
    <col min="13071" max="13071" width="4.875" style="3155" customWidth="1"/>
    <col min="13072" max="13312" width="9" style="3155"/>
    <col min="13313" max="13313" width="9.75" style="3155" customWidth="1"/>
    <col min="13314" max="13314" width="11.25" style="3155" customWidth="1"/>
    <col min="13315" max="13315" width="12" style="3155" customWidth="1"/>
    <col min="13316" max="13316" width="11.875" style="3155" customWidth="1"/>
    <col min="13317" max="13317" width="11.125" style="3155" customWidth="1"/>
    <col min="13318" max="13318" width="12.875" style="3155" customWidth="1"/>
    <col min="13319" max="13319" width="11.75" style="3155" customWidth="1"/>
    <col min="13320" max="13320" width="9" style="3155"/>
    <col min="13321" max="13321" width="11.625" style="3155" bestFit="1" customWidth="1"/>
    <col min="13322" max="13322" width="9.5" style="3155" bestFit="1" customWidth="1"/>
    <col min="13323" max="13323" width="14.125" style="3155" customWidth="1"/>
    <col min="13324" max="13324" width="9" style="3155"/>
    <col min="13325" max="13325" width="10.5" style="3155" bestFit="1" customWidth="1"/>
    <col min="13326" max="13326" width="10.875" style="3155" customWidth="1"/>
    <col min="13327" max="13327" width="4.875" style="3155" customWidth="1"/>
    <col min="13328" max="13568" width="9" style="3155"/>
    <col min="13569" max="13569" width="9.75" style="3155" customWidth="1"/>
    <col min="13570" max="13570" width="11.25" style="3155" customWidth="1"/>
    <col min="13571" max="13571" width="12" style="3155" customWidth="1"/>
    <col min="13572" max="13572" width="11.875" style="3155" customWidth="1"/>
    <col min="13573" max="13573" width="11.125" style="3155" customWidth="1"/>
    <col min="13574" max="13574" width="12.875" style="3155" customWidth="1"/>
    <col min="13575" max="13575" width="11.75" style="3155" customWidth="1"/>
    <col min="13576" max="13576" width="9" style="3155"/>
    <col min="13577" max="13577" width="11.625" style="3155" bestFit="1" customWidth="1"/>
    <col min="13578" max="13578" width="9.5" style="3155" bestFit="1" customWidth="1"/>
    <col min="13579" max="13579" width="14.125" style="3155" customWidth="1"/>
    <col min="13580" max="13580" width="9" style="3155"/>
    <col min="13581" max="13581" width="10.5" style="3155" bestFit="1" customWidth="1"/>
    <col min="13582" max="13582" width="10.875" style="3155" customWidth="1"/>
    <col min="13583" max="13583" width="4.875" style="3155" customWidth="1"/>
    <col min="13584" max="13824" width="9" style="3155"/>
    <col min="13825" max="13825" width="9.75" style="3155" customWidth="1"/>
    <col min="13826" max="13826" width="11.25" style="3155" customWidth="1"/>
    <col min="13827" max="13827" width="12" style="3155" customWidth="1"/>
    <col min="13828" max="13828" width="11.875" style="3155" customWidth="1"/>
    <col min="13829" max="13829" width="11.125" style="3155" customWidth="1"/>
    <col min="13830" max="13830" width="12.875" style="3155" customWidth="1"/>
    <col min="13831" max="13831" width="11.75" style="3155" customWidth="1"/>
    <col min="13832" max="13832" width="9" style="3155"/>
    <col min="13833" max="13833" width="11.625" style="3155" bestFit="1" customWidth="1"/>
    <col min="13834" max="13834" width="9.5" style="3155" bestFit="1" customWidth="1"/>
    <col min="13835" max="13835" width="14.125" style="3155" customWidth="1"/>
    <col min="13836" max="13836" width="9" style="3155"/>
    <col min="13837" max="13837" width="10.5" style="3155" bestFit="1" customWidth="1"/>
    <col min="13838" max="13838" width="10.875" style="3155" customWidth="1"/>
    <col min="13839" max="13839" width="4.875" style="3155" customWidth="1"/>
    <col min="13840" max="14080" width="9" style="3155"/>
    <col min="14081" max="14081" width="9.75" style="3155" customWidth="1"/>
    <col min="14082" max="14082" width="11.25" style="3155" customWidth="1"/>
    <col min="14083" max="14083" width="12" style="3155" customWidth="1"/>
    <col min="14084" max="14084" width="11.875" style="3155" customWidth="1"/>
    <col min="14085" max="14085" width="11.125" style="3155" customWidth="1"/>
    <col min="14086" max="14086" width="12.875" style="3155" customWidth="1"/>
    <col min="14087" max="14087" width="11.75" style="3155" customWidth="1"/>
    <col min="14088" max="14088" width="9" style="3155"/>
    <col min="14089" max="14089" width="11.625" style="3155" bestFit="1" customWidth="1"/>
    <col min="14090" max="14090" width="9.5" style="3155" bestFit="1" customWidth="1"/>
    <col min="14091" max="14091" width="14.125" style="3155" customWidth="1"/>
    <col min="14092" max="14092" width="9" style="3155"/>
    <col min="14093" max="14093" width="10.5" style="3155" bestFit="1" customWidth="1"/>
    <col min="14094" max="14094" width="10.875" style="3155" customWidth="1"/>
    <col min="14095" max="14095" width="4.875" style="3155" customWidth="1"/>
    <col min="14096" max="14336" width="9" style="3155"/>
    <col min="14337" max="14337" width="9.75" style="3155" customWidth="1"/>
    <col min="14338" max="14338" width="11.25" style="3155" customWidth="1"/>
    <col min="14339" max="14339" width="12" style="3155" customWidth="1"/>
    <col min="14340" max="14340" width="11.875" style="3155" customWidth="1"/>
    <col min="14341" max="14341" width="11.125" style="3155" customWidth="1"/>
    <col min="14342" max="14342" width="12.875" style="3155" customWidth="1"/>
    <col min="14343" max="14343" width="11.75" style="3155" customWidth="1"/>
    <col min="14344" max="14344" width="9" style="3155"/>
    <col min="14345" max="14345" width="11.625" style="3155" bestFit="1" customWidth="1"/>
    <col min="14346" max="14346" width="9.5" style="3155" bestFit="1" customWidth="1"/>
    <col min="14347" max="14347" width="14.125" style="3155" customWidth="1"/>
    <col min="14348" max="14348" width="9" style="3155"/>
    <col min="14349" max="14349" width="10.5" style="3155" bestFit="1" customWidth="1"/>
    <col min="14350" max="14350" width="10.875" style="3155" customWidth="1"/>
    <col min="14351" max="14351" width="4.875" style="3155" customWidth="1"/>
    <col min="14352" max="14592" width="9" style="3155"/>
    <col min="14593" max="14593" width="9.75" style="3155" customWidth="1"/>
    <col min="14594" max="14594" width="11.25" style="3155" customWidth="1"/>
    <col min="14595" max="14595" width="12" style="3155" customWidth="1"/>
    <col min="14596" max="14596" width="11.875" style="3155" customWidth="1"/>
    <col min="14597" max="14597" width="11.125" style="3155" customWidth="1"/>
    <col min="14598" max="14598" width="12.875" style="3155" customWidth="1"/>
    <col min="14599" max="14599" width="11.75" style="3155" customWidth="1"/>
    <col min="14600" max="14600" width="9" style="3155"/>
    <col min="14601" max="14601" width="11.625" style="3155" bestFit="1" customWidth="1"/>
    <col min="14602" max="14602" width="9.5" style="3155" bestFit="1" customWidth="1"/>
    <col min="14603" max="14603" width="14.125" style="3155" customWidth="1"/>
    <col min="14604" max="14604" width="9" style="3155"/>
    <col min="14605" max="14605" width="10.5" style="3155" bestFit="1" customWidth="1"/>
    <col min="14606" max="14606" width="10.875" style="3155" customWidth="1"/>
    <col min="14607" max="14607" width="4.875" style="3155" customWidth="1"/>
    <col min="14608" max="14848" width="9" style="3155"/>
    <col min="14849" max="14849" width="9.75" style="3155" customWidth="1"/>
    <col min="14850" max="14850" width="11.25" style="3155" customWidth="1"/>
    <col min="14851" max="14851" width="12" style="3155" customWidth="1"/>
    <col min="14852" max="14852" width="11.875" style="3155" customWidth="1"/>
    <col min="14853" max="14853" width="11.125" style="3155" customWidth="1"/>
    <col min="14854" max="14854" width="12.875" style="3155" customWidth="1"/>
    <col min="14855" max="14855" width="11.75" style="3155" customWidth="1"/>
    <col min="14856" max="14856" width="9" style="3155"/>
    <col min="14857" max="14857" width="11.625" style="3155" bestFit="1" customWidth="1"/>
    <col min="14858" max="14858" width="9.5" style="3155" bestFit="1" customWidth="1"/>
    <col min="14859" max="14859" width="14.125" style="3155" customWidth="1"/>
    <col min="14860" max="14860" width="9" style="3155"/>
    <col min="14861" max="14861" width="10.5" style="3155" bestFit="1" customWidth="1"/>
    <col min="14862" max="14862" width="10.875" style="3155" customWidth="1"/>
    <col min="14863" max="14863" width="4.875" style="3155" customWidth="1"/>
    <col min="14864" max="15104" width="9" style="3155"/>
    <col min="15105" max="15105" width="9.75" style="3155" customWidth="1"/>
    <col min="15106" max="15106" width="11.25" style="3155" customWidth="1"/>
    <col min="15107" max="15107" width="12" style="3155" customWidth="1"/>
    <col min="15108" max="15108" width="11.875" style="3155" customWidth="1"/>
    <col min="15109" max="15109" width="11.125" style="3155" customWidth="1"/>
    <col min="15110" max="15110" width="12.875" style="3155" customWidth="1"/>
    <col min="15111" max="15111" width="11.75" style="3155" customWidth="1"/>
    <col min="15112" max="15112" width="9" style="3155"/>
    <col min="15113" max="15113" width="11.625" style="3155" bestFit="1" customWidth="1"/>
    <col min="15114" max="15114" width="9.5" style="3155" bestFit="1" customWidth="1"/>
    <col min="15115" max="15115" width="14.125" style="3155" customWidth="1"/>
    <col min="15116" max="15116" width="9" style="3155"/>
    <col min="15117" max="15117" width="10.5" style="3155" bestFit="1" customWidth="1"/>
    <col min="15118" max="15118" width="10.875" style="3155" customWidth="1"/>
    <col min="15119" max="15119" width="4.875" style="3155" customWidth="1"/>
    <col min="15120" max="15360" width="9" style="3155"/>
    <col min="15361" max="15361" width="9.75" style="3155" customWidth="1"/>
    <col min="15362" max="15362" width="11.25" style="3155" customWidth="1"/>
    <col min="15363" max="15363" width="12" style="3155" customWidth="1"/>
    <col min="15364" max="15364" width="11.875" style="3155" customWidth="1"/>
    <col min="15365" max="15365" width="11.125" style="3155" customWidth="1"/>
    <col min="15366" max="15366" width="12.875" style="3155" customWidth="1"/>
    <col min="15367" max="15367" width="11.75" style="3155" customWidth="1"/>
    <col min="15368" max="15368" width="9" style="3155"/>
    <col min="15369" max="15369" width="11.625" style="3155" bestFit="1" customWidth="1"/>
    <col min="15370" max="15370" width="9.5" style="3155" bestFit="1" customWidth="1"/>
    <col min="15371" max="15371" width="14.125" style="3155" customWidth="1"/>
    <col min="15372" max="15372" width="9" style="3155"/>
    <col min="15373" max="15373" width="10.5" style="3155" bestFit="1" customWidth="1"/>
    <col min="15374" max="15374" width="10.875" style="3155" customWidth="1"/>
    <col min="15375" max="15375" width="4.875" style="3155" customWidth="1"/>
    <col min="15376" max="15616" width="9" style="3155"/>
    <col min="15617" max="15617" width="9.75" style="3155" customWidth="1"/>
    <col min="15618" max="15618" width="11.25" style="3155" customWidth="1"/>
    <col min="15619" max="15619" width="12" style="3155" customWidth="1"/>
    <col min="15620" max="15620" width="11.875" style="3155" customWidth="1"/>
    <col min="15621" max="15621" width="11.125" style="3155" customWidth="1"/>
    <col min="15622" max="15622" width="12.875" style="3155" customWidth="1"/>
    <col min="15623" max="15623" width="11.75" style="3155" customWidth="1"/>
    <col min="15624" max="15624" width="9" style="3155"/>
    <col min="15625" max="15625" width="11.625" style="3155" bestFit="1" customWidth="1"/>
    <col min="15626" max="15626" width="9.5" style="3155" bestFit="1" customWidth="1"/>
    <col min="15627" max="15627" width="14.125" style="3155" customWidth="1"/>
    <col min="15628" max="15628" width="9" style="3155"/>
    <col min="15629" max="15629" width="10.5" style="3155" bestFit="1" customWidth="1"/>
    <col min="15630" max="15630" width="10.875" style="3155" customWidth="1"/>
    <col min="15631" max="15631" width="4.875" style="3155" customWidth="1"/>
    <col min="15632" max="15872" width="9" style="3155"/>
    <col min="15873" max="15873" width="9.75" style="3155" customWidth="1"/>
    <col min="15874" max="15874" width="11.25" style="3155" customWidth="1"/>
    <col min="15875" max="15875" width="12" style="3155" customWidth="1"/>
    <col min="15876" max="15876" width="11.875" style="3155" customWidth="1"/>
    <col min="15877" max="15877" width="11.125" style="3155" customWidth="1"/>
    <col min="15878" max="15878" width="12.875" style="3155" customWidth="1"/>
    <col min="15879" max="15879" width="11.75" style="3155" customWidth="1"/>
    <col min="15880" max="15880" width="9" style="3155"/>
    <col min="15881" max="15881" width="11.625" style="3155" bestFit="1" customWidth="1"/>
    <col min="15882" max="15882" width="9.5" style="3155" bestFit="1" customWidth="1"/>
    <col min="15883" max="15883" width="14.125" style="3155" customWidth="1"/>
    <col min="15884" max="15884" width="9" style="3155"/>
    <col min="15885" max="15885" width="10.5" style="3155" bestFit="1" customWidth="1"/>
    <col min="15886" max="15886" width="10.875" style="3155" customWidth="1"/>
    <col min="15887" max="15887" width="4.875" style="3155" customWidth="1"/>
    <col min="15888" max="16128" width="9" style="3155"/>
    <col min="16129" max="16129" width="9.75" style="3155" customWidth="1"/>
    <col min="16130" max="16130" width="11.25" style="3155" customWidth="1"/>
    <col min="16131" max="16131" width="12" style="3155" customWidth="1"/>
    <col min="16132" max="16132" width="11.875" style="3155" customWidth="1"/>
    <col min="16133" max="16133" width="11.125" style="3155" customWidth="1"/>
    <col min="16134" max="16134" width="12.875" style="3155" customWidth="1"/>
    <col min="16135" max="16135" width="11.75" style="3155" customWidth="1"/>
    <col min="16136" max="16136" width="9" style="3155"/>
    <col min="16137" max="16137" width="11.625" style="3155" bestFit="1" customWidth="1"/>
    <col min="16138" max="16138" width="9.5" style="3155" bestFit="1" customWidth="1"/>
    <col min="16139" max="16139" width="14.125" style="3155" customWidth="1"/>
    <col min="16140" max="16140" width="9" style="3155"/>
    <col min="16141" max="16141" width="10.5" style="3155" bestFit="1" customWidth="1"/>
    <col min="16142" max="16142" width="10.875" style="3155" customWidth="1"/>
    <col min="16143" max="16143" width="4.875" style="3155" customWidth="1"/>
    <col min="16144" max="16384" width="9" style="3155"/>
  </cols>
  <sheetData>
    <row r="1" spans="1:14">
      <c r="A1" s="3641" t="s">
        <v>3917</v>
      </c>
      <c r="B1" s="3642"/>
      <c r="C1" s="3642"/>
      <c r="D1" s="3642"/>
      <c r="E1" s="3642"/>
      <c r="F1" s="3642"/>
      <c r="G1" s="3642"/>
      <c r="H1" s="3642"/>
      <c r="I1" s="3642"/>
      <c r="J1" s="3642"/>
      <c r="K1" s="3642"/>
      <c r="L1" s="3643"/>
    </row>
    <row r="2" spans="1:14" ht="27">
      <c r="A2" s="3156" t="s">
        <v>3918</v>
      </c>
      <c r="B2" s="3157" t="s">
        <v>3919</v>
      </c>
      <c r="C2" s="3157" t="s">
        <v>3920</v>
      </c>
      <c r="D2" s="3157" t="s">
        <v>3921</v>
      </c>
      <c r="E2" s="3157"/>
      <c r="F2" s="3157"/>
      <c r="G2" s="3157"/>
      <c r="H2" s="3157"/>
      <c r="I2" s="3157"/>
      <c r="J2" s="3157"/>
      <c r="K2" s="3157"/>
      <c r="L2" s="3157"/>
    </row>
    <row r="3" spans="1:14">
      <c r="A3" s="3156" t="s">
        <v>3922</v>
      </c>
      <c r="B3" s="3157" t="s">
        <v>70</v>
      </c>
      <c r="C3" s="3157" t="s">
        <v>3923</v>
      </c>
      <c r="D3" s="3157">
        <v>64248.57</v>
      </c>
      <c r="E3" s="3157"/>
      <c r="F3" s="3157"/>
      <c r="G3" s="3157"/>
      <c r="H3" s="3157"/>
      <c r="I3" s="3157"/>
      <c r="J3" s="3157"/>
      <c r="K3" s="3157"/>
      <c r="L3" s="3157"/>
    </row>
    <row r="4" spans="1:14">
      <c r="A4" s="3156" t="s">
        <v>3924</v>
      </c>
      <c r="B4" s="3157" t="s">
        <v>70</v>
      </c>
      <c r="C4" s="3157" t="s">
        <v>3925</v>
      </c>
      <c r="D4" s="3157">
        <v>42395.67</v>
      </c>
      <c r="E4" s="3157"/>
      <c r="F4" s="3157"/>
      <c r="G4" s="3157"/>
      <c r="H4" s="3157"/>
      <c r="I4" s="3157"/>
      <c r="J4" s="3157"/>
      <c r="K4" s="3157"/>
      <c r="L4" s="3157"/>
    </row>
    <row r="5" spans="1:14">
      <c r="A5" s="3156" t="s">
        <v>3926</v>
      </c>
      <c r="B5" s="3157" t="s">
        <v>3927</v>
      </c>
      <c r="C5" s="3157" t="s">
        <v>1378</v>
      </c>
      <c r="D5" s="3157">
        <v>52671.11</v>
      </c>
      <c r="E5" s="3157"/>
      <c r="F5" s="3157"/>
      <c r="G5" s="3157"/>
      <c r="H5" s="3157"/>
      <c r="I5" s="3157"/>
      <c r="J5" s="3157"/>
      <c r="K5" s="3157"/>
      <c r="L5" s="3157"/>
    </row>
    <row r="6" spans="1:14" ht="27">
      <c r="A6" s="3156" t="s">
        <v>3926</v>
      </c>
      <c r="B6" s="3157" t="s">
        <v>3928</v>
      </c>
      <c r="C6" s="3157" t="s">
        <v>1378</v>
      </c>
      <c r="D6" s="3157">
        <v>36200.35</v>
      </c>
      <c r="E6" s="3157"/>
      <c r="F6" s="3157"/>
      <c r="G6" s="3157"/>
      <c r="H6" s="3157"/>
      <c r="I6" s="3157"/>
      <c r="J6" s="3157"/>
      <c r="K6" s="3157"/>
      <c r="L6" s="3157"/>
      <c r="M6" s="3158" t="s">
        <v>3929</v>
      </c>
      <c r="N6" s="3158" t="s">
        <v>3930</v>
      </c>
    </row>
    <row r="7" spans="1:14">
      <c r="A7" s="3635" t="s">
        <v>3931</v>
      </c>
      <c r="B7" s="3637" t="s">
        <v>3932</v>
      </c>
      <c r="C7" s="3637" t="s">
        <v>3933</v>
      </c>
      <c r="D7" s="3157">
        <v>81.25</v>
      </c>
      <c r="E7" s="3157">
        <v>42.85</v>
      </c>
      <c r="F7" s="3157">
        <v>41.71</v>
      </c>
      <c r="G7" s="3157">
        <v>42.7</v>
      </c>
      <c r="H7" s="3157">
        <v>33.659999999999997</v>
      </c>
      <c r="I7" s="3157">
        <v>49.84</v>
      </c>
      <c r="J7" s="3157">
        <v>56.08</v>
      </c>
      <c r="K7" s="3157">
        <v>40.86</v>
      </c>
      <c r="L7" s="3157"/>
      <c r="M7" s="3627">
        <v>28</v>
      </c>
      <c r="N7" s="3627">
        <f>SUM(D7:K10)</f>
        <v>1735.9800000000002</v>
      </c>
    </row>
    <row r="8" spans="1:14">
      <c r="A8" s="3640"/>
      <c r="B8" s="3638"/>
      <c r="C8" s="3638"/>
      <c r="D8" s="3157">
        <v>80.430000000000007</v>
      </c>
      <c r="E8" s="3157">
        <v>79.48</v>
      </c>
      <c r="F8" s="3157">
        <v>64.38</v>
      </c>
      <c r="G8" s="3157">
        <v>61.65</v>
      </c>
      <c r="H8" s="3157">
        <v>78.97</v>
      </c>
      <c r="I8" s="3157">
        <v>78.97</v>
      </c>
      <c r="J8" s="3157">
        <v>63.51</v>
      </c>
      <c r="K8" s="3157">
        <v>64.38</v>
      </c>
      <c r="L8" s="3157"/>
      <c r="M8" s="3627"/>
      <c r="N8" s="3627"/>
    </row>
    <row r="9" spans="1:14">
      <c r="A9" s="3640"/>
      <c r="B9" s="3638"/>
      <c r="C9" s="3638"/>
      <c r="D9" s="3157">
        <v>79.48</v>
      </c>
      <c r="E9" s="3157">
        <v>79.48</v>
      </c>
      <c r="F9" s="3157">
        <v>40.86</v>
      </c>
      <c r="G9" s="3157">
        <v>40.86</v>
      </c>
      <c r="H9" s="3157">
        <v>70.650000000000006</v>
      </c>
      <c r="I9" s="3157">
        <v>72.73</v>
      </c>
      <c r="J9" s="3157">
        <v>42.17</v>
      </c>
      <c r="K9" s="3157">
        <v>74.39</v>
      </c>
      <c r="L9" s="3157"/>
      <c r="M9" s="3627"/>
      <c r="N9" s="3627"/>
    </row>
    <row r="10" spans="1:14">
      <c r="A10" s="3636"/>
      <c r="B10" s="3638"/>
      <c r="C10" s="3638"/>
      <c r="D10" s="3157">
        <v>80.66</v>
      </c>
      <c r="E10" s="3157">
        <v>53.88</v>
      </c>
      <c r="F10" s="3157">
        <v>77.5</v>
      </c>
      <c r="G10" s="3157">
        <v>62.6</v>
      </c>
      <c r="H10" s="3157">
        <v>0</v>
      </c>
      <c r="I10" s="3157">
        <v>0</v>
      </c>
      <c r="J10" s="3157">
        <v>0</v>
      </c>
      <c r="K10" s="3157">
        <v>0</v>
      </c>
      <c r="L10" s="3157"/>
      <c r="M10" s="3627"/>
      <c r="N10" s="3627"/>
    </row>
    <row r="11" spans="1:14">
      <c r="A11" s="3635" t="s">
        <v>3934</v>
      </c>
      <c r="B11" s="3638"/>
      <c r="C11" s="3638"/>
      <c r="D11" s="3157">
        <v>81.25</v>
      </c>
      <c r="E11" s="3157">
        <v>42.85</v>
      </c>
      <c r="F11" s="3157">
        <v>41.71</v>
      </c>
      <c r="G11" s="3157">
        <v>42.7</v>
      </c>
      <c r="H11" s="3157">
        <v>33.659999999999997</v>
      </c>
      <c r="I11" s="3157">
        <v>71.17</v>
      </c>
      <c r="J11" s="3157">
        <v>42.06</v>
      </c>
      <c r="K11" s="3157">
        <v>40.86</v>
      </c>
      <c r="L11" s="3157"/>
      <c r="M11" s="3627">
        <f>29*4</f>
        <v>116</v>
      </c>
      <c r="N11" s="3627">
        <f>SUM(D11:K14)*4</f>
        <v>7136.6</v>
      </c>
    </row>
    <row r="12" spans="1:14">
      <c r="A12" s="3640"/>
      <c r="B12" s="3638"/>
      <c r="C12" s="3638"/>
      <c r="D12" s="3157">
        <v>40.86</v>
      </c>
      <c r="E12" s="3157">
        <v>80.430000000000007</v>
      </c>
      <c r="F12" s="3157">
        <v>79.48</v>
      </c>
      <c r="G12" s="3157">
        <v>64.38</v>
      </c>
      <c r="H12" s="3157">
        <v>61.65</v>
      </c>
      <c r="I12" s="3157">
        <v>78.97</v>
      </c>
      <c r="J12" s="3157">
        <v>78.97</v>
      </c>
      <c r="K12" s="3157">
        <v>63.51</v>
      </c>
      <c r="L12" s="3157"/>
      <c r="M12" s="3627"/>
      <c r="N12" s="3627"/>
    </row>
    <row r="13" spans="1:14">
      <c r="A13" s="3640"/>
      <c r="B13" s="3638"/>
      <c r="C13" s="3638"/>
      <c r="D13" s="3157">
        <v>64.38</v>
      </c>
      <c r="E13" s="3157">
        <v>79.48</v>
      </c>
      <c r="F13" s="3157">
        <v>79.48</v>
      </c>
      <c r="G13" s="3157">
        <v>40.86</v>
      </c>
      <c r="H13" s="3157">
        <v>40.86</v>
      </c>
      <c r="I13" s="3157">
        <v>70.650000000000006</v>
      </c>
      <c r="J13" s="3157">
        <v>72.73</v>
      </c>
      <c r="K13" s="3157">
        <v>42.17</v>
      </c>
      <c r="L13" s="3157"/>
      <c r="M13" s="3627"/>
      <c r="N13" s="3627"/>
    </row>
    <row r="14" spans="1:14">
      <c r="A14" s="3636"/>
      <c r="B14" s="3638"/>
      <c r="C14" s="3638"/>
      <c r="D14" s="3157">
        <v>74.39</v>
      </c>
      <c r="E14" s="3157">
        <v>80.66</v>
      </c>
      <c r="F14" s="3157">
        <v>53.88</v>
      </c>
      <c r="G14" s="3157">
        <v>77.5</v>
      </c>
      <c r="H14" s="3157">
        <v>62.6</v>
      </c>
      <c r="I14" s="3157">
        <v>0</v>
      </c>
      <c r="J14" s="3157">
        <v>0</v>
      </c>
      <c r="K14" s="3157">
        <v>0</v>
      </c>
      <c r="L14" s="3157"/>
      <c r="M14" s="3627"/>
      <c r="N14" s="3627"/>
    </row>
    <row r="15" spans="1:14">
      <c r="A15" s="3635" t="s">
        <v>3935</v>
      </c>
      <c r="B15" s="3638"/>
      <c r="C15" s="3638"/>
      <c r="D15" s="3157">
        <v>81.709999999999994</v>
      </c>
      <c r="E15" s="3157">
        <v>42.95</v>
      </c>
      <c r="F15" s="3157">
        <v>41.87</v>
      </c>
      <c r="G15" s="3157">
        <v>42.79</v>
      </c>
      <c r="H15" s="3157">
        <v>33.75</v>
      </c>
      <c r="I15" s="3157">
        <v>71.58</v>
      </c>
      <c r="J15" s="3157">
        <v>42.15</v>
      </c>
      <c r="K15" s="3157">
        <v>40.950000000000003</v>
      </c>
      <c r="L15" s="3157"/>
      <c r="M15" s="3627">
        <f>29*13</f>
        <v>377</v>
      </c>
      <c r="N15" s="3627">
        <f>SUM(D15:K18)*13</f>
        <v>23274.29</v>
      </c>
    </row>
    <row r="16" spans="1:14">
      <c r="A16" s="3640"/>
      <c r="B16" s="3638"/>
      <c r="C16" s="3638"/>
      <c r="D16" s="3157">
        <v>40.950000000000003</v>
      </c>
      <c r="E16" s="3157">
        <v>80.650000000000006</v>
      </c>
      <c r="F16" s="3157">
        <v>79.69</v>
      </c>
      <c r="G16" s="3157">
        <v>64.569999999999993</v>
      </c>
      <c r="H16" s="3157">
        <v>61.85</v>
      </c>
      <c r="I16" s="3157">
        <v>79.150000000000006</v>
      </c>
      <c r="J16" s="3157">
        <v>79.150000000000006</v>
      </c>
      <c r="K16" s="3157">
        <v>63.71</v>
      </c>
      <c r="L16" s="3157"/>
      <c r="M16" s="3627"/>
      <c r="N16" s="3627"/>
    </row>
    <row r="17" spans="1:14">
      <c r="A17" s="3640"/>
      <c r="B17" s="3638"/>
      <c r="C17" s="3638"/>
      <c r="D17" s="3157">
        <v>64.569999999999993</v>
      </c>
      <c r="E17" s="3157">
        <v>79.69</v>
      </c>
      <c r="F17" s="3157">
        <v>79.69</v>
      </c>
      <c r="G17" s="3157">
        <v>40.950000000000003</v>
      </c>
      <c r="H17" s="3157">
        <v>40.950000000000003</v>
      </c>
      <c r="I17" s="3157">
        <v>70.83</v>
      </c>
      <c r="J17" s="3157">
        <v>72.87</v>
      </c>
      <c r="K17" s="3157">
        <v>42.28</v>
      </c>
      <c r="L17" s="3157"/>
      <c r="M17" s="3627"/>
      <c r="N17" s="3627"/>
    </row>
    <row r="18" spans="1:14">
      <c r="A18" s="3636"/>
      <c r="B18" s="3638"/>
      <c r="C18" s="3638"/>
      <c r="D18" s="3157">
        <v>74.94</v>
      </c>
      <c r="E18" s="3157">
        <v>81.209999999999994</v>
      </c>
      <c r="F18" s="3157">
        <v>54.1</v>
      </c>
      <c r="G18" s="3157">
        <v>77.77</v>
      </c>
      <c r="H18" s="3157">
        <v>63.01</v>
      </c>
      <c r="I18" s="3157">
        <v>0</v>
      </c>
      <c r="J18" s="3157">
        <v>0</v>
      </c>
      <c r="K18" s="3157">
        <v>0</v>
      </c>
      <c r="L18" s="3157"/>
      <c r="M18" s="3627"/>
      <c r="N18" s="3627"/>
    </row>
    <row r="19" spans="1:14">
      <c r="A19" s="3635" t="s">
        <v>3936</v>
      </c>
      <c r="B19" s="3638"/>
      <c r="C19" s="3638"/>
      <c r="D19" s="3157">
        <v>42.79</v>
      </c>
      <c r="E19" s="3157">
        <v>33.75</v>
      </c>
      <c r="F19" s="3157">
        <v>71.58</v>
      </c>
      <c r="G19" s="3157">
        <v>42.15</v>
      </c>
      <c r="H19" s="3157">
        <v>40.950000000000003</v>
      </c>
      <c r="I19" s="3157">
        <v>40.950000000000003</v>
      </c>
      <c r="J19" s="3157">
        <v>80.650000000000006</v>
      </c>
      <c r="K19" s="3157">
        <v>79.69</v>
      </c>
      <c r="L19" s="3157"/>
      <c r="M19" s="3627">
        <f>24*5</f>
        <v>120</v>
      </c>
      <c r="N19" s="3627">
        <f>SUM(D19:K21)*5</f>
        <v>7376.9000000000005</v>
      </c>
    </row>
    <row r="20" spans="1:14">
      <c r="A20" s="3640"/>
      <c r="B20" s="3638"/>
      <c r="C20" s="3638"/>
      <c r="D20" s="3157">
        <v>64.569999999999993</v>
      </c>
      <c r="E20" s="3157">
        <v>61.85</v>
      </c>
      <c r="F20" s="3157">
        <v>79.150000000000006</v>
      </c>
      <c r="G20" s="3157">
        <v>79.150000000000006</v>
      </c>
      <c r="H20" s="3157">
        <v>63.71</v>
      </c>
      <c r="I20" s="3157">
        <v>64.569999999999993</v>
      </c>
      <c r="J20" s="3157">
        <v>79.69</v>
      </c>
      <c r="K20" s="3157">
        <v>79.69</v>
      </c>
      <c r="L20" s="3157"/>
      <c r="M20" s="3627"/>
      <c r="N20" s="3627"/>
    </row>
    <row r="21" spans="1:14">
      <c r="A21" s="3636"/>
      <c r="B21" s="3638"/>
      <c r="C21" s="3638"/>
      <c r="D21" s="3157">
        <v>40.950000000000003</v>
      </c>
      <c r="E21" s="3157">
        <v>40.950000000000003</v>
      </c>
      <c r="F21" s="3157">
        <v>70.83</v>
      </c>
      <c r="G21" s="3157">
        <v>72.87</v>
      </c>
      <c r="H21" s="3157">
        <v>42.28</v>
      </c>
      <c r="I21" s="3157">
        <v>74.94</v>
      </c>
      <c r="J21" s="3157">
        <v>73.569999999999993</v>
      </c>
      <c r="K21" s="3157">
        <v>54.1</v>
      </c>
      <c r="L21" s="3157"/>
      <c r="M21" s="3627"/>
      <c r="N21" s="3627"/>
    </row>
    <row r="22" spans="1:14">
      <c r="A22" s="3635" t="s">
        <v>3937</v>
      </c>
      <c r="B22" s="3638"/>
      <c r="C22" s="3638"/>
      <c r="D22" s="3157">
        <v>79.150000000000006</v>
      </c>
      <c r="E22" s="3157">
        <v>61.85</v>
      </c>
      <c r="F22" s="3157">
        <v>64.569999999999993</v>
      </c>
      <c r="G22" s="3157">
        <v>79.69</v>
      </c>
      <c r="H22" s="3157">
        <v>80.650000000000006</v>
      </c>
      <c r="I22" s="3157">
        <v>40.950000000000003</v>
      </c>
      <c r="J22" s="3157">
        <v>40.950000000000003</v>
      </c>
      <c r="K22" s="3157">
        <v>42.15</v>
      </c>
      <c r="L22" s="3157"/>
      <c r="M22" s="3627">
        <f>19*2</f>
        <v>38</v>
      </c>
      <c r="N22" s="3627">
        <f>SUM(D22:K24)*2</f>
        <v>2399.1800000000003</v>
      </c>
    </row>
    <row r="23" spans="1:14">
      <c r="A23" s="3640"/>
      <c r="B23" s="3638"/>
      <c r="C23" s="3638"/>
      <c r="D23" s="3157">
        <v>74.94</v>
      </c>
      <c r="E23" s="3157">
        <v>42.28</v>
      </c>
      <c r="F23" s="3157">
        <v>72.87</v>
      </c>
      <c r="G23" s="3157">
        <v>70.83</v>
      </c>
      <c r="H23" s="3157">
        <v>40.950000000000003</v>
      </c>
      <c r="I23" s="3157">
        <v>40.950000000000003</v>
      </c>
      <c r="J23" s="3157">
        <v>79.69</v>
      </c>
      <c r="K23" s="3157">
        <v>79.69</v>
      </c>
      <c r="L23" s="3157"/>
      <c r="M23" s="3627"/>
      <c r="N23" s="3627"/>
    </row>
    <row r="24" spans="1:14">
      <c r="A24" s="3636"/>
      <c r="B24" s="3639"/>
      <c r="C24" s="3639"/>
      <c r="D24" s="3157">
        <v>64.569999999999993</v>
      </c>
      <c r="E24" s="3157">
        <v>63.71</v>
      </c>
      <c r="F24" s="3157">
        <v>79.150000000000006</v>
      </c>
      <c r="G24" s="3157">
        <v>0</v>
      </c>
      <c r="H24" s="3157">
        <v>0</v>
      </c>
      <c r="I24" s="3157">
        <v>0</v>
      </c>
      <c r="J24" s="3157">
        <v>0</v>
      </c>
      <c r="K24" s="3157">
        <v>0</v>
      </c>
      <c r="L24" s="3157"/>
      <c r="M24" s="3627"/>
      <c r="N24" s="3627"/>
    </row>
    <row r="25" spans="1:14">
      <c r="A25" s="3635" t="s">
        <v>3938</v>
      </c>
      <c r="B25" s="3637" t="s">
        <v>3939</v>
      </c>
      <c r="C25" s="3637" t="s">
        <v>3933</v>
      </c>
      <c r="D25" s="3157">
        <v>72.78</v>
      </c>
      <c r="E25" s="3157">
        <v>72.239999999999995</v>
      </c>
      <c r="F25" s="3157">
        <v>40.86</v>
      </c>
      <c r="G25" s="3157">
        <v>79.97</v>
      </c>
      <c r="H25" s="3157">
        <v>79.97</v>
      </c>
      <c r="I25" s="3157">
        <v>65.55</v>
      </c>
      <c r="J25" s="3157">
        <v>64.06</v>
      </c>
      <c r="K25" s="3157">
        <v>81.59</v>
      </c>
      <c r="L25" s="3157"/>
      <c r="M25" s="3627">
        <v>17</v>
      </c>
      <c r="N25" s="3627">
        <f>SUM(D25:K27)</f>
        <v>1155.4800000000002</v>
      </c>
    </row>
    <row r="26" spans="1:14">
      <c r="A26" s="3640"/>
      <c r="B26" s="3638"/>
      <c r="C26" s="3638"/>
      <c r="D26" s="3157">
        <v>81.59</v>
      </c>
      <c r="E26" s="3157">
        <v>63.47</v>
      </c>
      <c r="F26" s="3157">
        <v>65.03</v>
      </c>
      <c r="G26" s="3157">
        <v>79.97</v>
      </c>
      <c r="H26" s="3157">
        <v>80.930000000000007</v>
      </c>
      <c r="I26" s="3157">
        <v>40.86</v>
      </c>
      <c r="J26" s="3157">
        <v>40.86</v>
      </c>
      <c r="K26" s="3157">
        <v>71.3</v>
      </c>
      <c r="L26" s="3157"/>
      <c r="M26" s="3627"/>
      <c r="N26" s="3627"/>
    </row>
    <row r="27" spans="1:14">
      <c r="A27" s="3636"/>
      <c r="B27" s="3638"/>
      <c r="C27" s="3638"/>
      <c r="D27" s="3157">
        <v>74.45</v>
      </c>
      <c r="E27" s="3157">
        <v>0</v>
      </c>
      <c r="F27" s="3157">
        <v>0</v>
      </c>
      <c r="G27" s="3157">
        <v>0</v>
      </c>
      <c r="H27" s="3157">
        <v>0</v>
      </c>
      <c r="I27" s="3157">
        <v>0</v>
      </c>
      <c r="J27" s="3157">
        <v>0</v>
      </c>
      <c r="K27" s="3157">
        <v>0</v>
      </c>
      <c r="L27" s="3157"/>
      <c r="M27" s="3627"/>
      <c r="N27" s="3627"/>
    </row>
    <row r="28" spans="1:14">
      <c r="A28" s="3635" t="s">
        <v>3940</v>
      </c>
      <c r="B28" s="3638"/>
      <c r="C28" s="3638"/>
      <c r="D28" s="3157">
        <v>72.78</v>
      </c>
      <c r="E28" s="3157">
        <v>72.239999999999995</v>
      </c>
      <c r="F28" s="3157">
        <v>40.86</v>
      </c>
      <c r="G28" s="3157">
        <v>40.86</v>
      </c>
      <c r="H28" s="3157">
        <v>79.97</v>
      </c>
      <c r="I28" s="3157">
        <v>79.97</v>
      </c>
      <c r="J28" s="3157">
        <v>65.55</v>
      </c>
      <c r="K28" s="3157">
        <v>64.06</v>
      </c>
      <c r="L28" s="3157"/>
      <c r="M28" s="3627">
        <f>18*9</f>
        <v>162</v>
      </c>
      <c r="N28" s="3627">
        <f>SUM(D28:K30)*9</f>
        <v>10767.060000000001</v>
      </c>
    </row>
    <row r="29" spans="1:14">
      <c r="A29" s="3640"/>
      <c r="B29" s="3638"/>
      <c r="C29" s="3638"/>
      <c r="D29" s="3157">
        <v>81.59</v>
      </c>
      <c r="E29" s="3157">
        <v>81.59</v>
      </c>
      <c r="F29" s="3157">
        <v>63.47</v>
      </c>
      <c r="G29" s="3157">
        <v>65.03</v>
      </c>
      <c r="H29" s="3157">
        <v>79.97</v>
      </c>
      <c r="I29" s="3157">
        <v>80.930000000000007</v>
      </c>
      <c r="J29" s="3157">
        <v>40.86</v>
      </c>
      <c r="K29" s="3157">
        <v>40.86</v>
      </c>
      <c r="L29" s="3157"/>
      <c r="M29" s="3627"/>
      <c r="N29" s="3627"/>
    </row>
    <row r="30" spans="1:14">
      <c r="A30" s="3636"/>
      <c r="B30" s="3638"/>
      <c r="C30" s="3638"/>
      <c r="D30" s="3157">
        <v>71.3</v>
      </c>
      <c r="E30" s="3157">
        <v>74.45</v>
      </c>
      <c r="F30" s="3157">
        <v>0</v>
      </c>
      <c r="G30" s="3157">
        <v>0</v>
      </c>
      <c r="H30" s="3157">
        <v>0</v>
      </c>
      <c r="I30" s="3157">
        <v>0</v>
      </c>
      <c r="J30" s="3157">
        <v>0</v>
      </c>
      <c r="K30" s="3157">
        <v>0</v>
      </c>
      <c r="L30" s="3157"/>
      <c r="M30" s="3627"/>
      <c r="N30" s="3627"/>
    </row>
    <row r="31" spans="1:14">
      <c r="A31" s="3635" t="s">
        <v>3941</v>
      </c>
      <c r="B31" s="3638"/>
      <c r="C31" s="3638"/>
      <c r="D31" s="3157">
        <v>72.78</v>
      </c>
      <c r="E31" s="3157">
        <v>72.239999999999995</v>
      </c>
      <c r="F31" s="3157">
        <v>40.950000000000003</v>
      </c>
      <c r="G31" s="3157">
        <v>40.950000000000003</v>
      </c>
      <c r="H31" s="3157">
        <v>80.13</v>
      </c>
      <c r="I31" s="3157">
        <v>80.13</v>
      </c>
      <c r="J31" s="3157">
        <v>65.72</v>
      </c>
      <c r="K31" s="3157">
        <v>64.06</v>
      </c>
      <c r="L31" s="3157"/>
      <c r="M31" s="3627">
        <f>18*17</f>
        <v>306</v>
      </c>
      <c r="N31" s="3627">
        <f>SUM(D31:K33)*17</f>
        <v>20360.560000000005</v>
      </c>
    </row>
    <row r="32" spans="1:14">
      <c r="A32" s="3640"/>
      <c r="B32" s="3638"/>
      <c r="C32" s="3638"/>
      <c r="D32" s="3157">
        <v>81.59</v>
      </c>
      <c r="E32" s="3157">
        <v>81.59</v>
      </c>
      <c r="F32" s="3157">
        <v>63.47</v>
      </c>
      <c r="G32" s="3157">
        <v>65.2</v>
      </c>
      <c r="H32" s="3157">
        <v>80.13</v>
      </c>
      <c r="I32" s="3157">
        <v>81.09</v>
      </c>
      <c r="J32" s="3157">
        <v>40.950000000000003</v>
      </c>
      <c r="K32" s="3157">
        <v>40.950000000000003</v>
      </c>
      <c r="L32" s="3157"/>
      <c r="M32" s="3627"/>
      <c r="N32" s="3627"/>
    </row>
    <row r="33" spans="1:14">
      <c r="A33" s="3636"/>
      <c r="B33" s="3639"/>
      <c r="C33" s="3639"/>
      <c r="D33" s="3157">
        <v>71.3</v>
      </c>
      <c r="E33" s="3157">
        <v>74.45</v>
      </c>
      <c r="F33" s="3157">
        <v>0</v>
      </c>
      <c r="G33" s="3157">
        <v>0</v>
      </c>
      <c r="H33" s="3157">
        <v>0</v>
      </c>
      <c r="I33" s="3157">
        <v>0</v>
      </c>
      <c r="J33" s="3157">
        <v>0</v>
      </c>
      <c r="K33" s="3157">
        <v>0</v>
      </c>
      <c r="L33" s="3157"/>
      <c r="M33" s="3627"/>
      <c r="N33" s="3627"/>
    </row>
    <row r="34" spans="1:14">
      <c r="A34" s="3641" t="s">
        <v>3942</v>
      </c>
      <c r="B34" s="3642"/>
      <c r="C34" s="3643"/>
      <c r="D34" s="3632">
        <f>N34</f>
        <v>74206.050000000017</v>
      </c>
      <c r="E34" s="3633"/>
      <c r="F34" s="3633"/>
      <c r="G34" s="3633"/>
      <c r="H34" s="3633"/>
      <c r="I34" s="3633"/>
      <c r="J34" s="3633"/>
      <c r="K34" s="3633"/>
      <c r="L34" s="3159"/>
      <c r="M34" s="3158">
        <f>SUM(M7:M33)</f>
        <v>1164</v>
      </c>
      <c r="N34" s="3158">
        <f>SUM(N7:N33)</f>
        <v>74206.050000000017</v>
      </c>
    </row>
    <row r="35" spans="1:14">
      <c r="A35" s="3626" t="s">
        <v>3938</v>
      </c>
      <c r="B35" s="3637" t="s">
        <v>3943</v>
      </c>
      <c r="C35" s="3637" t="s">
        <v>3933</v>
      </c>
      <c r="D35" s="3157">
        <v>78.97</v>
      </c>
      <c r="E35" s="3157">
        <v>63.51</v>
      </c>
      <c r="F35" s="3157">
        <v>64.38</v>
      </c>
      <c r="G35" s="3157">
        <v>79.48</v>
      </c>
      <c r="H35" s="3157">
        <v>79.48</v>
      </c>
      <c r="I35" s="3157">
        <v>40.86</v>
      </c>
      <c r="J35" s="3157">
        <v>40.86</v>
      </c>
      <c r="K35" s="3157">
        <v>70.650000000000006</v>
      </c>
      <c r="L35" s="3157"/>
      <c r="M35" s="3637">
        <v>22</v>
      </c>
      <c r="N35" s="3637">
        <f>SUM(D35:K37)</f>
        <v>1445.8700000000001</v>
      </c>
    </row>
    <row r="36" spans="1:14">
      <c r="A36" s="3626"/>
      <c r="B36" s="3638"/>
      <c r="C36" s="3638"/>
      <c r="D36" s="3157">
        <v>72.73</v>
      </c>
      <c r="E36" s="3157">
        <v>41.97</v>
      </c>
      <c r="F36" s="3157">
        <v>73.989999999999995</v>
      </c>
      <c r="G36" s="3157">
        <v>75.05</v>
      </c>
      <c r="H36" s="3157">
        <v>70.53</v>
      </c>
      <c r="I36" s="3157">
        <v>76.180000000000007</v>
      </c>
      <c r="J36" s="3157">
        <v>55.38</v>
      </c>
      <c r="K36" s="3157">
        <v>56.08</v>
      </c>
      <c r="L36" s="3157"/>
      <c r="M36" s="3638"/>
      <c r="N36" s="3638"/>
    </row>
    <row r="37" spans="1:14">
      <c r="A37" s="3626"/>
      <c r="B37" s="3638"/>
      <c r="C37" s="3638"/>
      <c r="D37" s="3157">
        <v>40.86</v>
      </c>
      <c r="E37" s="3157">
        <v>80.430000000000007</v>
      </c>
      <c r="F37" s="3157">
        <v>79.48</v>
      </c>
      <c r="G37" s="3157">
        <v>64.38</v>
      </c>
      <c r="H37" s="3157">
        <v>61.65</v>
      </c>
      <c r="I37" s="3157">
        <v>78.97</v>
      </c>
      <c r="J37" s="3157">
        <v>0</v>
      </c>
      <c r="K37" s="3157">
        <v>0</v>
      </c>
      <c r="L37" s="3157"/>
      <c r="M37" s="3639"/>
      <c r="N37" s="3639"/>
    </row>
    <row r="38" spans="1:14">
      <c r="A38" s="3635" t="s">
        <v>3944</v>
      </c>
      <c r="B38" s="3638"/>
      <c r="C38" s="3638"/>
      <c r="D38" s="3157">
        <v>78.97</v>
      </c>
      <c r="E38" s="3157">
        <v>63.51</v>
      </c>
      <c r="F38" s="3157">
        <v>64.38</v>
      </c>
      <c r="G38" s="3157">
        <v>79.48</v>
      </c>
      <c r="H38" s="3157">
        <v>79.48</v>
      </c>
      <c r="I38" s="3157">
        <v>40.86</v>
      </c>
      <c r="J38" s="3157">
        <v>40.86</v>
      </c>
      <c r="K38" s="3157">
        <v>70.650000000000006</v>
      </c>
      <c r="L38" s="3157"/>
      <c r="M38" s="3637">
        <f>23*4</f>
        <v>92</v>
      </c>
      <c r="N38" s="3637">
        <f>SUM(D38:K40)*4</f>
        <v>5975.5999999999995</v>
      </c>
    </row>
    <row r="39" spans="1:14">
      <c r="A39" s="3640"/>
      <c r="B39" s="3638"/>
      <c r="C39" s="3638"/>
      <c r="D39" s="3157">
        <v>72.73</v>
      </c>
      <c r="E39" s="3157">
        <v>41.97</v>
      </c>
      <c r="F39" s="3157">
        <v>73.989999999999995</v>
      </c>
      <c r="G39" s="3157">
        <v>75.05</v>
      </c>
      <c r="H39" s="3157">
        <v>70.53</v>
      </c>
      <c r="I39" s="3157">
        <v>76.180000000000007</v>
      </c>
      <c r="J39" s="3157">
        <v>76.569999999999993</v>
      </c>
      <c r="K39" s="3157">
        <v>42.06</v>
      </c>
      <c r="L39" s="3157"/>
      <c r="M39" s="3638"/>
      <c r="N39" s="3638"/>
    </row>
    <row r="40" spans="1:14">
      <c r="A40" s="3636"/>
      <c r="B40" s="3638"/>
      <c r="C40" s="3638"/>
      <c r="D40" s="3157">
        <v>40.86</v>
      </c>
      <c r="E40" s="3157">
        <v>40.86</v>
      </c>
      <c r="F40" s="3157">
        <v>80.430000000000007</v>
      </c>
      <c r="G40" s="3157">
        <v>79.48</v>
      </c>
      <c r="H40" s="3157">
        <v>64.38</v>
      </c>
      <c r="I40" s="3157">
        <v>61.65</v>
      </c>
      <c r="J40" s="3157">
        <v>78.97</v>
      </c>
      <c r="K40" s="3157">
        <v>0</v>
      </c>
      <c r="L40" s="3157"/>
      <c r="M40" s="3639"/>
      <c r="N40" s="3639"/>
    </row>
    <row r="41" spans="1:14">
      <c r="A41" s="3635" t="s">
        <v>3945</v>
      </c>
      <c r="B41" s="3638"/>
      <c r="C41" s="3638"/>
      <c r="D41" s="3157">
        <v>79.150000000000006</v>
      </c>
      <c r="E41" s="3157">
        <v>63.71</v>
      </c>
      <c r="F41" s="3157">
        <v>64.569999999999993</v>
      </c>
      <c r="G41" s="3157">
        <v>79.69</v>
      </c>
      <c r="H41" s="3157">
        <v>79.69</v>
      </c>
      <c r="I41" s="3157">
        <v>40.950000000000003</v>
      </c>
      <c r="J41" s="3157">
        <v>40.950000000000003</v>
      </c>
      <c r="K41" s="3157">
        <v>70.83</v>
      </c>
      <c r="L41" s="3157"/>
      <c r="M41" s="3637">
        <f>23*20</f>
        <v>460</v>
      </c>
      <c r="N41" s="3637">
        <f>SUM(D41:K43)*20</f>
        <v>29964</v>
      </c>
    </row>
    <row r="42" spans="1:14">
      <c r="A42" s="3640"/>
      <c r="B42" s="3638"/>
      <c r="C42" s="3638"/>
      <c r="D42" s="3157">
        <v>72.87</v>
      </c>
      <c r="E42" s="3157">
        <v>41.97</v>
      </c>
      <c r="F42" s="3157">
        <v>74.33</v>
      </c>
      <c r="G42" s="3157">
        <v>75.31</v>
      </c>
      <c r="H42" s="3157">
        <v>70.53</v>
      </c>
      <c r="I42" s="3157">
        <v>76.67</v>
      </c>
      <c r="J42" s="3157">
        <v>77.290000000000006</v>
      </c>
      <c r="K42" s="3157">
        <v>42.15</v>
      </c>
      <c r="L42" s="3157"/>
      <c r="M42" s="3638"/>
      <c r="N42" s="3638"/>
    </row>
    <row r="43" spans="1:14">
      <c r="A43" s="3636"/>
      <c r="B43" s="3638"/>
      <c r="C43" s="3638"/>
      <c r="D43" s="3157">
        <v>40.950000000000003</v>
      </c>
      <c r="E43" s="3157">
        <v>40.950000000000003</v>
      </c>
      <c r="F43" s="3157">
        <v>80.650000000000006</v>
      </c>
      <c r="G43" s="3157">
        <v>79.69</v>
      </c>
      <c r="H43" s="3157">
        <v>64.569999999999993</v>
      </c>
      <c r="I43" s="3157">
        <v>61.58</v>
      </c>
      <c r="J43" s="3157">
        <v>79.150000000000006</v>
      </c>
      <c r="K43" s="3157">
        <v>0</v>
      </c>
      <c r="L43" s="3157"/>
      <c r="M43" s="3639"/>
      <c r="N43" s="3639"/>
    </row>
    <row r="44" spans="1:14">
      <c r="A44" s="3635" t="s">
        <v>3937</v>
      </c>
      <c r="B44" s="3638"/>
      <c r="C44" s="3638"/>
      <c r="D44" s="3157">
        <v>79.150000000000006</v>
      </c>
      <c r="E44" s="3157">
        <v>63.71</v>
      </c>
      <c r="F44" s="3157">
        <v>64.569999999999993</v>
      </c>
      <c r="G44" s="3157">
        <v>79.69</v>
      </c>
      <c r="H44" s="3157">
        <v>79.69</v>
      </c>
      <c r="I44" s="3157">
        <v>40.950000000000003</v>
      </c>
      <c r="J44" s="3157">
        <v>40.950000000000003</v>
      </c>
      <c r="K44" s="3157">
        <v>70.83</v>
      </c>
      <c r="L44" s="3157"/>
      <c r="M44" s="3637">
        <f>19*2</f>
        <v>38</v>
      </c>
      <c r="N44" s="3637">
        <f>SUM(D44:K46)*2</f>
        <v>2397.34</v>
      </c>
    </row>
    <row r="45" spans="1:14">
      <c r="A45" s="3640"/>
      <c r="B45" s="3638"/>
      <c r="C45" s="3638"/>
      <c r="D45" s="3157">
        <v>72.87</v>
      </c>
      <c r="E45" s="3157">
        <v>41.97</v>
      </c>
      <c r="F45" s="3157">
        <v>74.33</v>
      </c>
      <c r="G45" s="3157">
        <v>42.15</v>
      </c>
      <c r="H45" s="3157">
        <v>40.950000000000003</v>
      </c>
      <c r="I45" s="3157">
        <v>40.950000000000003</v>
      </c>
      <c r="J45" s="3157">
        <v>80.650000000000006</v>
      </c>
      <c r="K45" s="3157">
        <v>79.69</v>
      </c>
      <c r="L45" s="3157"/>
      <c r="M45" s="3638"/>
      <c r="N45" s="3638"/>
    </row>
    <row r="46" spans="1:14">
      <c r="A46" s="3636"/>
      <c r="B46" s="3639"/>
      <c r="C46" s="3639"/>
      <c r="D46" s="3157">
        <v>64.569999999999993</v>
      </c>
      <c r="E46" s="3157">
        <v>61.85</v>
      </c>
      <c r="F46" s="3157">
        <v>79.150000000000006</v>
      </c>
      <c r="G46" s="3157">
        <v>0</v>
      </c>
      <c r="H46" s="3157">
        <v>0</v>
      </c>
      <c r="I46" s="3157">
        <v>0</v>
      </c>
      <c r="J46" s="3157">
        <v>0</v>
      </c>
      <c r="K46" s="3157">
        <v>0</v>
      </c>
      <c r="L46" s="3157"/>
      <c r="M46" s="3639"/>
      <c r="N46" s="3639"/>
    </row>
    <row r="47" spans="1:14">
      <c r="A47" s="3635" t="s">
        <v>3938</v>
      </c>
      <c r="B47" s="3637" t="s">
        <v>3946</v>
      </c>
      <c r="C47" s="3637" t="s">
        <v>3933</v>
      </c>
      <c r="D47" s="3157">
        <v>62.59</v>
      </c>
      <c r="E47" s="3157">
        <v>37.229999999999997</v>
      </c>
      <c r="F47" s="3157">
        <v>55.4</v>
      </c>
      <c r="G47" s="3157">
        <v>55.4</v>
      </c>
      <c r="H47" s="3157">
        <v>37.229999999999997</v>
      </c>
      <c r="I47" s="3157">
        <v>62.59</v>
      </c>
      <c r="J47" s="3157">
        <v>78.22</v>
      </c>
      <c r="K47" s="3157">
        <v>43.49</v>
      </c>
      <c r="L47" s="3157"/>
      <c r="M47" s="3637">
        <v>12</v>
      </c>
      <c r="N47" s="3637">
        <f>SUM(D47:K48)</f>
        <v>673.3</v>
      </c>
    </row>
    <row r="48" spans="1:14">
      <c r="A48" s="3636"/>
      <c r="B48" s="3638"/>
      <c r="C48" s="3638"/>
      <c r="D48" s="3157">
        <v>52.52</v>
      </c>
      <c r="E48" s="3157">
        <v>66.92</v>
      </c>
      <c r="F48" s="3157">
        <v>43.49</v>
      </c>
      <c r="G48" s="3157">
        <v>78.22</v>
      </c>
      <c r="H48" s="3157">
        <v>0</v>
      </c>
      <c r="I48" s="3157">
        <v>0</v>
      </c>
      <c r="J48" s="3157">
        <v>0</v>
      </c>
      <c r="K48" s="3157">
        <v>0</v>
      </c>
      <c r="L48" s="3157"/>
      <c r="M48" s="3639"/>
      <c r="N48" s="3639"/>
    </row>
    <row r="49" spans="1:16">
      <c r="A49" s="3635" t="s">
        <v>3947</v>
      </c>
      <c r="B49" s="3638"/>
      <c r="C49" s="3638"/>
      <c r="D49" s="3157">
        <v>62.59</v>
      </c>
      <c r="E49" s="3157">
        <v>37.229999999999997</v>
      </c>
      <c r="F49" s="3157">
        <v>55.4</v>
      </c>
      <c r="G49" s="3157">
        <v>55.4</v>
      </c>
      <c r="H49" s="3157">
        <v>37.229999999999997</v>
      </c>
      <c r="I49" s="3157">
        <v>62.59</v>
      </c>
      <c r="J49" s="3157">
        <v>78.22</v>
      </c>
      <c r="K49" s="3157">
        <v>43.49</v>
      </c>
      <c r="L49" s="3157"/>
      <c r="M49" s="3637">
        <f>12*24</f>
        <v>288</v>
      </c>
      <c r="N49" s="3637">
        <f>SUM(D49:K50)*24</f>
        <v>16504.800000000003</v>
      </c>
    </row>
    <row r="50" spans="1:16">
      <c r="A50" s="3636"/>
      <c r="B50" s="3638"/>
      <c r="C50" s="3638"/>
      <c r="D50" s="3160">
        <v>66.92</v>
      </c>
      <c r="E50" s="3160">
        <v>66.92</v>
      </c>
      <c r="F50" s="3160">
        <v>43.49</v>
      </c>
      <c r="G50" s="3160">
        <v>78.22</v>
      </c>
      <c r="H50" s="3160">
        <v>0</v>
      </c>
      <c r="I50" s="3160">
        <v>0</v>
      </c>
      <c r="J50" s="3160">
        <v>0</v>
      </c>
      <c r="K50" s="3160">
        <v>0</v>
      </c>
      <c r="L50" s="3160"/>
      <c r="M50" s="3639"/>
      <c r="N50" s="3639"/>
    </row>
    <row r="51" spans="1:16">
      <c r="A51" s="3624" t="s">
        <v>3948</v>
      </c>
      <c r="B51" s="3624"/>
      <c r="C51" s="3624"/>
      <c r="D51" s="3632">
        <f>N51</f>
        <v>56960.91</v>
      </c>
      <c r="E51" s="3633"/>
      <c r="F51" s="3633"/>
      <c r="G51" s="3633"/>
      <c r="H51" s="3633"/>
      <c r="I51" s="3633"/>
      <c r="J51" s="3633"/>
      <c r="K51" s="3634"/>
      <c r="L51" s="3157"/>
      <c r="M51" s="3158">
        <f>SUM(M35:M50)</f>
        <v>912</v>
      </c>
      <c r="N51" s="3158">
        <f>SUM(N35:N50)</f>
        <v>56960.91</v>
      </c>
    </row>
    <row r="52" spans="1:16">
      <c r="A52" s="3156"/>
      <c r="B52" s="3161"/>
      <c r="C52" s="3161"/>
      <c r="D52" s="3157"/>
      <c r="E52" s="3157"/>
      <c r="F52" s="3157"/>
      <c r="G52" s="3157"/>
      <c r="H52" s="3157"/>
      <c r="I52" s="3157"/>
      <c r="J52" s="3157"/>
      <c r="K52" s="3157"/>
      <c r="L52" s="3157"/>
      <c r="M52" s="3157"/>
      <c r="N52" s="3157"/>
    </row>
    <row r="54" spans="1:16">
      <c r="A54" s="3626" t="s">
        <v>3949</v>
      </c>
      <c r="B54" s="3626"/>
      <c r="C54" s="3627">
        <f>D5+D34</f>
        <v>126877.16000000002</v>
      </c>
      <c r="D54" s="3627"/>
    </row>
    <row r="55" spans="1:16">
      <c r="A55" s="3626" t="s">
        <v>3950</v>
      </c>
      <c r="B55" s="3626"/>
      <c r="C55" s="3627">
        <f>D6+D51</f>
        <v>93161.260000000009</v>
      </c>
      <c r="D55" s="3627"/>
      <c r="F55" s="3627" t="s">
        <v>3951</v>
      </c>
      <c r="G55" s="3627"/>
      <c r="H55" s="3627"/>
      <c r="I55" s="3627"/>
      <c r="J55" s="3627"/>
      <c r="K55" s="3627"/>
      <c r="L55" s="3627"/>
      <c r="M55" s="3627"/>
      <c r="N55" s="3627"/>
      <c r="O55" s="3627"/>
      <c r="P55" s="3627"/>
    </row>
    <row r="56" spans="1:16" ht="27">
      <c r="A56" s="3626" t="s">
        <v>40</v>
      </c>
      <c r="B56" s="3626"/>
      <c r="C56" s="3627">
        <f>SUM(C54:D55)</f>
        <v>220038.42000000004</v>
      </c>
      <c r="D56" s="3627"/>
      <c r="F56" s="3157" t="s">
        <v>3952</v>
      </c>
      <c r="G56" s="3157" t="s">
        <v>3953</v>
      </c>
      <c r="H56" s="3157" t="s">
        <v>3954</v>
      </c>
      <c r="I56" s="3157" t="s">
        <v>3955</v>
      </c>
      <c r="J56" s="3157" t="s">
        <v>3078</v>
      </c>
      <c r="K56" s="3157" t="s">
        <v>3079</v>
      </c>
      <c r="L56" s="3157" t="s">
        <v>3956</v>
      </c>
      <c r="M56" s="3157" t="s">
        <v>3957</v>
      </c>
      <c r="N56" s="3157" t="s">
        <v>3958</v>
      </c>
      <c r="O56" s="3157" t="s">
        <v>3959</v>
      </c>
      <c r="P56" s="3157" t="s">
        <v>3960</v>
      </c>
    </row>
    <row r="57" spans="1:16" ht="27" customHeight="1">
      <c r="A57" s="3626" t="s">
        <v>3961</v>
      </c>
      <c r="B57" s="3626"/>
      <c r="C57" s="3627">
        <f>ROUND($D$3*C54/$C$56,2)</f>
        <v>37046.6</v>
      </c>
      <c r="D57" s="3627"/>
      <c r="F57" s="3157">
        <f>ROUND(C65/G57,2)</f>
        <v>6.73</v>
      </c>
      <c r="G57" s="3157">
        <f>24905.6+23626</f>
        <v>48531.6</v>
      </c>
      <c r="H57" s="3157">
        <v>2013</v>
      </c>
      <c r="I57" s="3162">
        <v>42590</v>
      </c>
      <c r="J57" s="3157">
        <v>42395.67</v>
      </c>
      <c r="K57" s="3157">
        <f>ROUND(J57/C65*G57,2)</f>
        <v>6298.25</v>
      </c>
      <c r="L57" s="3157" t="s">
        <v>3962</v>
      </c>
      <c r="M57" s="3162"/>
      <c r="N57" s="3157"/>
      <c r="O57" s="3163">
        <f>ROUND(1-(1-0%)*3/60,2)</f>
        <v>0.95</v>
      </c>
      <c r="P57" s="3157" t="s">
        <v>3963</v>
      </c>
    </row>
    <row r="58" spans="1:16" ht="31.5" customHeight="1">
      <c r="A58" s="3626" t="s">
        <v>3964</v>
      </c>
      <c r="B58" s="3626"/>
      <c r="C58" s="3627">
        <f>ROUND($D$3*C55/$C$56,2)</f>
        <v>27201.97</v>
      </c>
      <c r="D58" s="3627"/>
    </row>
    <row r="59" spans="1:16" ht="31.5" customHeight="1">
      <c r="A59" s="3628" t="s">
        <v>40</v>
      </c>
      <c r="B59" s="3629"/>
      <c r="C59" s="3630">
        <f>C57+C58</f>
        <v>64248.57</v>
      </c>
      <c r="D59" s="3631"/>
      <c r="H59" s="3286"/>
      <c r="I59" s="3286" t="s">
        <v>4269</v>
      </c>
      <c r="J59" s="3155" t="s">
        <v>4276</v>
      </c>
      <c r="K59" s="3155" t="s">
        <v>4277</v>
      </c>
    </row>
    <row r="60" spans="1:16" ht="30.75" customHeight="1">
      <c r="A60" s="3626" t="s">
        <v>3965</v>
      </c>
      <c r="B60" s="3626"/>
      <c r="C60" s="3627">
        <f>ROUND($D$4*C54/$C$56,2)</f>
        <v>24445.919999999998</v>
      </c>
      <c r="D60" s="3627"/>
      <c r="H60" s="3286" t="s">
        <v>4268</v>
      </c>
      <c r="I60" s="3286">
        <v>1808</v>
      </c>
      <c r="J60" s="3155">
        <v>0.5</v>
      </c>
      <c r="M60" s="3155">
        <f>ROUND(I60/I63,2)</f>
        <v>3930.43</v>
      </c>
    </row>
    <row r="61" spans="1:16" ht="33.75" customHeight="1">
      <c r="A61" s="3626" t="s">
        <v>3966</v>
      </c>
      <c r="B61" s="3626"/>
      <c r="C61" s="3627">
        <f>ROUND($D$4*C55/$C$56,2)</f>
        <v>17949.75</v>
      </c>
      <c r="D61" s="3627"/>
      <c r="H61" s="3286" t="s">
        <v>4270</v>
      </c>
      <c r="I61" s="3286">
        <v>17888.8</v>
      </c>
      <c r="J61" s="3155">
        <v>0.3</v>
      </c>
      <c r="K61" s="3296">
        <f>ROUND(J60*I60/I62+J61*I61/I62,2)</f>
        <v>0.32</v>
      </c>
      <c r="M61" s="3155">
        <f>J57-M60</f>
        <v>38465.24</v>
      </c>
    </row>
    <row r="62" spans="1:16" ht="33.75" customHeight="1">
      <c r="A62" s="3624" t="s">
        <v>40</v>
      </c>
      <c r="B62" s="3624"/>
      <c r="C62" s="3625">
        <f>SUM(C60:D61)</f>
        <v>42395.67</v>
      </c>
      <c r="D62" s="3625"/>
      <c r="I62" s="3155">
        <f>SUM(I60:I61)</f>
        <v>19696.8</v>
      </c>
    </row>
    <row r="63" spans="1:16" ht="33.75" customHeight="1">
      <c r="A63" s="3626" t="s">
        <v>3967</v>
      </c>
      <c r="B63" s="3626"/>
      <c r="C63" s="3627">
        <f>C54+C57+C60</f>
        <v>188369.68</v>
      </c>
      <c r="D63" s="3627"/>
      <c r="I63" s="3155">
        <f>ROUND(I62/J57,2)</f>
        <v>0.46</v>
      </c>
    </row>
    <row r="64" spans="1:16" ht="33.75" customHeight="1">
      <c r="A64" s="3626" t="s">
        <v>3968</v>
      </c>
      <c r="B64" s="3626"/>
      <c r="C64" s="3627">
        <f>C55+C58+C61</f>
        <v>138312.98000000001</v>
      </c>
      <c r="D64" s="3627"/>
    </row>
    <row r="65" spans="1:5" ht="29.25" customHeight="1">
      <c r="A65" s="3624" t="s">
        <v>40</v>
      </c>
      <c r="B65" s="3624"/>
      <c r="C65" s="3625">
        <f>SUM(C63:D64)</f>
        <v>326682.66000000003</v>
      </c>
      <c r="D65" s="3625"/>
    </row>
    <row r="69" spans="1:5">
      <c r="A69" s="3294" t="s">
        <v>3955</v>
      </c>
      <c r="B69" s="3295">
        <v>43052</v>
      </c>
      <c r="C69" s="3296"/>
      <c r="D69" s="3296"/>
      <c r="E69" s="3296"/>
    </row>
    <row r="70" spans="1:5" ht="27">
      <c r="A70" s="3294" t="s">
        <v>4278</v>
      </c>
      <c r="B70" s="3295" t="s">
        <v>3957</v>
      </c>
      <c r="C70" s="3296" t="s">
        <v>4279</v>
      </c>
      <c r="D70" s="3296" t="s">
        <v>4280</v>
      </c>
      <c r="E70" s="3296" t="s">
        <v>4281</v>
      </c>
    </row>
    <row r="71" spans="1:5">
      <c r="A71" s="3294">
        <v>40</v>
      </c>
      <c r="B71" s="3295">
        <v>46081</v>
      </c>
      <c r="C71" s="3296">
        <v>8.2899999999999991</v>
      </c>
      <c r="D71" s="3296">
        <v>0.35099999999999998</v>
      </c>
      <c r="E71" s="3296">
        <v>0.04</v>
      </c>
    </row>
    <row r="72" spans="1:5">
      <c r="A72" s="3294">
        <v>50</v>
      </c>
      <c r="B72" s="3295">
        <v>50028</v>
      </c>
      <c r="C72" s="3296">
        <v>19.11</v>
      </c>
      <c r="D72" s="3296">
        <v>0.61399999999999999</v>
      </c>
      <c r="E72" s="3296">
        <v>0.04</v>
      </c>
    </row>
    <row r="73" spans="1:5">
      <c r="A73" s="3294">
        <v>70</v>
      </c>
      <c r="B73" s="3295">
        <v>57333</v>
      </c>
      <c r="C73" s="3296">
        <v>39.119999999999997</v>
      </c>
      <c r="D73" s="3296">
        <v>0.83799999999999997</v>
      </c>
      <c r="E73" s="3296">
        <v>0.04</v>
      </c>
    </row>
  </sheetData>
  <mergeCells count="80">
    <mergeCell ref="A22:A24"/>
    <mergeCell ref="M22:M24"/>
    <mergeCell ref="N22:N24"/>
    <mergeCell ref="A1:L1"/>
    <mergeCell ref="A7:A10"/>
    <mergeCell ref="B7:B24"/>
    <mergeCell ref="C7:C24"/>
    <mergeCell ref="M7:M10"/>
    <mergeCell ref="N7:N10"/>
    <mergeCell ref="A11:A14"/>
    <mergeCell ref="M11:M14"/>
    <mergeCell ref="N11:N14"/>
    <mergeCell ref="A15:A18"/>
    <mergeCell ref="M15:M18"/>
    <mergeCell ref="N15:N18"/>
    <mergeCell ref="A19:A21"/>
    <mergeCell ref="M19:M21"/>
    <mergeCell ref="N19:N21"/>
    <mergeCell ref="A25:A27"/>
    <mergeCell ref="B25:B33"/>
    <mergeCell ref="C25:C33"/>
    <mergeCell ref="M25:M27"/>
    <mergeCell ref="N25:N27"/>
    <mergeCell ref="A28:A30"/>
    <mergeCell ref="M28:M30"/>
    <mergeCell ref="N28:N30"/>
    <mergeCell ref="A31:A33"/>
    <mergeCell ref="M31:M33"/>
    <mergeCell ref="N31:N33"/>
    <mergeCell ref="A34:C34"/>
    <mergeCell ref="D34:K34"/>
    <mergeCell ref="A35:A37"/>
    <mergeCell ref="B35:B46"/>
    <mergeCell ref="C35:C46"/>
    <mergeCell ref="M35:M37"/>
    <mergeCell ref="N35:N37"/>
    <mergeCell ref="A38:A40"/>
    <mergeCell ref="M38:M40"/>
    <mergeCell ref="N38:N40"/>
    <mergeCell ref="A41:A43"/>
    <mergeCell ref="M41:M43"/>
    <mergeCell ref="N41:N43"/>
    <mergeCell ref="A44:A46"/>
    <mergeCell ref="M44:M46"/>
    <mergeCell ref="N44:N46"/>
    <mergeCell ref="A47:A48"/>
    <mergeCell ref="B47:B50"/>
    <mergeCell ref="C47:C50"/>
    <mergeCell ref="M47:M48"/>
    <mergeCell ref="N47:N48"/>
    <mergeCell ref="A49:A50"/>
    <mergeCell ref="M49:M50"/>
    <mergeCell ref="N49:N50"/>
    <mergeCell ref="A51:C51"/>
    <mergeCell ref="D51:K51"/>
    <mergeCell ref="A54:B54"/>
    <mergeCell ref="C54:D54"/>
    <mergeCell ref="A55:B55"/>
    <mergeCell ref="C55:D55"/>
    <mergeCell ref="F55:P55"/>
    <mergeCell ref="A56:B56"/>
    <mergeCell ref="C56:D56"/>
    <mergeCell ref="A57:B57"/>
    <mergeCell ref="C57:D57"/>
    <mergeCell ref="A58:B58"/>
    <mergeCell ref="C58:D58"/>
    <mergeCell ref="A59:B59"/>
    <mergeCell ref="C59:D59"/>
    <mergeCell ref="A60:B60"/>
    <mergeCell ref="C60:D60"/>
    <mergeCell ref="A61:B61"/>
    <mergeCell ref="C61:D61"/>
    <mergeCell ref="A65:B65"/>
    <mergeCell ref="C65:D65"/>
    <mergeCell ref="A62:B62"/>
    <mergeCell ref="C62:D62"/>
    <mergeCell ref="A63:B63"/>
    <mergeCell ref="C63:D63"/>
    <mergeCell ref="A64:B64"/>
    <mergeCell ref="C64:D64"/>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G215"/>
  <sheetViews>
    <sheetView topLeftCell="A42" workbookViewId="0">
      <selection activeCell="AD56" sqref="AD56"/>
    </sheetView>
  </sheetViews>
  <sheetFormatPr defaultColWidth="9" defaultRowHeight="30" customHeight="1"/>
  <cols>
    <col min="1" max="1" width="5.125" style="3281" customWidth="1"/>
    <col min="2" max="2" width="10.625" style="3281" hidden="1" customWidth="1"/>
    <col min="3" max="4" width="11.375" style="3281" hidden="1" customWidth="1"/>
    <col min="5" max="5" width="7" style="3281" hidden="1" customWidth="1"/>
    <col min="6" max="6" width="9.875" style="3281" hidden="1" customWidth="1"/>
    <col min="7" max="7" width="10.625" style="3281" hidden="1" customWidth="1"/>
    <col min="8" max="8" width="12.875" style="3281" hidden="1" customWidth="1"/>
    <col min="9" max="9" width="11.125" style="3281" hidden="1" customWidth="1"/>
    <col min="10" max="10" width="8.125" style="3281" hidden="1" customWidth="1"/>
    <col min="11" max="11" width="15.875" style="3282" hidden="1" customWidth="1"/>
    <col min="12" max="12" width="10.125" style="3281" hidden="1" customWidth="1"/>
    <col min="13" max="13" width="14.125" style="3281" customWidth="1"/>
    <col min="14" max="14" width="13.625" style="3281" customWidth="1"/>
    <col min="15" max="15" width="11.375" style="3281" customWidth="1"/>
    <col min="16" max="18" width="12.625" style="3281" hidden="1" customWidth="1"/>
    <col min="19" max="19" width="11.5" style="3281" hidden="1" customWidth="1"/>
    <col min="20" max="20" width="11.375" style="3281" hidden="1" customWidth="1"/>
    <col min="21" max="21" width="15" style="3281" customWidth="1"/>
    <col min="22" max="22" width="11.375" style="3281" bestFit="1" customWidth="1"/>
    <col min="23" max="23" width="7.5" style="3283" customWidth="1"/>
    <col min="24" max="24" width="5.625" style="3281" hidden="1" customWidth="1"/>
    <col min="25" max="25" width="8.625" style="3281" hidden="1" customWidth="1"/>
    <col min="26" max="26" width="9.125" style="3291" customWidth="1"/>
    <col min="27" max="36" width="8.625" style="3281" customWidth="1"/>
    <col min="37" max="37" width="10.625" style="3281" customWidth="1"/>
    <col min="38" max="38" width="10.375" style="3281" customWidth="1"/>
    <col min="39" max="39" width="10.625" style="3281" customWidth="1"/>
    <col min="40" max="40" width="11" style="3281" customWidth="1"/>
    <col min="41" max="41" width="10.625" style="3281" customWidth="1"/>
    <col min="42" max="42" width="8.625" style="3281" customWidth="1"/>
    <col min="43" max="43" width="9.375" style="3281" customWidth="1"/>
    <col min="44" max="44" width="11.125" style="3281" customWidth="1"/>
    <col min="45" max="45" width="12.625" style="3281" customWidth="1"/>
    <col min="46" max="46" width="10.625" style="3281" customWidth="1"/>
    <col min="47" max="48" width="15.625" style="3284" bestFit="1" customWidth="1"/>
    <col min="49" max="49" width="10.625" style="3281" customWidth="1"/>
    <col min="50" max="51" width="11.625" style="3281" customWidth="1"/>
    <col min="52" max="52" width="10.625" style="3281" customWidth="1"/>
    <col min="53" max="54" width="11.625" style="3281" customWidth="1"/>
    <col min="55" max="55" width="10.625" style="3281" customWidth="1"/>
    <col min="56" max="57" width="11.625" style="3281" customWidth="1"/>
    <col min="58" max="58" width="9.625" style="3281" customWidth="1"/>
    <col min="59" max="60" width="11.625" style="3281" customWidth="1"/>
    <col min="61" max="61" width="5.625" style="3281" customWidth="1"/>
    <col min="62" max="63" width="11.625" style="3281" customWidth="1"/>
    <col min="64" max="64" width="5.875" style="3281" customWidth="1"/>
    <col min="65" max="66" width="11.625" style="3281" customWidth="1"/>
    <col min="67" max="67" width="5.625" style="3281" customWidth="1"/>
    <col min="68" max="69" width="11.625" style="3281" customWidth="1"/>
    <col min="70" max="70" width="5.625" style="3281" customWidth="1"/>
    <col min="71" max="72" width="11.625" style="3281" customWidth="1"/>
    <col min="73" max="73" width="5.625" style="3281" customWidth="1"/>
    <col min="74" max="75" width="11.625" style="3281" customWidth="1"/>
    <col min="76" max="76" width="5.625" style="3281" customWidth="1"/>
    <col min="77" max="78" width="11.625" style="3281" customWidth="1"/>
    <col min="79" max="79" width="5.625" style="3281" customWidth="1"/>
    <col min="80" max="81" width="11.625" style="3281" customWidth="1"/>
    <col min="82" max="82" width="5.625" style="3281" customWidth="1"/>
    <col min="83" max="84" width="11.625" style="3281" customWidth="1"/>
    <col min="85" max="85" width="5.625" style="3281" customWidth="1"/>
    <col min="86" max="87" width="11.625" style="3281" customWidth="1"/>
    <col min="88" max="88" width="6.375" style="3281" customWidth="1"/>
    <col min="89" max="89" width="9.5" style="3281" customWidth="1"/>
    <col min="90" max="90" width="10.5" style="3281" customWidth="1"/>
    <col min="91" max="91" width="5.625" style="3281" customWidth="1"/>
    <col min="92" max="93" width="11.625" style="3281" customWidth="1"/>
    <col min="94" max="94" width="9" style="3281" customWidth="1"/>
    <col min="95" max="96" width="11.625" style="3281" customWidth="1"/>
    <col min="97" max="97" width="9" style="3281" customWidth="1"/>
    <col min="98" max="99" width="11.625" style="3281" customWidth="1"/>
    <col min="100" max="100" width="9" style="3281" customWidth="1"/>
    <col min="101" max="102" width="11.625" style="3281" customWidth="1"/>
    <col min="103" max="103" width="9" style="3281" customWidth="1"/>
    <col min="104" max="105" width="11.625" style="3281" bestFit="1" customWidth="1"/>
    <col min="106" max="106" width="9" style="3281"/>
    <col min="107" max="108" width="11.625" style="3281" bestFit="1" customWidth="1"/>
    <col min="109" max="109" width="9" style="3281"/>
    <col min="110" max="110" width="11.625" style="3281" bestFit="1" customWidth="1"/>
    <col min="111" max="111" width="13.375" style="3281" bestFit="1" customWidth="1"/>
    <col min="112" max="112" width="9" style="3281"/>
    <col min="113" max="114" width="11.625" style="3281" bestFit="1" customWidth="1"/>
    <col min="115" max="115" width="9" style="3281"/>
    <col min="116" max="116" width="9.5" style="3281" bestFit="1" customWidth="1"/>
    <col min="117" max="121" width="9" style="3281"/>
    <col min="122" max="122" width="10.625" style="3281" customWidth="1"/>
    <col min="123" max="123" width="10.875" style="3281" customWidth="1"/>
    <col min="124" max="136" width="9" style="3281"/>
    <col min="137" max="137" width="9" style="3285"/>
    <col min="138" max="16384" width="9" style="3281"/>
  </cols>
  <sheetData>
    <row r="1" spans="1:137" s="3168" customFormat="1" ht="30" customHeight="1">
      <c r="A1" s="3165" t="s">
        <v>3969</v>
      </c>
      <c r="B1" s="3165"/>
      <c r="C1" s="3165"/>
      <c r="D1" s="3166"/>
      <c r="E1" s="3167" t="s">
        <v>3187</v>
      </c>
      <c r="G1" s="3166" t="s">
        <v>3970</v>
      </c>
      <c r="H1" s="3166"/>
      <c r="I1" s="3166"/>
      <c r="J1" s="3166"/>
      <c r="K1" s="3166" t="s">
        <v>3970</v>
      </c>
      <c r="L1" s="3166" t="s">
        <v>3970</v>
      </c>
      <c r="M1" s="3166" t="s">
        <v>3970</v>
      </c>
      <c r="N1" s="3166"/>
      <c r="O1" s="3168" t="s">
        <v>3970</v>
      </c>
      <c r="R1" s="3168" t="s">
        <v>3970</v>
      </c>
      <c r="S1" s="3168" t="s">
        <v>3970</v>
      </c>
      <c r="T1" s="3169" t="s">
        <v>3970</v>
      </c>
      <c r="U1" s="3170" t="s">
        <v>3970</v>
      </c>
      <c r="W1" s="3171" t="s">
        <v>3970</v>
      </c>
      <c r="Z1" s="3287"/>
      <c r="AD1" s="3168" t="s">
        <v>3970</v>
      </c>
      <c r="AF1" s="3169"/>
      <c r="AG1" s="3169"/>
      <c r="AH1" s="3169"/>
      <c r="AN1" s="3168" t="s">
        <v>3970</v>
      </c>
      <c r="AO1" s="3169"/>
      <c r="AT1" s="3169" t="s">
        <v>3970</v>
      </c>
      <c r="AU1" s="3172"/>
      <c r="AV1" s="3172"/>
      <c r="AZ1" s="3168" t="s">
        <v>3970</v>
      </c>
      <c r="BC1" s="3168" t="s">
        <v>3970</v>
      </c>
      <c r="EG1" s="3173"/>
    </row>
    <row r="2" spans="1:137" s="3168" customFormat="1" ht="30" customHeight="1">
      <c r="A2" s="3174" t="s">
        <v>3971</v>
      </c>
      <c r="B2" s="3174"/>
      <c r="C2" s="3174"/>
      <c r="D2" s="3175"/>
      <c r="E2" s="3175"/>
      <c r="F2" s="3175"/>
      <c r="G2" s="3175" t="s">
        <v>3970</v>
      </c>
      <c r="H2" s="3175"/>
      <c r="I2" s="3175"/>
      <c r="J2" s="3175"/>
      <c r="K2" s="3175"/>
      <c r="L2" s="3175"/>
      <c r="M2" s="3175" t="s">
        <v>3970</v>
      </c>
      <c r="N2" s="3175" t="s">
        <v>3970</v>
      </c>
      <c r="O2" s="3173"/>
      <c r="P2" s="3173"/>
      <c r="Q2" s="3173"/>
      <c r="R2" s="3173"/>
      <c r="S2" s="3173"/>
      <c r="T2" s="3176"/>
      <c r="U2" s="3177"/>
      <c r="V2" s="3173" t="s">
        <v>3970</v>
      </c>
      <c r="W2" s="3178"/>
      <c r="X2" s="3173"/>
      <c r="Y2" s="3173"/>
      <c r="Z2" s="3288"/>
      <c r="AA2" s="3173"/>
      <c r="AB2" s="3173"/>
      <c r="AC2" s="3173"/>
      <c r="AD2" s="3173"/>
      <c r="AE2" s="3173" t="s">
        <v>3970</v>
      </c>
      <c r="AF2" s="3176"/>
      <c r="AG2" s="3176"/>
      <c r="AH2" s="3176"/>
      <c r="AI2" s="3173"/>
      <c r="AJ2" s="3173"/>
      <c r="AK2" s="3173"/>
      <c r="AL2" s="3173"/>
      <c r="AM2" s="3173"/>
      <c r="AN2" s="3173"/>
      <c r="AO2" s="3169"/>
      <c r="AP2" s="3173"/>
      <c r="AQ2" s="3173"/>
      <c r="AR2" s="3173"/>
      <c r="AS2" s="3173"/>
      <c r="AT2" s="3176"/>
      <c r="AU2" s="3172"/>
      <c r="AV2" s="3172"/>
      <c r="EG2" s="3173"/>
    </row>
    <row r="3" spans="1:137" s="3179" customFormat="1" ht="12" customHeight="1">
      <c r="A3" s="3646" t="s">
        <v>3972</v>
      </c>
      <c r="B3" s="3650" t="s">
        <v>3190</v>
      </c>
      <c r="C3" s="3650" t="s">
        <v>3973</v>
      </c>
      <c r="D3" s="3650" t="s">
        <v>3974</v>
      </c>
      <c r="E3" s="3650" t="s">
        <v>3975</v>
      </c>
      <c r="F3" s="3650" t="s">
        <v>3194</v>
      </c>
      <c r="G3" s="3650" t="s">
        <v>3195</v>
      </c>
      <c r="H3" s="3651" t="s">
        <v>3196</v>
      </c>
      <c r="I3" s="3650" t="s">
        <v>3976</v>
      </c>
      <c r="J3" s="3650" t="s">
        <v>3977</v>
      </c>
      <c r="K3" s="3650" t="s">
        <v>3978</v>
      </c>
      <c r="L3" s="3650" t="s">
        <v>3979</v>
      </c>
      <c r="M3" s="3650" t="s">
        <v>3980</v>
      </c>
      <c r="N3" s="3650" t="s">
        <v>3981</v>
      </c>
      <c r="O3" s="3650" t="s">
        <v>3982</v>
      </c>
      <c r="P3" s="3650" t="s">
        <v>3205</v>
      </c>
      <c r="Q3" s="3650"/>
      <c r="R3" s="3650"/>
      <c r="S3" s="3651" t="s">
        <v>3983</v>
      </c>
      <c r="T3" s="3646" t="s">
        <v>3984</v>
      </c>
      <c r="U3" s="3653" t="s">
        <v>3209</v>
      </c>
      <c r="V3" s="3653"/>
      <c r="W3" s="3653"/>
      <c r="X3" s="3653" t="s">
        <v>3985</v>
      </c>
      <c r="Y3" s="3653"/>
      <c r="Z3" s="3653"/>
      <c r="AA3" s="3653"/>
      <c r="AB3" s="3653"/>
      <c r="AC3" s="3653"/>
      <c r="AD3" s="3653"/>
      <c r="AE3" s="3653"/>
      <c r="AF3" s="3653"/>
      <c r="AG3" s="3653"/>
      <c r="AH3" s="3653"/>
      <c r="AI3" s="3653"/>
      <c r="AJ3" s="3653"/>
      <c r="AK3" s="3654" t="s">
        <v>3210</v>
      </c>
      <c r="AL3" s="3655"/>
      <c r="AM3" s="3656"/>
      <c r="AN3" s="3653" t="s">
        <v>3211</v>
      </c>
      <c r="AO3" s="3653"/>
      <c r="AP3" s="3653"/>
      <c r="AQ3" s="3653"/>
      <c r="AR3" s="3653"/>
      <c r="AS3" s="3653"/>
      <c r="AT3" s="3653"/>
      <c r="AU3" s="3653" t="s">
        <v>3986</v>
      </c>
      <c r="AV3" s="3653"/>
    </row>
    <row r="4" spans="1:137" s="3179" customFormat="1" ht="12" customHeight="1">
      <c r="A4" s="3648"/>
      <c r="B4" s="3650"/>
      <c r="C4" s="3650"/>
      <c r="D4" s="3650"/>
      <c r="E4" s="3650"/>
      <c r="F4" s="3650"/>
      <c r="G4" s="3650"/>
      <c r="H4" s="3644"/>
      <c r="I4" s="3650"/>
      <c r="J4" s="3650"/>
      <c r="K4" s="3650"/>
      <c r="L4" s="3650"/>
      <c r="M4" s="3650"/>
      <c r="N4" s="3650"/>
      <c r="O4" s="3650"/>
      <c r="P4" s="3657" t="s">
        <v>3219</v>
      </c>
      <c r="Q4" s="3651" t="s">
        <v>3220</v>
      </c>
      <c r="R4" s="3651" t="s">
        <v>3221</v>
      </c>
      <c r="S4" s="3644"/>
      <c r="T4" s="3648"/>
      <c r="U4" s="3646" t="s">
        <v>3222</v>
      </c>
      <c r="V4" s="3646" t="s">
        <v>3223</v>
      </c>
      <c r="W4" s="3646" t="s">
        <v>3226</v>
      </c>
      <c r="X4" s="3650" t="s">
        <v>3227</v>
      </c>
      <c r="Y4" s="3650" t="s">
        <v>3228</v>
      </c>
      <c r="Z4" s="3652" t="s">
        <v>4271</v>
      </c>
      <c r="AA4" s="3649" t="s">
        <v>3229</v>
      </c>
      <c r="AB4" s="3649"/>
      <c r="AC4" s="3649" t="s">
        <v>3230</v>
      </c>
      <c r="AD4" s="3649"/>
      <c r="AE4" s="3649" t="s">
        <v>3231</v>
      </c>
      <c r="AF4" s="3649"/>
      <c r="AG4" s="3649" t="s">
        <v>3232</v>
      </c>
      <c r="AH4" s="3649"/>
      <c r="AI4" s="3649" t="s">
        <v>3233</v>
      </c>
      <c r="AJ4" s="3649"/>
      <c r="AK4" s="3650" t="s">
        <v>3234</v>
      </c>
      <c r="AL4" s="3650" t="s">
        <v>3235</v>
      </c>
      <c r="AM4" s="3651" t="s">
        <v>3236</v>
      </c>
      <c r="AN4" s="3648" t="s">
        <v>3237</v>
      </c>
      <c r="AO4" s="3644" t="s">
        <v>3987</v>
      </c>
      <c r="AP4" s="3644" t="s">
        <v>3239</v>
      </c>
      <c r="AQ4" s="3644" t="s">
        <v>3240</v>
      </c>
      <c r="AR4" s="3644" t="s">
        <v>3241</v>
      </c>
      <c r="AS4" s="3644" t="s">
        <v>3242</v>
      </c>
      <c r="AT4" s="3644" t="s">
        <v>3236</v>
      </c>
      <c r="AU4" s="3646" t="s">
        <v>3988</v>
      </c>
      <c r="AV4" s="3646" t="s">
        <v>3989</v>
      </c>
    </row>
    <row r="5" spans="1:137" s="3179" customFormat="1" ht="15.75">
      <c r="A5" s="3647"/>
      <c r="B5" s="3650"/>
      <c r="C5" s="3650"/>
      <c r="D5" s="3650"/>
      <c r="E5" s="3650"/>
      <c r="F5" s="3650"/>
      <c r="G5" s="3650"/>
      <c r="H5" s="3645"/>
      <c r="I5" s="3650"/>
      <c r="J5" s="3650"/>
      <c r="K5" s="3650"/>
      <c r="L5" s="3650"/>
      <c r="M5" s="3650"/>
      <c r="N5" s="3650"/>
      <c r="O5" s="3650"/>
      <c r="P5" s="3658"/>
      <c r="Q5" s="3645"/>
      <c r="R5" s="3645"/>
      <c r="S5" s="3645"/>
      <c r="T5" s="3647"/>
      <c r="U5" s="3647"/>
      <c r="V5" s="3647"/>
      <c r="W5" s="3647"/>
      <c r="X5" s="3650"/>
      <c r="Y5" s="3650"/>
      <c r="Z5" s="3652"/>
      <c r="AA5" s="3180" t="s">
        <v>3250</v>
      </c>
      <c r="AB5" s="3180" t="s">
        <v>3224</v>
      </c>
      <c r="AC5" s="3180" t="s">
        <v>3250</v>
      </c>
      <c r="AD5" s="3180" t="s">
        <v>3224</v>
      </c>
      <c r="AE5" s="3180" t="s">
        <v>3250</v>
      </c>
      <c r="AF5" s="3180" t="s">
        <v>3224</v>
      </c>
      <c r="AG5" s="3180" t="s">
        <v>3250</v>
      </c>
      <c r="AH5" s="3180" t="s">
        <v>3224</v>
      </c>
      <c r="AI5" s="3180" t="s">
        <v>3250</v>
      </c>
      <c r="AJ5" s="3180" t="s">
        <v>3224</v>
      </c>
      <c r="AK5" s="3650"/>
      <c r="AL5" s="3650"/>
      <c r="AM5" s="3645"/>
      <c r="AN5" s="3647"/>
      <c r="AO5" s="3645"/>
      <c r="AP5" s="3645"/>
      <c r="AQ5" s="3645"/>
      <c r="AR5" s="3645"/>
      <c r="AS5" s="3645"/>
      <c r="AT5" s="3645"/>
      <c r="AU5" s="3647"/>
      <c r="AV5" s="3647"/>
    </row>
    <row r="6" spans="1:137" s="3168" customFormat="1" ht="30" customHeight="1">
      <c r="A6" s="3181">
        <v>1</v>
      </c>
      <c r="B6" s="3182">
        <v>42842</v>
      </c>
      <c r="C6" s="3182">
        <v>42842</v>
      </c>
      <c r="D6" s="3183" t="s">
        <v>3990</v>
      </c>
      <c r="E6" s="3184" t="s">
        <v>3991</v>
      </c>
      <c r="F6" s="3185">
        <v>500665</v>
      </c>
      <c r="G6" s="3186" t="s">
        <v>3992</v>
      </c>
      <c r="H6" s="3183" t="s">
        <v>3993</v>
      </c>
      <c r="I6" s="3186" t="s">
        <v>3994</v>
      </c>
      <c r="J6" s="3186" t="s">
        <v>3992</v>
      </c>
      <c r="K6" s="3184" t="s">
        <v>3995</v>
      </c>
      <c r="L6" s="3184" t="s">
        <v>3996</v>
      </c>
      <c r="M6" s="3184" t="s">
        <v>3997</v>
      </c>
      <c r="N6" s="3184" t="s">
        <v>3998</v>
      </c>
      <c r="O6" s="3187">
        <v>26</v>
      </c>
      <c r="P6" s="3188">
        <v>2392</v>
      </c>
      <c r="Q6" s="3189">
        <v>42843</v>
      </c>
      <c r="R6" s="3188">
        <v>2392</v>
      </c>
      <c r="S6" s="3189">
        <v>42856</v>
      </c>
      <c r="T6" s="3189">
        <v>42887</v>
      </c>
      <c r="U6" s="3189">
        <v>42856</v>
      </c>
      <c r="V6" s="3189">
        <v>43220</v>
      </c>
      <c r="W6" s="3184" t="s">
        <v>3999</v>
      </c>
      <c r="X6" s="3183"/>
      <c r="Y6" s="3183"/>
      <c r="Z6" s="3289">
        <f>ROUND(AB6*O6*12/10000,2)</f>
        <v>2.87</v>
      </c>
      <c r="AA6" s="3186"/>
      <c r="AB6" s="3188">
        <v>92</v>
      </c>
      <c r="AC6" s="3188"/>
      <c r="AD6" s="3188"/>
      <c r="AE6" s="3188"/>
      <c r="AF6" s="3190"/>
      <c r="AG6" s="3188"/>
      <c r="AH6" s="3190"/>
      <c r="AI6" s="3188"/>
      <c r="AJ6" s="3190"/>
      <c r="AK6" s="3182">
        <v>42887</v>
      </c>
      <c r="AL6" s="3182">
        <v>43069</v>
      </c>
      <c r="AM6" s="3191" t="s">
        <v>4000</v>
      </c>
      <c r="AN6" s="3190">
        <v>1186.25</v>
      </c>
      <c r="AO6" s="3188">
        <v>1209</v>
      </c>
      <c r="AP6" s="3188">
        <v>1.5</v>
      </c>
      <c r="AQ6" s="3188"/>
      <c r="AR6" s="3182">
        <v>42887</v>
      </c>
      <c r="AS6" s="3182">
        <v>43069</v>
      </c>
      <c r="AT6" s="3192" t="s">
        <v>4000</v>
      </c>
      <c r="AU6" s="3193">
        <v>14352</v>
      </c>
      <c r="AV6" s="3193">
        <v>8346</v>
      </c>
    </row>
    <row r="7" spans="1:137" s="3204" customFormat="1" ht="30" customHeight="1">
      <c r="A7" s="3194">
        <v>2</v>
      </c>
      <c r="B7" s="3195">
        <v>42720</v>
      </c>
      <c r="C7" s="3196">
        <v>42730</v>
      </c>
      <c r="D7" s="3181" t="s">
        <v>4001</v>
      </c>
      <c r="E7" s="3197" t="s">
        <v>3991</v>
      </c>
      <c r="F7" s="3198">
        <v>500635</v>
      </c>
      <c r="G7" s="3198" t="s">
        <v>4002</v>
      </c>
      <c r="H7" s="3181" t="s">
        <v>3993</v>
      </c>
      <c r="I7" s="3197" t="s">
        <v>4003</v>
      </c>
      <c r="J7" s="3198" t="s">
        <v>4002</v>
      </c>
      <c r="K7" s="3197" t="s">
        <v>4004</v>
      </c>
      <c r="L7" s="3197" t="s">
        <v>3996</v>
      </c>
      <c r="M7" s="3197" t="s">
        <v>3997</v>
      </c>
      <c r="N7" s="3197" t="s">
        <v>4005</v>
      </c>
      <c r="O7" s="3199">
        <v>14</v>
      </c>
      <c r="P7" s="3200">
        <v>2222</v>
      </c>
      <c r="Q7" s="3196">
        <v>42723</v>
      </c>
      <c r="R7" s="3200">
        <v>2222</v>
      </c>
      <c r="S7" s="3196">
        <v>42786</v>
      </c>
      <c r="T7" s="3196">
        <v>42811</v>
      </c>
      <c r="U7" s="3196">
        <v>42786</v>
      </c>
      <c r="V7" s="3196">
        <v>43150</v>
      </c>
      <c r="W7" s="3197" t="s">
        <v>3999</v>
      </c>
      <c r="X7" s="3181"/>
      <c r="Y7" s="3181"/>
      <c r="Z7" s="3289">
        <f t="shared" ref="Z7:Z48" si="0">ROUND(AB7*O7*12/10000,2)</f>
        <v>1.7</v>
      </c>
      <c r="AA7" s="3201"/>
      <c r="AB7" s="3200">
        <v>101</v>
      </c>
      <c r="AC7" s="3200"/>
      <c r="AD7" s="3200"/>
      <c r="AE7" s="3200"/>
      <c r="AF7" s="3194"/>
      <c r="AG7" s="3200"/>
      <c r="AH7" s="3194"/>
      <c r="AI7" s="3200"/>
      <c r="AJ7" s="3194"/>
      <c r="AK7" s="3195">
        <v>42811</v>
      </c>
      <c r="AL7" s="3195">
        <v>43024</v>
      </c>
      <c r="AM7" s="3202" t="s">
        <v>4000</v>
      </c>
      <c r="AN7" s="3194">
        <v>660</v>
      </c>
      <c r="AO7" s="3200">
        <v>550</v>
      </c>
      <c r="AP7" s="3200"/>
      <c r="AQ7" s="3200">
        <v>30</v>
      </c>
      <c r="AR7" s="3195">
        <v>42811</v>
      </c>
      <c r="AS7" s="3195">
        <v>42932</v>
      </c>
      <c r="AT7" s="3203" t="s">
        <v>4000</v>
      </c>
      <c r="AU7" s="3193">
        <v>13332</v>
      </c>
      <c r="AV7" s="3193">
        <v>4510</v>
      </c>
      <c r="AW7" s="3168"/>
      <c r="AX7" s="3168"/>
      <c r="AY7" s="3168"/>
      <c r="AZ7" s="3168"/>
      <c r="BA7" s="3168"/>
      <c r="BB7" s="3168"/>
      <c r="BC7" s="3168"/>
      <c r="BD7" s="3168"/>
      <c r="BE7" s="3168"/>
      <c r="BF7" s="3168"/>
      <c r="BG7" s="3168"/>
      <c r="BH7" s="3168"/>
      <c r="BI7" s="3168"/>
      <c r="BJ7" s="3168"/>
      <c r="BK7" s="3168"/>
      <c r="BL7" s="3168"/>
      <c r="BM7" s="3168"/>
      <c r="BN7" s="3168"/>
      <c r="BO7" s="3168"/>
      <c r="BP7" s="3168"/>
      <c r="BQ7" s="3168"/>
      <c r="BR7" s="3168"/>
      <c r="BS7" s="3168"/>
      <c r="BT7" s="3168"/>
      <c r="BU7" s="3168"/>
      <c r="BV7" s="3168"/>
      <c r="BW7" s="3168"/>
      <c r="BX7" s="3168"/>
      <c r="BY7" s="3168"/>
      <c r="BZ7" s="3168"/>
      <c r="CA7" s="3168"/>
      <c r="CB7" s="3168"/>
      <c r="CC7" s="3168"/>
      <c r="CD7" s="3168"/>
      <c r="CE7" s="3168"/>
      <c r="CF7" s="3168"/>
      <c r="CG7" s="3168"/>
      <c r="CH7" s="3168"/>
      <c r="CI7" s="3168"/>
      <c r="CJ7" s="3168"/>
      <c r="CK7" s="3168"/>
      <c r="CL7" s="3168"/>
      <c r="CM7" s="3168"/>
      <c r="CN7" s="3168"/>
      <c r="CO7" s="3168"/>
      <c r="CP7" s="3168"/>
      <c r="CQ7" s="3168"/>
      <c r="CR7" s="3168"/>
      <c r="CS7" s="3168"/>
      <c r="CT7" s="3168"/>
      <c r="CU7" s="3168"/>
      <c r="CV7" s="3168"/>
      <c r="CW7" s="3168"/>
      <c r="CX7" s="3168"/>
      <c r="CY7" s="3168"/>
      <c r="CZ7" s="3168"/>
      <c r="DA7" s="3168"/>
      <c r="DB7" s="3168"/>
      <c r="DC7" s="3168"/>
      <c r="DD7" s="3168"/>
      <c r="DE7" s="3168"/>
      <c r="DF7" s="3168"/>
      <c r="DG7" s="3168"/>
      <c r="DH7" s="3168"/>
      <c r="DI7" s="3168"/>
      <c r="DJ7" s="3168"/>
      <c r="DK7" s="3168"/>
      <c r="DL7" s="3168"/>
      <c r="DM7" s="3168"/>
      <c r="DN7" s="3168"/>
      <c r="DO7" s="3168"/>
      <c r="DP7" s="3168"/>
      <c r="DQ7" s="3168"/>
      <c r="DR7" s="3168"/>
      <c r="DS7" s="3168"/>
      <c r="DT7" s="3168"/>
      <c r="DU7" s="3168"/>
      <c r="DV7" s="3168"/>
      <c r="DW7" s="3168"/>
      <c r="DX7" s="3168"/>
      <c r="DY7" s="3168"/>
      <c r="DZ7" s="3168"/>
      <c r="EA7" s="3168"/>
      <c r="EB7" s="3168"/>
      <c r="EC7" s="3168"/>
      <c r="ED7" s="3168"/>
      <c r="EE7" s="3168"/>
      <c r="EF7" s="3168"/>
      <c r="EG7" s="3168"/>
    </row>
    <row r="8" spans="1:137" s="3168" customFormat="1" ht="30" customHeight="1">
      <c r="A8" s="3194">
        <v>3</v>
      </c>
      <c r="B8" s="3205">
        <v>42865</v>
      </c>
      <c r="C8" s="3205">
        <v>42865</v>
      </c>
      <c r="D8" s="3206" t="s">
        <v>4006</v>
      </c>
      <c r="E8" s="3207" t="s">
        <v>3991</v>
      </c>
      <c r="F8" s="3208">
        <v>500680</v>
      </c>
      <c r="G8" s="3209" t="s">
        <v>4007</v>
      </c>
      <c r="H8" s="3206" t="s">
        <v>3993</v>
      </c>
      <c r="I8" s="3209" t="s">
        <v>4008</v>
      </c>
      <c r="J8" s="3209" t="s">
        <v>4009</v>
      </c>
      <c r="K8" s="3210" t="s">
        <v>4010</v>
      </c>
      <c r="L8" s="3210" t="s">
        <v>4011</v>
      </c>
      <c r="M8" s="3210" t="s">
        <v>4012</v>
      </c>
      <c r="N8" s="3211" t="s">
        <v>4013</v>
      </c>
      <c r="O8" s="3212">
        <v>68</v>
      </c>
      <c r="P8" s="3213">
        <v>4760</v>
      </c>
      <c r="Q8" s="3214">
        <v>42865</v>
      </c>
      <c r="R8" s="3213">
        <v>4760</v>
      </c>
      <c r="S8" s="3214">
        <v>42908</v>
      </c>
      <c r="T8" s="3214">
        <v>42953</v>
      </c>
      <c r="U8" s="3214">
        <v>42908</v>
      </c>
      <c r="V8" s="3214">
        <v>43272</v>
      </c>
      <c r="W8" s="3210" t="s">
        <v>4014</v>
      </c>
      <c r="X8" s="3206"/>
      <c r="Y8" s="3206"/>
      <c r="Z8" s="3289">
        <f t="shared" si="0"/>
        <v>5.71</v>
      </c>
      <c r="AA8" s="3209"/>
      <c r="AB8" s="3213">
        <v>70</v>
      </c>
      <c r="AC8" s="3213"/>
      <c r="AD8" s="3213"/>
      <c r="AE8" s="3213"/>
      <c r="AF8" s="3215"/>
      <c r="AG8" s="3213"/>
      <c r="AH8" s="3215"/>
      <c r="AI8" s="3213"/>
      <c r="AJ8" s="3215"/>
      <c r="AK8" s="3205">
        <v>42953</v>
      </c>
      <c r="AL8" s="3205">
        <v>43044</v>
      </c>
      <c r="AM8" s="3216" t="s">
        <v>4015</v>
      </c>
      <c r="AN8" s="3215">
        <v>3102.5</v>
      </c>
      <c r="AO8" s="3213">
        <v>13974</v>
      </c>
      <c r="AP8" s="3213">
        <v>1.5</v>
      </c>
      <c r="AQ8" s="3213"/>
      <c r="AR8" s="3205">
        <v>42953</v>
      </c>
      <c r="AS8" s="3205">
        <v>43044</v>
      </c>
      <c r="AT8" s="3217" t="s">
        <v>4015</v>
      </c>
      <c r="AU8" s="3193">
        <v>0</v>
      </c>
      <c r="AV8" s="3193">
        <v>0</v>
      </c>
      <c r="AW8" s="3218"/>
      <c r="AX8" s="3218"/>
      <c r="AY8" s="3218"/>
      <c r="AZ8" s="3218"/>
      <c r="BA8" s="3218"/>
      <c r="BB8" s="3218"/>
      <c r="BC8" s="3218"/>
      <c r="BD8" s="3218"/>
      <c r="BE8" s="3218"/>
      <c r="BF8" s="3218"/>
      <c r="BG8" s="3218"/>
      <c r="BH8" s="3218"/>
      <c r="BI8" s="3218"/>
      <c r="BJ8" s="3218"/>
      <c r="BK8" s="3218"/>
      <c r="BL8" s="3218"/>
      <c r="BM8" s="3218"/>
      <c r="BN8" s="3218"/>
      <c r="BO8" s="3218"/>
      <c r="BP8" s="3218"/>
      <c r="BQ8" s="3218"/>
      <c r="BR8" s="3218"/>
      <c r="BS8" s="3218"/>
      <c r="BT8" s="3218"/>
      <c r="BU8" s="3218"/>
      <c r="BV8" s="3218"/>
      <c r="BW8" s="3218"/>
      <c r="BX8" s="3218"/>
      <c r="BY8" s="3218"/>
      <c r="BZ8" s="3218"/>
      <c r="CA8" s="3218"/>
      <c r="CB8" s="3218"/>
      <c r="CC8" s="3218"/>
      <c r="CD8" s="3218"/>
      <c r="CE8" s="3218"/>
      <c r="CF8" s="3218"/>
      <c r="CG8" s="3218"/>
      <c r="CH8" s="3218"/>
      <c r="CI8" s="3218"/>
      <c r="CJ8" s="3218"/>
      <c r="CK8" s="3218"/>
      <c r="CL8" s="3218"/>
      <c r="CM8" s="3218"/>
      <c r="CN8" s="3218"/>
      <c r="CO8" s="3218"/>
      <c r="CP8" s="3218"/>
      <c r="CQ8" s="3218"/>
      <c r="CR8" s="3218"/>
      <c r="CS8" s="3218"/>
      <c r="CT8" s="3218"/>
      <c r="CU8" s="3218"/>
      <c r="CV8" s="3218"/>
      <c r="CW8" s="3218"/>
      <c r="CX8" s="3218"/>
      <c r="CY8" s="3218"/>
      <c r="CZ8" s="3218"/>
      <c r="DA8" s="3218"/>
      <c r="DB8" s="3218"/>
      <c r="DC8" s="3218"/>
      <c r="DD8" s="3218"/>
      <c r="DE8" s="3218"/>
      <c r="DF8" s="3218"/>
      <c r="DG8" s="3218"/>
      <c r="DH8" s="3218"/>
      <c r="DI8" s="3218"/>
      <c r="DJ8" s="3218"/>
      <c r="DK8" s="3218"/>
      <c r="DL8" s="3218"/>
      <c r="DM8" s="3218"/>
      <c r="DN8" s="3218"/>
      <c r="DO8" s="3218"/>
      <c r="DP8" s="3218"/>
      <c r="DQ8" s="3218"/>
      <c r="DR8" s="3218"/>
      <c r="DS8" s="3218"/>
      <c r="DT8" s="3218"/>
      <c r="DU8" s="3218"/>
      <c r="DV8" s="3218"/>
      <c r="DW8" s="3218"/>
      <c r="DX8" s="3218"/>
      <c r="DY8" s="3218"/>
      <c r="DZ8" s="3218"/>
      <c r="EA8" s="3218"/>
      <c r="EB8" s="3218"/>
      <c r="EC8" s="3218"/>
      <c r="ED8" s="3218"/>
      <c r="EE8" s="3218"/>
      <c r="EF8" s="3218"/>
      <c r="EG8" s="3218"/>
    </row>
    <row r="9" spans="1:137" s="3168" customFormat="1" ht="30" customHeight="1">
      <c r="A9" s="3181">
        <v>4</v>
      </c>
      <c r="B9" s="3195">
        <v>42865</v>
      </c>
      <c r="C9" s="3196">
        <v>42865</v>
      </c>
      <c r="D9" s="3181" t="s">
        <v>4016</v>
      </c>
      <c r="E9" s="3197" t="s">
        <v>4017</v>
      </c>
      <c r="F9" s="3198">
        <v>500674</v>
      </c>
      <c r="G9" s="3198" t="s">
        <v>4018</v>
      </c>
      <c r="H9" s="3181" t="s">
        <v>4019</v>
      </c>
      <c r="I9" s="3197" t="s">
        <v>4020</v>
      </c>
      <c r="J9" s="3198" t="s">
        <v>4018</v>
      </c>
      <c r="K9" s="3197">
        <v>15226656839</v>
      </c>
      <c r="L9" s="3197" t="s">
        <v>4011</v>
      </c>
      <c r="M9" s="3197" t="s">
        <v>4012</v>
      </c>
      <c r="N9" s="3197" t="s">
        <v>4021</v>
      </c>
      <c r="O9" s="3199">
        <v>140</v>
      </c>
      <c r="P9" s="3200">
        <v>9800</v>
      </c>
      <c r="Q9" s="3196">
        <v>42865</v>
      </c>
      <c r="R9" s="3200">
        <v>9800</v>
      </c>
      <c r="S9" s="3196">
        <v>42908</v>
      </c>
      <c r="T9" s="3196">
        <v>42953</v>
      </c>
      <c r="U9" s="3196">
        <v>42908</v>
      </c>
      <c r="V9" s="3196">
        <v>43637</v>
      </c>
      <c r="W9" s="3197" t="s">
        <v>4022</v>
      </c>
      <c r="X9" s="3181"/>
      <c r="Y9" s="3181">
        <v>0.05</v>
      </c>
      <c r="Z9" s="3289">
        <f t="shared" si="0"/>
        <v>11.76</v>
      </c>
      <c r="AA9" s="3201"/>
      <c r="AB9" s="3200">
        <v>70</v>
      </c>
      <c r="AC9" s="3200"/>
      <c r="AD9" s="3200"/>
      <c r="AE9" s="3200"/>
      <c r="AF9" s="3194"/>
      <c r="AG9" s="3200"/>
      <c r="AH9" s="3194"/>
      <c r="AI9" s="3200"/>
      <c r="AJ9" s="3194"/>
      <c r="AK9" s="3195">
        <v>42908</v>
      </c>
      <c r="AL9" s="3195">
        <v>43044</v>
      </c>
      <c r="AM9" s="3202" t="s">
        <v>4015</v>
      </c>
      <c r="AN9" s="3194">
        <v>6387.5</v>
      </c>
      <c r="AO9" s="3200">
        <v>28770</v>
      </c>
      <c r="AP9" s="3200">
        <v>1.5</v>
      </c>
      <c r="AQ9" s="3200"/>
      <c r="AR9" s="3195">
        <v>42908</v>
      </c>
      <c r="AS9" s="3195">
        <v>43044</v>
      </c>
      <c r="AT9" s="3203" t="s">
        <v>4015</v>
      </c>
      <c r="AU9" s="3193">
        <v>29400</v>
      </c>
      <c r="AV9" s="3193">
        <v>19320</v>
      </c>
    </row>
    <row r="10" spans="1:137" s="3168" customFormat="1" ht="30" customHeight="1">
      <c r="A10" s="3194">
        <v>5</v>
      </c>
      <c r="B10" s="3195">
        <v>42732</v>
      </c>
      <c r="C10" s="3195">
        <v>42734</v>
      </c>
      <c r="D10" s="3181" t="s">
        <v>4023</v>
      </c>
      <c r="E10" s="3197" t="s">
        <v>4024</v>
      </c>
      <c r="F10" s="3198">
        <v>500642</v>
      </c>
      <c r="G10" s="3198" t="s">
        <v>4025</v>
      </c>
      <c r="H10" s="3181" t="s">
        <v>3993</v>
      </c>
      <c r="I10" s="3197" t="s">
        <v>4026</v>
      </c>
      <c r="J10" s="3198" t="s">
        <v>4025</v>
      </c>
      <c r="K10" s="3197" t="s">
        <v>4027</v>
      </c>
      <c r="L10" s="3197" t="s">
        <v>3996</v>
      </c>
      <c r="M10" s="3197" t="s">
        <v>3997</v>
      </c>
      <c r="N10" s="3197" t="s">
        <v>4028</v>
      </c>
      <c r="O10" s="3199">
        <v>42</v>
      </c>
      <c r="P10" s="3200">
        <v>3864</v>
      </c>
      <c r="Q10" s="3196">
        <v>42732</v>
      </c>
      <c r="R10" s="3200">
        <v>3864</v>
      </c>
      <c r="S10" s="3196">
        <v>42906</v>
      </c>
      <c r="T10" s="3196">
        <v>42931</v>
      </c>
      <c r="U10" s="3196">
        <v>42906</v>
      </c>
      <c r="V10" s="3219">
        <v>43270</v>
      </c>
      <c r="W10" s="3197" t="s">
        <v>3999</v>
      </c>
      <c r="X10" s="3181"/>
      <c r="Y10" s="3181"/>
      <c r="Z10" s="3289">
        <f t="shared" si="0"/>
        <v>4.6399999999999997</v>
      </c>
      <c r="AA10" s="3201"/>
      <c r="AB10" s="3200">
        <v>92</v>
      </c>
      <c r="AC10" s="3200"/>
      <c r="AD10" s="3200"/>
      <c r="AE10" s="3200"/>
      <c r="AF10" s="3194"/>
      <c r="AG10" s="3200"/>
      <c r="AH10" s="3194"/>
      <c r="AI10" s="3200"/>
      <c r="AJ10" s="3194"/>
      <c r="AK10" s="3195">
        <v>42931</v>
      </c>
      <c r="AL10" s="3220">
        <v>43022</v>
      </c>
      <c r="AM10" s="3202" t="s">
        <v>4000</v>
      </c>
      <c r="AN10" s="3194">
        <v>1260</v>
      </c>
      <c r="AO10" s="3200">
        <v>1050</v>
      </c>
      <c r="AP10" s="3200"/>
      <c r="AQ10" s="3200">
        <v>30</v>
      </c>
      <c r="AR10" s="3195">
        <v>42931</v>
      </c>
      <c r="AS10" s="3195">
        <v>42961</v>
      </c>
      <c r="AT10" s="3203" t="s">
        <v>4000</v>
      </c>
      <c r="AU10" s="3193">
        <v>8101.94</v>
      </c>
      <c r="AV10" s="3193">
        <v>4867.9399999999996</v>
      </c>
    </row>
    <row r="11" spans="1:137" s="3168" customFormat="1" ht="30" customHeight="1">
      <c r="A11" s="3190">
        <v>6</v>
      </c>
      <c r="B11" s="3195">
        <v>42719</v>
      </c>
      <c r="C11" s="3196">
        <v>42730</v>
      </c>
      <c r="D11" s="3181" t="s">
        <v>4029</v>
      </c>
      <c r="E11" s="3197" t="s">
        <v>4024</v>
      </c>
      <c r="F11" s="3198">
        <v>500634</v>
      </c>
      <c r="G11" s="3198" t="s">
        <v>4030</v>
      </c>
      <c r="H11" s="3181" t="s">
        <v>3993</v>
      </c>
      <c r="I11" s="3197" t="s">
        <v>4031</v>
      </c>
      <c r="J11" s="3198" t="s">
        <v>4030</v>
      </c>
      <c r="K11" s="3197" t="s">
        <v>4032</v>
      </c>
      <c r="L11" s="3197" t="s">
        <v>3996</v>
      </c>
      <c r="M11" s="3197" t="s">
        <v>3997</v>
      </c>
      <c r="N11" s="3197" t="s">
        <v>4033</v>
      </c>
      <c r="O11" s="3199">
        <v>40</v>
      </c>
      <c r="P11" s="3200">
        <v>3680</v>
      </c>
      <c r="Q11" s="3196">
        <v>42723</v>
      </c>
      <c r="R11" s="3200">
        <v>3680</v>
      </c>
      <c r="S11" s="3196">
        <v>42906</v>
      </c>
      <c r="T11" s="3196">
        <v>42931</v>
      </c>
      <c r="U11" s="3196">
        <v>42906</v>
      </c>
      <c r="V11" s="3196">
        <v>43270</v>
      </c>
      <c r="W11" s="3197" t="s">
        <v>3999</v>
      </c>
      <c r="X11" s="3181"/>
      <c r="Y11" s="3181"/>
      <c r="Z11" s="3289">
        <f t="shared" si="0"/>
        <v>4.42</v>
      </c>
      <c r="AA11" s="3201"/>
      <c r="AB11" s="3200">
        <v>92</v>
      </c>
      <c r="AC11" s="3200"/>
      <c r="AD11" s="3200"/>
      <c r="AE11" s="3200"/>
      <c r="AF11" s="3194"/>
      <c r="AG11" s="3200"/>
      <c r="AH11" s="3194"/>
      <c r="AI11" s="3200"/>
      <c r="AJ11" s="3194"/>
      <c r="AK11" s="3195">
        <v>42931</v>
      </c>
      <c r="AL11" s="3195">
        <v>43022</v>
      </c>
      <c r="AM11" s="3202" t="s">
        <v>4000</v>
      </c>
      <c r="AN11" s="3194">
        <v>1200</v>
      </c>
      <c r="AO11" s="3200">
        <v>1000</v>
      </c>
      <c r="AP11" s="3200"/>
      <c r="AQ11" s="3200">
        <v>30</v>
      </c>
      <c r="AR11" s="3195">
        <v>42931</v>
      </c>
      <c r="AS11" s="3195">
        <v>43022</v>
      </c>
      <c r="AT11" s="3203" t="s">
        <v>4000</v>
      </c>
      <c r="AU11" s="3193">
        <v>11040</v>
      </c>
      <c r="AV11" s="3193">
        <v>3600</v>
      </c>
    </row>
    <row r="12" spans="1:137" s="3168" customFormat="1" ht="30" customHeight="1">
      <c r="A12" s="3194">
        <v>7</v>
      </c>
      <c r="B12" s="3221">
        <v>42734</v>
      </c>
      <c r="C12" s="3195">
        <v>42734</v>
      </c>
      <c r="D12" s="3181" t="s">
        <v>4029</v>
      </c>
      <c r="E12" s="3197" t="s">
        <v>4024</v>
      </c>
      <c r="F12" s="3198">
        <v>500645</v>
      </c>
      <c r="G12" s="3198" t="s">
        <v>4034</v>
      </c>
      <c r="H12" s="3181" t="s">
        <v>3993</v>
      </c>
      <c r="I12" s="3197" t="s">
        <v>4035</v>
      </c>
      <c r="J12" s="3198" t="s">
        <v>4034</v>
      </c>
      <c r="K12" s="3197" t="s">
        <v>4036</v>
      </c>
      <c r="L12" s="3197" t="s">
        <v>3996</v>
      </c>
      <c r="M12" s="3197" t="s">
        <v>3997</v>
      </c>
      <c r="N12" s="3197" t="s">
        <v>4037</v>
      </c>
      <c r="O12" s="3199">
        <v>40</v>
      </c>
      <c r="P12" s="3200">
        <v>3680</v>
      </c>
      <c r="Q12" s="3196">
        <v>42734</v>
      </c>
      <c r="R12" s="3200">
        <v>3680</v>
      </c>
      <c r="S12" s="3196">
        <v>42906</v>
      </c>
      <c r="T12" s="3196">
        <v>42931</v>
      </c>
      <c r="U12" s="3196">
        <v>42906</v>
      </c>
      <c r="V12" s="3219">
        <v>43270</v>
      </c>
      <c r="W12" s="3197" t="s">
        <v>3999</v>
      </c>
      <c r="X12" s="3181"/>
      <c r="Y12" s="3181"/>
      <c r="Z12" s="3289">
        <f t="shared" si="0"/>
        <v>4.42</v>
      </c>
      <c r="AA12" s="3201"/>
      <c r="AB12" s="3200">
        <v>92</v>
      </c>
      <c r="AC12" s="3200"/>
      <c r="AD12" s="3200"/>
      <c r="AE12" s="3200"/>
      <c r="AF12" s="3194"/>
      <c r="AG12" s="3200"/>
      <c r="AH12" s="3194"/>
      <c r="AI12" s="3200"/>
      <c r="AJ12" s="3194"/>
      <c r="AK12" s="3195">
        <v>42931</v>
      </c>
      <c r="AL12" s="3220">
        <v>43022</v>
      </c>
      <c r="AM12" s="3202" t="s">
        <v>4000</v>
      </c>
      <c r="AN12" s="3194">
        <v>1200</v>
      </c>
      <c r="AO12" s="3200">
        <v>1000</v>
      </c>
      <c r="AP12" s="3200"/>
      <c r="AQ12" s="3200">
        <v>30</v>
      </c>
      <c r="AR12" s="3195">
        <v>42931</v>
      </c>
      <c r="AS12" s="3195">
        <v>42961</v>
      </c>
      <c r="AT12" s="3203" t="s">
        <v>4000</v>
      </c>
      <c r="AU12" s="3193">
        <v>7716.1245161290317</v>
      </c>
      <c r="AV12" s="3193">
        <v>4636.1245161290317</v>
      </c>
    </row>
    <row r="13" spans="1:137" s="3168" customFormat="1" ht="30" customHeight="1">
      <c r="A13" s="3194">
        <v>8</v>
      </c>
      <c r="B13" s="3221">
        <v>42725</v>
      </c>
      <c r="C13" s="3195">
        <v>42730</v>
      </c>
      <c r="D13" s="3222" t="s">
        <v>4038</v>
      </c>
      <c r="E13" s="3197" t="s">
        <v>4024</v>
      </c>
      <c r="F13" s="3198">
        <v>500637</v>
      </c>
      <c r="G13" s="3198" t="s">
        <v>4039</v>
      </c>
      <c r="H13" s="3181" t="s">
        <v>3993</v>
      </c>
      <c r="I13" s="3197" t="s">
        <v>4040</v>
      </c>
      <c r="J13" s="3198" t="s">
        <v>4039</v>
      </c>
      <c r="K13" s="3197" t="s">
        <v>4041</v>
      </c>
      <c r="L13" s="3197" t="s">
        <v>3996</v>
      </c>
      <c r="M13" s="3197" t="s">
        <v>3997</v>
      </c>
      <c r="N13" s="3197" t="s">
        <v>4042</v>
      </c>
      <c r="O13" s="3199">
        <v>107</v>
      </c>
      <c r="P13" s="3200">
        <v>8132</v>
      </c>
      <c r="Q13" s="3196">
        <v>42725</v>
      </c>
      <c r="R13" s="3200">
        <v>8132</v>
      </c>
      <c r="S13" s="3196">
        <v>42786</v>
      </c>
      <c r="T13" s="3196">
        <v>42831</v>
      </c>
      <c r="U13" s="3196">
        <v>42786</v>
      </c>
      <c r="V13" s="3196">
        <v>43150</v>
      </c>
      <c r="W13" s="3197" t="s">
        <v>3999</v>
      </c>
      <c r="X13" s="3181"/>
      <c r="Y13" s="3181"/>
      <c r="Z13" s="3289">
        <f t="shared" si="0"/>
        <v>9.76</v>
      </c>
      <c r="AA13" s="3201"/>
      <c r="AB13" s="3200">
        <v>76</v>
      </c>
      <c r="AC13" s="3200"/>
      <c r="AD13" s="3200"/>
      <c r="AE13" s="3200"/>
      <c r="AF13" s="3194"/>
      <c r="AG13" s="3200"/>
      <c r="AH13" s="3194"/>
      <c r="AI13" s="3200"/>
      <c r="AJ13" s="3194"/>
      <c r="AK13" s="3195">
        <v>42831</v>
      </c>
      <c r="AL13" s="3195">
        <v>43069</v>
      </c>
      <c r="AM13" s="3202" t="s">
        <v>4000</v>
      </c>
      <c r="AN13" s="3194">
        <v>3210</v>
      </c>
      <c r="AO13" s="3200">
        <v>4815</v>
      </c>
      <c r="AP13" s="3200"/>
      <c r="AQ13" s="3200">
        <v>30</v>
      </c>
      <c r="AR13" s="3195">
        <v>42831</v>
      </c>
      <c r="AS13" s="3195">
        <v>43069</v>
      </c>
      <c r="AT13" s="3203" t="s">
        <v>4000</v>
      </c>
      <c r="AU13" s="3193">
        <v>63700.67</v>
      </c>
      <c r="AV13" s="3193">
        <v>29960</v>
      </c>
    </row>
    <row r="14" spans="1:137" s="3168" customFormat="1" ht="30" customHeight="1">
      <c r="A14" s="3181">
        <v>9</v>
      </c>
      <c r="B14" s="3195">
        <v>42732</v>
      </c>
      <c r="C14" s="3195">
        <v>42734</v>
      </c>
      <c r="D14" s="3181" t="s">
        <v>4038</v>
      </c>
      <c r="E14" s="3197" t="s">
        <v>4024</v>
      </c>
      <c r="F14" s="3198">
        <v>500643</v>
      </c>
      <c r="G14" s="3198" t="s">
        <v>4043</v>
      </c>
      <c r="H14" s="3181" t="s">
        <v>3993</v>
      </c>
      <c r="I14" s="3197" t="s">
        <v>4044</v>
      </c>
      <c r="J14" s="3198" t="s">
        <v>4043</v>
      </c>
      <c r="K14" s="3197" t="s">
        <v>4045</v>
      </c>
      <c r="L14" s="3197" t="s">
        <v>3996</v>
      </c>
      <c r="M14" s="3197" t="s">
        <v>3997</v>
      </c>
      <c r="N14" s="3197" t="s">
        <v>4046</v>
      </c>
      <c r="O14" s="3199">
        <v>67</v>
      </c>
      <c r="P14" s="3200">
        <v>5494</v>
      </c>
      <c r="Q14" s="3196">
        <v>42732</v>
      </c>
      <c r="R14" s="3200">
        <v>5494</v>
      </c>
      <c r="S14" s="3196">
        <v>42786</v>
      </c>
      <c r="T14" s="3196">
        <v>42821</v>
      </c>
      <c r="U14" s="3196">
        <v>42786</v>
      </c>
      <c r="V14" s="3196">
        <v>43150</v>
      </c>
      <c r="W14" s="3197" t="s">
        <v>3999</v>
      </c>
      <c r="X14" s="3181"/>
      <c r="Y14" s="3181"/>
      <c r="Z14" s="3289">
        <f t="shared" si="0"/>
        <v>6.59</v>
      </c>
      <c r="AA14" s="3201"/>
      <c r="AB14" s="3200">
        <v>82</v>
      </c>
      <c r="AC14" s="3200"/>
      <c r="AD14" s="3200"/>
      <c r="AE14" s="3200"/>
      <c r="AF14" s="3194"/>
      <c r="AG14" s="3200"/>
      <c r="AH14" s="3194"/>
      <c r="AI14" s="3200"/>
      <c r="AJ14" s="3194"/>
      <c r="AK14" s="3195">
        <v>42821</v>
      </c>
      <c r="AL14" s="3195">
        <v>43008</v>
      </c>
      <c r="AM14" s="3202" t="s">
        <v>4000</v>
      </c>
      <c r="AN14" s="3194">
        <v>2010</v>
      </c>
      <c r="AO14" s="3200">
        <v>2345</v>
      </c>
      <c r="AP14" s="3200"/>
      <c r="AQ14" s="3200">
        <v>30</v>
      </c>
      <c r="AR14" s="3195">
        <v>42821</v>
      </c>
      <c r="AS14" s="3195">
        <v>43008</v>
      </c>
      <c r="AT14" s="3203" t="s">
        <v>4000</v>
      </c>
      <c r="AU14" s="3193">
        <v>33850.130000000005</v>
      </c>
      <c r="AV14" s="3193">
        <v>14729.193548387097</v>
      </c>
    </row>
    <row r="15" spans="1:137" s="3168" customFormat="1" ht="30" customHeight="1">
      <c r="A15" s="3194">
        <v>10</v>
      </c>
      <c r="B15" s="3195">
        <v>42720</v>
      </c>
      <c r="C15" s="3196">
        <v>42730</v>
      </c>
      <c r="D15" s="3181" t="s">
        <v>4038</v>
      </c>
      <c r="E15" s="3197" t="s">
        <v>3991</v>
      </c>
      <c r="F15" s="3198">
        <v>500636</v>
      </c>
      <c r="G15" s="3198" t="s">
        <v>4047</v>
      </c>
      <c r="H15" s="3181" t="s">
        <v>3993</v>
      </c>
      <c r="I15" s="3197" t="s">
        <v>4048</v>
      </c>
      <c r="J15" s="3198" t="s">
        <v>4047</v>
      </c>
      <c r="K15" s="3197" t="s">
        <v>4049</v>
      </c>
      <c r="L15" s="3197" t="s">
        <v>3996</v>
      </c>
      <c r="M15" s="3197" t="s">
        <v>3997</v>
      </c>
      <c r="N15" s="3197" t="s">
        <v>4050</v>
      </c>
      <c r="O15" s="3199">
        <v>35</v>
      </c>
      <c r="P15" s="3200">
        <v>3815</v>
      </c>
      <c r="Q15" s="3196">
        <v>42721</v>
      </c>
      <c r="R15" s="3200">
        <v>3815</v>
      </c>
      <c r="S15" s="3196">
        <v>42786</v>
      </c>
      <c r="T15" s="3196">
        <v>42811</v>
      </c>
      <c r="U15" s="3196">
        <v>42786</v>
      </c>
      <c r="V15" s="3219">
        <v>43150</v>
      </c>
      <c r="W15" s="3197" t="s">
        <v>3999</v>
      </c>
      <c r="X15" s="3181"/>
      <c r="Y15" s="3181"/>
      <c r="Z15" s="3289">
        <f t="shared" si="0"/>
        <v>4.49</v>
      </c>
      <c r="AA15" s="3201"/>
      <c r="AB15" s="3200">
        <v>107</v>
      </c>
      <c r="AC15" s="3200"/>
      <c r="AD15" s="3200"/>
      <c r="AE15" s="3200"/>
      <c r="AF15" s="3194"/>
      <c r="AG15" s="3200"/>
      <c r="AH15" s="3194"/>
      <c r="AI15" s="3200"/>
      <c r="AJ15" s="3194"/>
      <c r="AK15" s="3195">
        <v>42811</v>
      </c>
      <c r="AL15" s="3220">
        <v>43024</v>
      </c>
      <c r="AM15" s="3202" t="s">
        <v>4000</v>
      </c>
      <c r="AN15" s="3194">
        <v>1050</v>
      </c>
      <c r="AO15" s="3200">
        <v>875</v>
      </c>
      <c r="AP15" s="3200"/>
      <c r="AQ15" s="3200">
        <v>30</v>
      </c>
      <c r="AR15" s="3195">
        <v>42811</v>
      </c>
      <c r="AS15" s="3195">
        <v>42932</v>
      </c>
      <c r="AT15" s="3203" t="s">
        <v>4000</v>
      </c>
      <c r="AU15" s="3193">
        <v>26215</v>
      </c>
      <c r="AV15" s="3193">
        <v>8224.8799999999992</v>
      </c>
    </row>
    <row r="16" spans="1:137" s="3168" customFormat="1" ht="30" customHeight="1">
      <c r="A16" s="3181">
        <v>11</v>
      </c>
      <c r="B16" s="3195">
        <v>42810</v>
      </c>
      <c r="C16" s="3196">
        <v>42810</v>
      </c>
      <c r="D16" s="3181" t="s">
        <v>3990</v>
      </c>
      <c r="E16" s="3197" t="s">
        <v>3991</v>
      </c>
      <c r="F16" s="3198">
        <v>500413</v>
      </c>
      <c r="G16" s="3198" t="s">
        <v>4051</v>
      </c>
      <c r="H16" s="3181" t="s">
        <v>3993</v>
      </c>
      <c r="I16" s="3197" t="s">
        <v>4052</v>
      </c>
      <c r="J16" s="3198" t="s">
        <v>4051</v>
      </c>
      <c r="K16" s="3197" t="s">
        <v>4053</v>
      </c>
      <c r="L16" s="3197" t="s">
        <v>3996</v>
      </c>
      <c r="M16" s="3197" t="s">
        <v>3997</v>
      </c>
      <c r="N16" s="3197" t="s">
        <v>4054</v>
      </c>
      <c r="O16" s="3199">
        <v>30</v>
      </c>
      <c r="P16" s="3200">
        <v>2730</v>
      </c>
      <c r="Q16" s="3196">
        <v>42815</v>
      </c>
      <c r="R16" s="3200">
        <v>2730</v>
      </c>
      <c r="S16" s="3196">
        <v>42826</v>
      </c>
      <c r="T16" s="3196">
        <v>42851</v>
      </c>
      <c r="U16" s="3196">
        <v>42826</v>
      </c>
      <c r="V16" s="3196">
        <v>43190</v>
      </c>
      <c r="W16" s="3197" t="s">
        <v>3999</v>
      </c>
      <c r="X16" s="3181"/>
      <c r="Y16" s="3181"/>
      <c r="Z16" s="3289">
        <f t="shared" si="0"/>
        <v>3.28</v>
      </c>
      <c r="AA16" s="3201"/>
      <c r="AB16" s="3200">
        <v>91</v>
      </c>
      <c r="AC16" s="3200"/>
      <c r="AD16" s="3200"/>
      <c r="AE16" s="3200"/>
      <c r="AF16" s="3194"/>
      <c r="AG16" s="3200"/>
      <c r="AH16" s="3194"/>
      <c r="AI16" s="3200"/>
      <c r="AJ16" s="3194"/>
      <c r="AK16" s="3195">
        <v>42851</v>
      </c>
      <c r="AL16" s="3195">
        <v>43008</v>
      </c>
      <c r="AM16" s="3202" t="s">
        <v>4000</v>
      </c>
      <c r="AN16" s="3194">
        <v>1368.75</v>
      </c>
      <c r="AO16" s="3200">
        <v>1125</v>
      </c>
      <c r="AP16" s="3200">
        <v>1.5</v>
      </c>
      <c r="AQ16" s="3200"/>
      <c r="AR16" s="3195">
        <v>42851</v>
      </c>
      <c r="AS16" s="3195">
        <v>43008</v>
      </c>
      <c r="AT16" s="3203" t="s">
        <v>4000</v>
      </c>
      <c r="AU16" s="3193">
        <v>14105</v>
      </c>
      <c r="AV16" s="3193">
        <v>8235</v>
      </c>
    </row>
    <row r="17" spans="1:137" s="3168" customFormat="1" ht="30" customHeight="1">
      <c r="A17" s="3194">
        <v>12</v>
      </c>
      <c r="B17" s="3195">
        <v>42810</v>
      </c>
      <c r="C17" s="3195">
        <v>42810</v>
      </c>
      <c r="D17" s="3181" t="s">
        <v>3990</v>
      </c>
      <c r="E17" s="3197" t="s">
        <v>3991</v>
      </c>
      <c r="F17" s="3198">
        <v>500653</v>
      </c>
      <c r="G17" s="3198" t="s">
        <v>4055</v>
      </c>
      <c r="H17" s="3181" t="s">
        <v>3993</v>
      </c>
      <c r="I17" s="3197" t="s">
        <v>4056</v>
      </c>
      <c r="J17" s="3198" t="s">
        <v>4055</v>
      </c>
      <c r="K17" s="3197" t="s">
        <v>4057</v>
      </c>
      <c r="L17" s="3197" t="s">
        <v>3996</v>
      </c>
      <c r="M17" s="3197" t="s">
        <v>3997</v>
      </c>
      <c r="N17" s="3197" t="s">
        <v>4058</v>
      </c>
      <c r="O17" s="3199">
        <v>9</v>
      </c>
      <c r="P17" s="3200">
        <v>1791</v>
      </c>
      <c r="Q17" s="3196">
        <v>42816</v>
      </c>
      <c r="R17" s="3200">
        <v>1791</v>
      </c>
      <c r="S17" s="3196">
        <v>42826</v>
      </c>
      <c r="T17" s="3196">
        <v>42841</v>
      </c>
      <c r="U17" s="3196">
        <v>42826</v>
      </c>
      <c r="V17" s="3219">
        <v>43190</v>
      </c>
      <c r="W17" s="3197" t="s">
        <v>3999</v>
      </c>
      <c r="X17" s="3181"/>
      <c r="Y17" s="3181"/>
      <c r="Z17" s="3289">
        <f t="shared" si="0"/>
        <v>2.15</v>
      </c>
      <c r="AA17" s="3201"/>
      <c r="AB17" s="3200">
        <v>199</v>
      </c>
      <c r="AC17" s="3200"/>
      <c r="AD17" s="3200"/>
      <c r="AE17" s="3200"/>
      <c r="AF17" s="3194"/>
      <c r="AG17" s="3200"/>
      <c r="AH17" s="3194"/>
      <c r="AI17" s="3200"/>
      <c r="AJ17" s="3194"/>
      <c r="AK17" s="3195">
        <v>42841</v>
      </c>
      <c r="AL17" s="3220">
        <v>43023</v>
      </c>
      <c r="AM17" s="3202" t="s">
        <v>4000</v>
      </c>
      <c r="AN17" s="3194">
        <v>410.63</v>
      </c>
      <c r="AO17" s="3200">
        <v>202.5</v>
      </c>
      <c r="AP17" s="3200">
        <v>1.5</v>
      </c>
      <c r="AQ17" s="3200"/>
      <c r="AR17" s="3195">
        <v>42841</v>
      </c>
      <c r="AS17" s="3195">
        <v>42931</v>
      </c>
      <c r="AT17" s="3203" t="s">
        <v>4000</v>
      </c>
      <c r="AU17" s="3193">
        <v>10717.11</v>
      </c>
      <c r="AV17" s="3193">
        <v>2639.47</v>
      </c>
    </row>
    <row r="18" spans="1:137" s="3168" customFormat="1" ht="30" customHeight="1">
      <c r="A18" s="3190">
        <v>13</v>
      </c>
      <c r="B18" s="3221">
        <v>40905</v>
      </c>
      <c r="C18" s="3195">
        <v>40905</v>
      </c>
      <c r="D18" s="3222" t="s">
        <v>4059</v>
      </c>
      <c r="E18" s="3197" t="s">
        <v>4060</v>
      </c>
      <c r="F18" s="3198">
        <v>500163</v>
      </c>
      <c r="G18" s="3198" t="s">
        <v>4061</v>
      </c>
      <c r="H18" s="3181" t="s">
        <v>3993</v>
      </c>
      <c r="I18" s="3197" t="s">
        <v>4062</v>
      </c>
      <c r="J18" s="3198" t="s">
        <v>4063</v>
      </c>
      <c r="K18" s="3197" t="s">
        <v>4064</v>
      </c>
      <c r="L18" s="3197" t="s">
        <v>3996</v>
      </c>
      <c r="M18" s="3197" t="s">
        <v>4065</v>
      </c>
      <c r="N18" s="3197" t="s">
        <v>4066</v>
      </c>
      <c r="O18" s="3199">
        <v>14732</v>
      </c>
      <c r="P18" s="3200">
        <v>1000000</v>
      </c>
      <c r="Q18" s="3196">
        <v>41773</v>
      </c>
      <c r="R18" s="3200">
        <v>1000000</v>
      </c>
      <c r="S18" s="3196">
        <v>41699</v>
      </c>
      <c r="T18" s="3196">
        <v>41821</v>
      </c>
      <c r="U18" s="3196">
        <v>41699</v>
      </c>
      <c r="V18" s="3196">
        <v>46081</v>
      </c>
      <c r="W18" s="3197" t="s">
        <v>4067</v>
      </c>
      <c r="X18" s="3181" t="s">
        <v>4068</v>
      </c>
      <c r="Y18" s="3181">
        <v>5</v>
      </c>
      <c r="Z18" s="3292">
        <f>ROUND(AE18*O18*365/10000,2)</f>
        <v>564.6</v>
      </c>
      <c r="AA18" s="3201">
        <v>1</v>
      </c>
      <c r="AB18" s="3200"/>
      <c r="AC18" s="3200">
        <v>1</v>
      </c>
      <c r="AD18" s="3200"/>
      <c r="AE18" s="3200">
        <v>1.05</v>
      </c>
      <c r="AF18" s="3194"/>
      <c r="AG18" s="3200">
        <v>1.05</v>
      </c>
      <c r="AH18" s="3194"/>
      <c r="AI18" s="3200">
        <v>1.1025</v>
      </c>
      <c r="AJ18" s="3194"/>
      <c r="AK18" s="3195">
        <v>41821</v>
      </c>
      <c r="AL18" s="3195">
        <v>43069</v>
      </c>
      <c r="AM18" s="3202" t="s">
        <v>4000</v>
      </c>
      <c r="AN18" s="3194"/>
      <c r="AO18" s="3200"/>
      <c r="AP18" s="3200">
        <v>0.7</v>
      </c>
      <c r="AQ18" s="3200"/>
      <c r="AR18" s="3195">
        <v>41699</v>
      </c>
      <c r="AS18" s="3195">
        <v>43069</v>
      </c>
      <c r="AT18" s="3203" t="s">
        <v>4000</v>
      </c>
      <c r="AU18" s="3193">
        <v>5033187.8</v>
      </c>
      <c r="AV18" s="3193">
        <v>3523231.4600000004</v>
      </c>
    </row>
    <row r="19" spans="1:137" s="3204" customFormat="1" ht="30" customHeight="1">
      <c r="A19" s="3181">
        <v>14</v>
      </c>
      <c r="B19" s="3223">
        <v>42555</v>
      </c>
      <c r="C19" s="3224">
        <v>42556</v>
      </c>
      <c r="D19" s="3225" t="s">
        <v>4069</v>
      </c>
      <c r="E19" s="3211" t="s">
        <v>4024</v>
      </c>
      <c r="F19" s="3226">
        <v>500607</v>
      </c>
      <c r="G19" s="3226" t="s">
        <v>4070</v>
      </c>
      <c r="H19" s="3225" t="s">
        <v>3993</v>
      </c>
      <c r="I19" s="3211" t="s">
        <v>4071</v>
      </c>
      <c r="J19" s="3226" t="s">
        <v>4070</v>
      </c>
      <c r="K19" s="3211" t="s">
        <v>4072</v>
      </c>
      <c r="L19" s="3211" t="s">
        <v>3996</v>
      </c>
      <c r="M19" s="3211" t="s">
        <v>4065</v>
      </c>
      <c r="N19" s="3211" t="s">
        <v>4073</v>
      </c>
      <c r="O19" s="3227">
        <v>1592</v>
      </c>
      <c r="P19" s="3228">
        <v>58267.199999999997</v>
      </c>
      <c r="Q19" s="3224">
        <v>42555</v>
      </c>
      <c r="R19" s="3228">
        <v>58267.199999999997</v>
      </c>
      <c r="S19" s="3224">
        <v>42583</v>
      </c>
      <c r="T19" s="3229">
        <v>42736</v>
      </c>
      <c r="U19" s="3229">
        <v>42675</v>
      </c>
      <c r="V19" s="3229">
        <v>45596</v>
      </c>
      <c r="W19" s="3230" t="s">
        <v>4074</v>
      </c>
      <c r="X19" s="3225" t="s">
        <v>4075</v>
      </c>
      <c r="Y19" s="3225">
        <v>5</v>
      </c>
      <c r="Z19" s="3289">
        <f>ROUND(AD19*O19*12/10000,2)</f>
        <v>69.92</v>
      </c>
      <c r="AA19" s="3228"/>
      <c r="AB19" s="3228">
        <v>36.6</v>
      </c>
      <c r="AC19" s="3228"/>
      <c r="AD19" s="3228">
        <v>36.6</v>
      </c>
      <c r="AE19" s="3228"/>
      <c r="AF19" s="3231">
        <v>38.43</v>
      </c>
      <c r="AG19" s="3228"/>
      <c r="AH19" s="3231">
        <v>40.35</v>
      </c>
      <c r="AI19" s="3228"/>
      <c r="AJ19" s="3231">
        <v>42.36</v>
      </c>
      <c r="AK19" s="3223">
        <v>42736</v>
      </c>
      <c r="AL19" s="3223">
        <v>43008</v>
      </c>
      <c r="AM19" s="3232" t="s">
        <v>4000</v>
      </c>
      <c r="AN19" s="3233"/>
      <c r="AO19" s="3228"/>
      <c r="AP19" s="3228"/>
      <c r="AQ19" s="3228"/>
      <c r="AR19" s="3223"/>
      <c r="AS19" s="3223"/>
      <c r="AT19" s="3234"/>
      <c r="AU19" s="3193">
        <v>466137.60000000003</v>
      </c>
      <c r="AV19" s="3193">
        <v>0</v>
      </c>
    </row>
    <row r="20" spans="1:137" s="3168" customFormat="1" ht="30" customHeight="1">
      <c r="A20" s="3194">
        <v>15</v>
      </c>
      <c r="B20" s="3235">
        <v>42277</v>
      </c>
      <c r="C20" s="3221">
        <v>42277</v>
      </c>
      <c r="D20" s="3181" t="s">
        <v>4076</v>
      </c>
      <c r="E20" s="3236" t="s">
        <v>4077</v>
      </c>
      <c r="F20" s="3237">
        <v>500064</v>
      </c>
      <c r="G20" s="3198" t="s">
        <v>4078</v>
      </c>
      <c r="H20" s="3194" t="s">
        <v>3993</v>
      </c>
      <c r="I20" s="3197" t="s">
        <v>4079</v>
      </c>
      <c r="J20" s="3198" t="s">
        <v>4080</v>
      </c>
      <c r="K20" s="3197" t="s">
        <v>4081</v>
      </c>
      <c r="L20" s="3236" t="s">
        <v>3996</v>
      </c>
      <c r="M20" s="3236" t="s">
        <v>4065</v>
      </c>
      <c r="N20" s="3197" t="s">
        <v>4082</v>
      </c>
      <c r="O20" s="3238">
        <v>45</v>
      </c>
      <c r="P20" s="3201">
        <v>2500</v>
      </c>
      <c r="Q20" s="3221">
        <v>42289</v>
      </c>
      <c r="R20" s="3201">
        <v>2500</v>
      </c>
      <c r="S20" s="3221"/>
      <c r="T20" s="3221">
        <v>42736</v>
      </c>
      <c r="U20" s="3221">
        <v>42237</v>
      </c>
      <c r="V20" s="3239">
        <v>43465</v>
      </c>
      <c r="W20" s="3236" t="s">
        <v>4083</v>
      </c>
      <c r="X20" s="3194"/>
      <c r="Y20" s="3194"/>
      <c r="Z20" s="3289">
        <f>ROUND(AD20*O20*12/10000,2)</f>
        <v>6.12</v>
      </c>
      <c r="AA20" s="3201"/>
      <c r="AB20" s="3201">
        <v>101.2</v>
      </c>
      <c r="AC20" s="3201"/>
      <c r="AD20" s="3201">
        <v>113.34</v>
      </c>
      <c r="AE20" s="3201"/>
      <c r="AF20" s="3201"/>
      <c r="AG20" s="3201"/>
      <c r="AH20" s="3201"/>
      <c r="AI20" s="3201"/>
      <c r="AJ20" s="3201"/>
      <c r="AK20" s="3235">
        <v>42237</v>
      </c>
      <c r="AL20" s="3220">
        <v>43008</v>
      </c>
      <c r="AM20" s="3240" t="s">
        <v>4000</v>
      </c>
      <c r="AN20" s="3194"/>
      <c r="AO20" s="3201"/>
      <c r="AP20" s="3201"/>
      <c r="AQ20" s="3241">
        <v>30</v>
      </c>
      <c r="AR20" s="3235">
        <v>42237</v>
      </c>
      <c r="AS20" s="3195">
        <v>42916</v>
      </c>
      <c r="AT20" s="3242" t="s">
        <v>4000</v>
      </c>
      <c r="AU20" s="3193">
        <v>45902.700000000004</v>
      </c>
      <c r="AV20" s="3193">
        <v>12150</v>
      </c>
    </row>
    <row r="21" spans="1:137" s="3168" customFormat="1" ht="30" customHeight="1">
      <c r="A21" s="3194">
        <v>16</v>
      </c>
      <c r="B21" s="3195">
        <v>42216</v>
      </c>
      <c r="C21" s="3196">
        <v>42221</v>
      </c>
      <c r="D21" s="3181" t="s">
        <v>4084</v>
      </c>
      <c r="E21" s="3197" t="s">
        <v>4085</v>
      </c>
      <c r="F21" s="3198">
        <v>500407</v>
      </c>
      <c r="G21" s="3198" t="s">
        <v>4086</v>
      </c>
      <c r="H21" s="3181" t="s">
        <v>3993</v>
      </c>
      <c r="I21" s="3197" t="s">
        <v>4087</v>
      </c>
      <c r="J21" s="3198" t="s">
        <v>4086</v>
      </c>
      <c r="K21" s="3197" t="s">
        <v>4088</v>
      </c>
      <c r="L21" s="3197" t="s">
        <v>3996</v>
      </c>
      <c r="M21" s="3197" t="s">
        <v>4065</v>
      </c>
      <c r="N21" s="3197" t="s">
        <v>4089</v>
      </c>
      <c r="O21" s="3199">
        <v>19</v>
      </c>
      <c r="P21" s="3200">
        <v>1155</v>
      </c>
      <c r="Q21" s="3196">
        <v>41799</v>
      </c>
      <c r="R21" s="3200">
        <v>1155</v>
      </c>
      <c r="S21" s="3196"/>
      <c r="T21" s="3196">
        <v>42736</v>
      </c>
      <c r="U21" s="3196">
        <v>42217</v>
      </c>
      <c r="V21" s="3219">
        <v>43100</v>
      </c>
      <c r="W21" s="3197" t="s">
        <v>4090</v>
      </c>
      <c r="X21" s="3181"/>
      <c r="Y21" s="3181"/>
      <c r="Z21" s="3289">
        <f>ROUND(AD21*O21*12/10000,2)</f>
        <v>2.16</v>
      </c>
      <c r="AA21" s="3201"/>
      <c r="AB21" s="3200">
        <v>84.7</v>
      </c>
      <c r="AC21" s="3200"/>
      <c r="AD21" s="3200">
        <v>94.86</v>
      </c>
      <c r="AE21" s="3200"/>
      <c r="AF21" s="3201"/>
      <c r="AG21" s="3200"/>
      <c r="AH21" s="3201"/>
      <c r="AI21" s="3200"/>
      <c r="AJ21" s="3201"/>
      <c r="AK21" s="3195">
        <v>42217</v>
      </c>
      <c r="AL21" s="3220">
        <v>43008</v>
      </c>
      <c r="AM21" s="3202" t="s">
        <v>4000</v>
      </c>
      <c r="AN21" s="3194"/>
      <c r="AO21" s="3200"/>
      <c r="AP21" s="3200"/>
      <c r="AQ21" s="3200">
        <v>30</v>
      </c>
      <c r="AR21" s="3195">
        <v>42217</v>
      </c>
      <c r="AS21" s="3195">
        <v>42916</v>
      </c>
      <c r="AT21" s="3203" t="s">
        <v>4000</v>
      </c>
      <c r="AU21" s="3193">
        <v>16221.06</v>
      </c>
      <c r="AV21" s="3193">
        <v>5130</v>
      </c>
    </row>
    <row r="22" spans="1:137" s="3168" customFormat="1" ht="30" customHeight="1">
      <c r="A22" s="3194">
        <v>17</v>
      </c>
      <c r="B22" s="3195">
        <v>42369</v>
      </c>
      <c r="C22" s="3196">
        <v>42373</v>
      </c>
      <c r="D22" s="3181" t="s">
        <v>4091</v>
      </c>
      <c r="E22" s="3197" t="s">
        <v>4092</v>
      </c>
      <c r="F22" s="3198">
        <v>500076</v>
      </c>
      <c r="G22" s="3198" t="s">
        <v>4093</v>
      </c>
      <c r="H22" s="3181" t="s">
        <v>3993</v>
      </c>
      <c r="I22" s="3197" t="s">
        <v>4094</v>
      </c>
      <c r="J22" s="3198" t="s">
        <v>4095</v>
      </c>
      <c r="K22" s="3197" t="s">
        <v>4096</v>
      </c>
      <c r="L22" s="3197" t="s">
        <v>3996</v>
      </c>
      <c r="M22" s="3197" t="s">
        <v>4065</v>
      </c>
      <c r="N22" s="3197" t="s">
        <v>4097</v>
      </c>
      <c r="O22" s="3199">
        <v>34</v>
      </c>
      <c r="P22" s="3200">
        <v>4197</v>
      </c>
      <c r="Q22" s="3196">
        <v>41535</v>
      </c>
      <c r="R22" s="3200">
        <v>4197</v>
      </c>
      <c r="S22" s="3196"/>
      <c r="T22" s="3196">
        <v>42736</v>
      </c>
      <c r="U22" s="3196">
        <v>42370</v>
      </c>
      <c r="V22" s="3219">
        <v>43465</v>
      </c>
      <c r="W22" s="3197" t="s">
        <v>4098</v>
      </c>
      <c r="X22" s="3181"/>
      <c r="Y22" s="3181"/>
      <c r="Z22" s="3289">
        <f>ROUND(AD22*O22*12/10000,2)</f>
        <v>4.59</v>
      </c>
      <c r="AA22" s="3201"/>
      <c r="AB22" s="3200">
        <v>100.4</v>
      </c>
      <c r="AC22" s="3200"/>
      <c r="AD22" s="3200">
        <v>112.45</v>
      </c>
      <c r="AE22" s="3200"/>
      <c r="AF22" s="3201"/>
      <c r="AG22" s="3200"/>
      <c r="AH22" s="3201"/>
      <c r="AI22" s="3200"/>
      <c r="AJ22" s="3201"/>
      <c r="AK22" s="3195">
        <v>42370</v>
      </c>
      <c r="AL22" s="3220">
        <v>43008</v>
      </c>
      <c r="AM22" s="3202" t="s">
        <v>4000</v>
      </c>
      <c r="AN22" s="3194"/>
      <c r="AO22" s="3200"/>
      <c r="AP22" s="3200"/>
      <c r="AQ22" s="3200">
        <v>30</v>
      </c>
      <c r="AR22" s="3195">
        <v>42370</v>
      </c>
      <c r="AS22" s="3195">
        <v>42916</v>
      </c>
      <c r="AT22" s="3203" t="s">
        <v>4000</v>
      </c>
      <c r="AU22" s="3193">
        <v>34409.699999999997</v>
      </c>
      <c r="AV22" s="3193">
        <v>9240</v>
      </c>
    </row>
    <row r="23" spans="1:137" s="3168" customFormat="1" ht="30" customHeight="1">
      <c r="A23" s="3194">
        <v>18</v>
      </c>
      <c r="B23" s="3195">
        <v>42241</v>
      </c>
      <c r="C23" s="3196">
        <v>42241</v>
      </c>
      <c r="D23" s="3181" t="s">
        <v>4099</v>
      </c>
      <c r="E23" s="3197" t="s">
        <v>4100</v>
      </c>
      <c r="F23" s="3198">
        <v>500525</v>
      </c>
      <c r="G23" s="3198" t="s">
        <v>4101</v>
      </c>
      <c r="H23" s="3181" t="s">
        <v>3993</v>
      </c>
      <c r="I23" s="3197" t="s">
        <v>4099</v>
      </c>
      <c r="J23" s="3198" t="s">
        <v>4101</v>
      </c>
      <c r="K23" s="3197" t="s">
        <v>4102</v>
      </c>
      <c r="L23" s="3197" t="s">
        <v>3996</v>
      </c>
      <c r="M23" s="3197" t="s">
        <v>4065</v>
      </c>
      <c r="N23" s="3197" t="s">
        <v>4103</v>
      </c>
      <c r="O23" s="3199">
        <v>24</v>
      </c>
      <c r="P23" s="3200">
        <v>2040</v>
      </c>
      <c r="Q23" s="3196">
        <v>42220</v>
      </c>
      <c r="R23" s="3200">
        <v>2040</v>
      </c>
      <c r="S23" s="3196">
        <v>42231</v>
      </c>
      <c r="T23" s="3196">
        <v>42972</v>
      </c>
      <c r="U23" s="3196">
        <v>42241</v>
      </c>
      <c r="V23" s="3196">
        <v>43465</v>
      </c>
      <c r="W23" s="3197" t="s">
        <v>4098</v>
      </c>
      <c r="X23" s="3181"/>
      <c r="Y23" s="3181"/>
      <c r="Z23" s="3289">
        <f>ROUND(AE23*O23*12/10000,2)</f>
        <v>3.5</v>
      </c>
      <c r="AA23" s="3201"/>
      <c r="AB23" s="3200">
        <v>85</v>
      </c>
      <c r="AC23" s="3200"/>
      <c r="AD23" s="3200">
        <v>91.3</v>
      </c>
      <c r="AE23" s="3200">
        <v>121.67</v>
      </c>
      <c r="AF23" s="3201"/>
      <c r="AG23" s="3200"/>
      <c r="AH23" s="3201"/>
      <c r="AI23" s="3200"/>
      <c r="AJ23" s="3201"/>
      <c r="AK23" s="3195">
        <v>42241</v>
      </c>
      <c r="AL23" s="3195">
        <v>43039</v>
      </c>
      <c r="AM23" s="3202" t="s">
        <v>4000</v>
      </c>
      <c r="AN23" s="3194">
        <v>720</v>
      </c>
      <c r="AO23" s="3200">
        <v>240</v>
      </c>
      <c r="AP23" s="3200"/>
      <c r="AQ23" s="3200">
        <v>30</v>
      </c>
      <c r="AR23" s="3195">
        <v>42241</v>
      </c>
      <c r="AS23" s="3195">
        <v>43039</v>
      </c>
      <c r="AT23" s="3203" t="s">
        <v>4000</v>
      </c>
      <c r="AU23" s="3193">
        <v>23534.340000000004</v>
      </c>
      <c r="AV23" s="3193">
        <v>8010.29</v>
      </c>
    </row>
    <row r="24" spans="1:137" s="3168" customFormat="1" ht="30" customHeight="1">
      <c r="A24" s="3194">
        <v>19</v>
      </c>
      <c r="B24" s="3195">
        <v>42268</v>
      </c>
      <c r="C24" s="3196">
        <v>42268</v>
      </c>
      <c r="D24" s="3181" t="s">
        <v>4091</v>
      </c>
      <c r="E24" s="3236" t="s">
        <v>4104</v>
      </c>
      <c r="F24" s="3237">
        <v>500225</v>
      </c>
      <c r="G24" s="3198" t="s">
        <v>4105</v>
      </c>
      <c r="H24" s="3194" t="s">
        <v>3993</v>
      </c>
      <c r="I24" s="3197" t="s">
        <v>4106</v>
      </c>
      <c r="J24" s="3198" t="s">
        <v>4105</v>
      </c>
      <c r="K24" s="3197" t="s">
        <v>4107</v>
      </c>
      <c r="L24" s="3236" t="s">
        <v>3996</v>
      </c>
      <c r="M24" s="3236" t="s">
        <v>4065</v>
      </c>
      <c r="N24" s="3197" t="s">
        <v>4108</v>
      </c>
      <c r="O24" s="3237">
        <v>26</v>
      </c>
      <c r="P24" s="3241">
        <v>4600</v>
      </c>
      <c r="Q24" s="3221">
        <v>41696</v>
      </c>
      <c r="R24" s="3241">
        <v>4600</v>
      </c>
      <c r="S24" s="3196"/>
      <c r="T24" s="3196">
        <v>42736</v>
      </c>
      <c r="U24" s="3196">
        <v>42237</v>
      </c>
      <c r="V24" s="3219">
        <v>43465</v>
      </c>
      <c r="W24" s="3197" t="s">
        <v>4083</v>
      </c>
      <c r="X24" s="3181"/>
      <c r="Y24" s="3181"/>
      <c r="Z24" s="3289">
        <f>ROUND(AD24*O24*12/10000,2)</f>
        <v>3.54</v>
      </c>
      <c r="AA24" s="3201"/>
      <c r="AB24" s="3200">
        <v>101.2</v>
      </c>
      <c r="AC24" s="3200"/>
      <c r="AD24" s="3200">
        <v>113.34</v>
      </c>
      <c r="AE24" s="3200"/>
      <c r="AF24" s="3194"/>
      <c r="AG24" s="3200"/>
      <c r="AH24" s="3194"/>
      <c r="AI24" s="3200"/>
      <c r="AJ24" s="3194"/>
      <c r="AK24" s="3195">
        <v>42237</v>
      </c>
      <c r="AL24" s="3220">
        <v>43008</v>
      </c>
      <c r="AM24" s="3202" t="s">
        <v>4000</v>
      </c>
      <c r="AN24" s="3201"/>
      <c r="AO24" s="3200"/>
      <c r="AP24" s="3200"/>
      <c r="AQ24" s="3200">
        <v>30</v>
      </c>
      <c r="AR24" s="3195">
        <v>42237</v>
      </c>
      <c r="AS24" s="3195">
        <v>42916</v>
      </c>
      <c r="AT24" s="3203" t="s">
        <v>4000</v>
      </c>
      <c r="AU24" s="3193">
        <v>26521.56</v>
      </c>
      <c r="AV24" s="3193">
        <v>7020</v>
      </c>
    </row>
    <row r="25" spans="1:137" s="3168" customFormat="1" ht="30" customHeight="1">
      <c r="A25" s="3194">
        <v>20</v>
      </c>
      <c r="B25" s="3195">
        <v>42369</v>
      </c>
      <c r="C25" s="3196">
        <v>42376</v>
      </c>
      <c r="D25" s="3181" t="s">
        <v>4038</v>
      </c>
      <c r="E25" s="3236" t="s">
        <v>4109</v>
      </c>
      <c r="F25" s="3237">
        <v>500569</v>
      </c>
      <c r="G25" s="3198" t="s">
        <v>4110</v>
      </c>
      <c r="H25" s="3194" t="s">
        <v>3993</v>
      </c>
      <c r="I25" s="3197" t="s">
        <v>4111</v>
      </c>
      <c r="J25" s="3198" t="s">
        <v>4110</v>
      </c>
      <c r="K25" s="3197" t="s">
        <v>4112</v>
      </c>
      <c r="L25" s="3236" t="s">
        <v>3996</v>
      </c>
      <c r="M25" s="3236" t="s">
        <v>4065</v>
      </c>
      <c r="N25" s="3197" t="s">
        <v>4113</v>
      </c>
      <c r="O25" s="3237">
        <v>29</v>
      </c>
      <c r="P25" s="3241">
        <v>2668</v>
      </c>
      <c r="Q25" s="3221">
        <v>42376</v>
      </c>
      <c r="R25" s="3241">
        <v>2668</v>
      </c>
      <c r="S25" s="3196">
        <v>42370</v>
      </c>
      <c r="T25" s="3196">
        <v>42736</v>
      </c>
      <c r="U25" s="3196">
        <v>42370</v>
      </c>
      <c r="V25" s="3219">
        <v>43100</v>
      </c>
      <c r="W25" s="3197" t="s">
        <v>4098</v>
      </c>
      <c r="X25" s="3181"/>
      <c r="Y25" s="3181"/>
      <c r="Z25" s="3289">
        <f>ROUND(AD25*O25*12/10000,2)</f>
        <v>3.59</v>
      </c>
      <c r="AA25" s="3201"/>
      <c r="AB25" s="3200">
        <v>92</v>
      </c>
      <c r="AC25" s="3200"/>
      <c r="AD25" s="3200">
        <v>103.04</v>
      </c>
      <c r="AE25" s="3200"/>
      <c r="AF25" s="3194"/>
      <c r="AG25" s="3200"/>
      <c r="AH25" s="3194"/>
      <c r="AI25" s="3200"/>
      <c r="AJ25" s="3194"/>
      <c r="AK25" s="3195">
        <v>42370</v>
      </c>
      <c r="AL25" s="3220">
        <v>43008</v>
      </c>
      <c r="AM25" s="3202" t="s">
        <v>4000</v>
      </c>
      <c r="AN25" s="3201">
        <v>870</v>
      </c>
      <c r="AO25" s="3200"/>
      <c r="AP25" s="3200"/>
      <c r="AQ25" s="3200">
        <v>30</v>
      </c>
      <c r="AR25" s="3195">
        <v>42370</v>
      </c>
      <c r="AS25" s="3195">
        <v>42916</v>
      </c>
      <c r="AT25" s="3203" t="s">
        <v>4000</v>
      </c>
      <c r="AU25" s="3193">
        <v>26893.439999999999</v>
      </c>
      <c r="AV25" s="3193">
        <v>7830</v>
      </c>
    </row>
    <row r="26" spans="1:137" s="3168" customFormat="1" ht="30.75" customHeight="1">
      <c r="A26" s="3190">
        <v>21</v>
      </c>
      <c r="B26" s="3195">
        <v>42086</v>
      </c>
      <c r="C26" s="3196">
        <v>42086</v>
      </c>
      <c r="D26" s="3181" t="s">
        <v>4114</v>
      </c>
      <c r="E26" s="3236" t="s">
        <v>4104</v>
      </c>
      <c r="F26" s="3237">
        <v>500260</v>
      </c>
      <c r="G26" s="3198" t="s">
        <v>4115</v>
      </c>
      <c r="H26" s="3194" t="s">
        <v>3993</v>
      </c>
      <c r="I26" s="3197" t="s">
        <v>4116</v>
      </c>
      <c r="J26" s="3198" t="s">
        <v>4115</v>
      </c>
      <c r="K26" s="3197" t="s">
        <v>4117</v>
      </c>
      <c r="L26" s="3236" t="s">
        <v>3996</v>
      </c>
      <c r="M26" s="3236" t="s">
        <v>4065</v>
      </c>
      <c r="N26" s="3197" t="s">
        <v>4118</v>
      </c>
      <c r="O26" s="3237">
        <v>29</v>
      </c>
      <c r="P26" s="3241">
        <v>1588</v>
      </c>
      <c r="Q26" s="3221">
        <v>41709</v>
      </c>
      <c r="R26" s="3241">
        <v>1588</v>
      </c>
      <c r="S26" s="3196">
        <v>41718</v>
      </c>
      <c r="T26" s="3196">
        <v>42736</v>
      </c>
      <c r="U26" s="3196">
        <v>42125</v>
      </c>
      <c r="V26" s="3196">
        <v>43465</v>
      </c>
      <c r="W26" s="3197" t="s">
        <v>4119</v>
      </c>
      <c r="X26" s="3181"/>
      <c r="Y26" s="3181"/>
      <c r="Z26" s="3289">
        <f>ROUND(AE26*O26*12/10000,2)</f>
        <v>3.7</v>
      </c>
      <c r="AA26" s="3201">
        <v>1.8</v>
      </c>
      <c r="AB26" s="3200">
        <v>60.23</v>
      </c>
      <c r="AC26" s="3200"/>
      <c r="AD26" s="3200">
        <v>67.459999999999994</v>
      </c>
      <c r="AE26" s="3200">
        <v>106.46</v>
      </c>
      <c r="AF26" s="3194"/>
      <c r="AG26" s="3200"/>
      <c r="AH26" s="3194"/>
      <c r="AI26" s="3200"/>
      <c r="AJ26" s="3194"/>
      <c r="AK26" s="3195">
        <v>42125</v>
      </c>
      <c r="AL26" s="3195">
        <v>43008</v>
      </c>
      <c r="AM26" s="3202" t="s">
        <v>4000</v>
      </c>
      <c r="AN26" s="3201"/>
      <c r="AO26" s="3200"/>
      <c r="AP26" s="3200"/>
      <c r="AQ26" s="3200">
        <v>30</v>
      </c>
      <c r="AR26" s="3195">
        <v>42125</v>
      </c>
      <c r="AS26" s="3195">
        <v>43008</v>
      </c>
      <c r="AT26" s="3203" t="s">
        <v>4000</v>
      </c>
      <c r="AU26" s="3193">
        <v>17607.059999999998</v>
      </c>
      <c r="AV26" s="3193">
        <v>7830</v>
      </c>
    </row>
    <row r="27" spans="1:137" s="3168" customFormat="1" ht="30" customHeight="1">
      <c r="A27" s="3181">
        <v>22</v>
      </c>
      <c r="B27" s="3182">
        <v>42830</v>
      </c>
      <c r="C27" s="3182">
        <v>42830</v>
      </c>
      <c r="D27" s="3186" t="s">
        <v>4114</v>
      </c>
      <c r="E27" s="3184" t="s">
        <v>3991</v>
      </c>
      <c r="F27" s="3185">
        <v>500660</v>
      </c>
      <c r="G27" s="3186" t="s">
        <v>4120</v>
      </c>
      <c r="H27" s="3183" t="s">
        <v>3993</v>
      </c>
      <c r="I27" s="3186" t="s">
        <v>4121</v>
      </c>
      <c r="J27" s="3186" t="s">
        <v>4120</v>
      </c>
      <c r="K27" s="3184" t="s">
        <v>4122</v>
      </c>
      <c r="L27" s="3184" t="s">
        <v>3996</v>
      </c>
      <c r="M27" s="3184" t="s">
        <v>4065</v>
      </c>
      <c r="N27" s="3184" t="s">
        <v>4123</v>
      </c>
      <c r="O27" s="3187">
        <v>29</v>
      </c>
      <c r="P27" s="3188">
        <v>4002</v>
      </c>
      <c r="Q27" s="3189">
        <v>42831</v>
      </c>
      <c r="R27" s="3188">
        <v>4002</v>
      </c>
      <c r="S27" s="3189">
        <v>42850</v>
      </c>
      <c r="T27" s="3189">
        <v>42880</v>
      </c>
      <c r="U27" s="3189">
        <v>42850</v>
      </c>
      <c r="V27" s="3189">
        <v>43465</v>
      </c>
      <c r="W27" s="3184" t="s">
        <v>3999</v>
      </c>
      <c r="X27" s="3183"/>
      <c r="Y27" s="3183"/>
      <c r="Z27" s="3289">
        <f t="shared" si="0"/>
        <v>4.8</v>
      </c>
      <c r="AA27" s="3186"/>
      <c r="AB27" s="3188">
        <v>138</v>
      </c>
      <c r="AC27" s="3200"/>
      <c r="AD27" s="3188">
        <v>167.29</v>
      </c>
      <c r="AE27" s="3188"/>
      <c r="AF27" s="3190"/>
      <c r="AG27" s="3188"/>
      <c r="AH27" s="3190"/>
      <c r="AI27" s="3188"/>
      <c r="AJ27" s="3190"/>
      <c r="AK27" s="3182">
        <v>42880</v>
      </c>
      <c r="AL27" s="3182">
        <v>43039</v>
      </c>
      <c r="AM27" s="3191" t="s">
        <v>4000</v>
      </c>
      <c r="AN27" s="3190">
        <v>1323.13</v>
      </c>
      <c r="AO27" s="3188">
        <v>1305</v>
      </c>
      <c r="AP27" s="3188">
        <v>1.5</v>
      </c>
      <c r="AQ27" s="3188">
        <v>45</v>
      </c>
      <c r="AR27" s="3182">
        <v>42880</v>
      </c>
      <c r="AS27" s="3182">
        <v>43039</v>
      </c>
      <c r="AT27" s="3203" t="s">
        <v>4000</v>
      </c>
      <c r="AU27" s="3193">
        <v>20913.68</v>
      </c>
      <c r="AV27" s="3193">
        <v>8261.73</v>
      </c>
    </row>
    <row r="28" spans="1:137" s="3168" customFormat="1" ht="30" customHeight="1">
      <c r="A28" s="3194">
        <v>23</v>
      </c>
      <c r="B28" s="3195">
        <v>42090</v>
      </c>
      <c r="C28" s="3196">
        <v>42090</v>
      </c>
      <c r="D28" s="3181" t="s">
        <v>4124</v>
      </c>
      <c r="E28" s="3197" t="s">
        <v>4104</v>
      </c>
      <c r="F28" s="3198">
        <v>500040</v>
      </c>
      <c r="G28" s="3198" t="s">
        <v>4125</v>
      </c>
      <c r="H28" s="3181" t="s">
        <v>3993</v>
      </c>
      <c r="I28" s="3197" t="s">
        <v>4126</v>
      </c>
      <c r="J28" s="3198" t="s">
        <v>4125</v>
      </c>
      <c r="K28" s="3197" t="s">
        <v>4127</v>
      </c>
      <c r="L28" s="3197" t="s">
        <v>3996</v>
      </c>
      <c r="M28" s="3197" t="s">
        <v>4065</v>
      </c>
      <c r="N28" s="3197" t="s">
        <v>4128</v>
      </c>
      <c r="O28" s="3199">
        <v>145</v>
      </c>
      <c r="P28" s="3200">
        <v>3000</v>
      </c>
      <c r="Q28" s="3196">
        <v>41500</v>
      </c>
      <c r="R28" s="3200">
        <v>3000</v>
      </c>
      <c r="S28" s="3196"/>
      <c r="T28" s="3196">
        <v>42736</v>
      </c>
      <c r="U28" s="3196">
        <v>42125</v>
      </c>
      <c r="V28" s="3219">
        <v>43100</v>
      </c>
      <c r="W28" s="3197" t="s">
        <v>4119</v>
      </c>
      <c r="X28" s="3181"/>
      <c r="Y28" s="3181"/>
      <c r="Z28" s="3289">
        <f>ROUND(AD28*O28*12/10000,2)</f>
        <v>13.04</v>
      </c>
      <c r="AA28" s="3201"/>
      <c r="AB28" s="3200">
        <v>66.92</v>
      </c>
      <c r="AC28" s="3200"/>
      <c r="AD28" s="3200">
        <v>74.95</v>
      </c>
      <c r="AE28" s="3200"/>
      <c r="AF28" s="3194"/>
      <c r="AG28" s="3200"/>
      <c r="AH28" s="3194"/>
      <c r="AI28" s="3200"/>
      <c r="AJ28" s="3194"/>
      <c r="AK28" s="3195">
        <v>42125</v>
      </c>
      <c r="AL28" s="3220">
        <v>43008</v>
      </c>
      <c r="AM28" s="3202" t="s">
        <v>4000</v>
      </c>
      <c r="AN28" s="3194"/>
      <c r="AO28" s="3200"/>
      <c r="AP28" s="3200"/>
      <c r="AQ28" s="3200">
        <v>30</v>
      </c>
      <c r="AR28" s="3195">
        <v>42125</v>
      </c>
      <c r="AS28" s="3195">
        <v>42916</v>
      </c>
      <c r="AT28" s="3203" t="s">
        <v>4000</v>
      </c>
      <c r="AU28" s="3193">
        <v>55987.649999999994</v>
      </c>
      <c r="AV28" s="3193">
        <v>22410</v>
      </c>
    </row>
    <row r="29" spans="1:137" s="3243" customFormat="1" ht="30" customHeight="1">
      <c r="A29" s="3194">
        <v>24</v>
      </c>
      <c r="B29" s="3195">
        <v>42107</v>
      </c>
      <c r="C29" s="3196">
        <v>42107</v>
      </c>
      <c r="D29" s="3181" t="s">
        <v>4129</v>
      </c>
      <c r="E29" s="3197" t="s">
        <v>4130</v>
      </c>
      <c r="F29" s="3198">
        <v>500071</v>
      </c>
      <c r="G29" s="3198" t="s">
        <v>4131</v>
      </c>
      <c r="H29" s="3181" t="s">
        <v>4019</v>
      </c>
      <c r="I29" s="3197" t="s">
        <v>4132</v>
      </c>
      <c r="J29" s="3198" t="s">
        <v>4131</v>
      </c>
      <c r="K29" s="3197" t="s">
        <v>4133</v>
      </c>
      <c r="L29" s="3197" t="s">
        <v>4011</v>
      </c>
      <c r="M29" s="3197" t="s">
        <v>4134</v>
      </c>
      <c r="N29" s="3197" t="s">
        <v>4135</v>
      </c>
      <c r="O29" s="3199">
        <v>42</v>
      </c>
      <c r="P29" s="3200">
        <v>4927</v>
      </c>
      <c r="Q29" s="3196">
        <v>41526</v>
      </c>
      <c r="R29" s="3200">
        <v>4927</v>
      </c>
      <c r="S29" s="3196"/>
      <c r="T29" s="3196">
        <v>42736</v>
      </c>
      <c r="U29" s="3196">
        <v>42125</v>
      </c>
      <c r="V29" s="3219">
        <v>43100</v>
      </c>
      <c r="W29" s="3197" t="s">
        <v>4136</v>
      </c>
      <c r="X29" s="3181"/>
      <c r="Y29" s="3181"/>
      <c r="Z29" s="3289">
        <f>ROUND(AD29*O29*12/10000,2)</f>
        <v>3.78</v>
      </c>
      <c r="AA29" s="3201"/>
      <c r="AB29" s="3200">
        <v>66.92</v>
      </c>
      <c r="AC29" s="3200"/>
      <c r="AD29" s="3200">
        <v>74.95</v>
      </c>
      <c r="AE29" s="3200"/>
      <c r="AF29" s="3194"/>
      <c r="AG29" s="3200"/>
      <c r="AH29" s="3194"/>
      <c r="AI29" s="3200"/>
      <c r="AJ29" s="3194"/>
      <c r="AK29" s="3195">
        <v>42125</v>
      </c>
      <c r="AL29" s="3220">
        <v>43008</v>
      </c>
      <c r="AM29" s="3202" t="s">
        <v>4015</v>
      </c>
      <c r="AN29" s="3194"/>
      <c r="AO29" s="3200"/>
      <c r="AP29" s="3200"/>
      <c r="AQ29" s="3200">
        <v>30</v>
      </c>
      <c r="AR29" s="3195">
        <v>42125</v>
      </c>
      <c r="AS29" s="3195">
        <v>42916</v>
      </c>
      <c r="AT29" s="3203" t="s">
        <v>4015</v>
      </c>
      <c r="AU29" s="3193">
        <v>28331.100000000006</v>
      </c>
      <c r="AV29" s="3193">
        <v>11340</v>
      </c>
      <c r="AW29" s="3168"/>
      <c r="AX29" s="3168"/>
      <c r="AY29" s="3168"/>
      <c r="AZ29" s="3168"/>
      <c r="BA29" s="3168"/>
      <c r="BB29" s="3168"/>
      <c r="BC29" s="3168"/>
      <c r="BD29" s="3168"/>
      <c r="BE29" s="3168"/>
      <c r="BF29" s="3168"/>
      <c r="BG29" s="3168"/>
      <c r="BH29" s="3168"/>
      <c r="BI29" s="3168"/>
      <c r="BJ29" s="3168"/>
      <c r="BK29" s="3168"/>
      <c r="BL29" s="3168"/>
      <c r="BM29" s="3168"/>
      <c r="BN29" s="3168"/>
      <c r="BO29" s="3168"/>
      <c r="BP29" s="3168"/>
      <c r="BQ29" s="3168"/>
      <c r="BR29" s="3168"/>
      <c r="BS29" s="3168"/>
      <c r="BT29" s="3168"/>
      <c r="BU29" s="3168"/>
      <c r="BV29" s="3168"/>
      <c r="BW29" s="3168"/>
      <c r="BX29" s="3168"/>
      <c r="BY29" s="3168"/>
      <c r="BZ29" s="3168"/>
      <c r="CA29" s="3168"/>
      <c r="CB29" s="3168"/>
      <c r="CC29" s="3168"/>
      <c r="CD29" s="3168"/>
      <c r="CE29" s="3168"/>
      <c r="CF29" s="3168"/>
      <c r="CG29" s="3168"/>
      <c r="CH29" s="3168"/>
      <c r="CI29" s="3168"/>
      <c r="CJ29" s="3168"/>
      <c r="CK29" s="3168"/>
      <c r="CL29" s="3168"/>
      <c r="CM29" s="3168"/>
      <c r="CN29" s="3168"/>
      <c r="CO29" s="3168"/>
      <c r="CP29" s="3168"/>
      <c r="CQ29" s="3168"/>
      <c r="CR29" s="3168"/>
      <c r="CS29" s="3168"/>
      <c r="CT29" s="3168"/>
      <c r="CU29" s="3168"/>
      <c r="CV29" s="3168"/>
      <c r="CW29" s="3168"/>
      <c r="CX29" s="3168"/>
      <c r="CY29" s="3168"/>
      <c r="CZ29" s="3168"/>
      <c r="DA29" s="3168"/>
      <c r="DB29" s="3168"/>
      <c r="DC29" s="3168"/>
      <c r="DD29" s="3168"/>
      <c r="DE29" s="3168"/>
      <c r="DF29" s="3168"/>
      <c r="DG29" s="3168"/>
      <c r="DH29" s="3168"/>
      <c r="DI29" s="3168"/>
      <c r="DJ29" s="3168"/>
      <c r="DK29" s="3168"/>
      <c r="DL29" s="3168"/>
      <c r="DM29" s="3168"/>
      <c r="DN29" s="3168"/>
      <c r="DO29" s="3168"/>
      <c r="DP29" s="3168"/>
      <c r="DQ29" s="3168"/>
      <c r="DR29" s="3168"/>
      <c r="DS29" s="3168"/>
      <c r="DT29" s="3168"/>
      <c r="DU29" s="3168"/>
      <c r="DV29" s="3168"/>
      <c r="DW29" s="3168"/>
      <c r="DX29" s="3168"/>
      <c r="DY29" s="3168"/>
      <c r="DZ29" s="3168"/>
      <c r="EA29" s="3168"/>
      <c r="EB29" s="3168"/>
      <c r="EC29" s="3168"/>
      <c r="ED29" s="3168"/>
      <c r="EE29" s="3168"/>
      <c r="EF29" s="3168"/>
      <c r="EG29" s="3168"/>
    </row>
    <row r="30" spans="1:137" s="3168" customFormat="1" ht="30" customHeight="1">
      <c r="A30" s="3181">
        <v>25</v>
      </c>
      <c r="B30" s="3195">
        <v>42515</v>
      </c>
      <c r="C30" s="3196">
        <v>42515</v>
      </c>
      <c r="D30" s="3181" t="s">
        <v>4016</v>
      </c>
      <c r="E30" s="3197" t="s">
        <v>4137</v>
      </c>
      <c r="F30" s="3198">
        <v>500592</v>
      </c>
      <c r="G30" s="3198" t="s">
        <v>4138</v>
      </c>
      <c r="H30" s="3181" t="s">
        <v>4019</v>
      </c>
      <c r="I30" s="3197" t="s">
        <v>4139</v>
      </c>
      <c r="J30" s="3198" t="s">
        <v>4138</v>
      </c>
      <c r="K30" s="3197" t="s">
        <v>4140</v>
      </c>
      <c r="L30" s="3197" t="s">
        <v>4011</v>
      </c>
      <c r="M30" s="3197" t="s">
        <v>4134</v>
      </c>
      <c r="N30" s="3197" t="s">
        <v>4141</v>
      </c>
      <c r="O30" s="3199">
        <v>30</v>
      </c>
      <c r="P30" s="3200">
        <v>2580</v>
      </c>
      <c r="Q30" s="3196">
        <v>42515</v>
      </c>
      <c r="R30" s="3200">
        <v>2580</v>
      </c>
      <c r="S30" s="3196">
        <v>42522</v>
      </c>
      <c r="T30" s="3196">
        <v>42917</v>
      </c>
      <c r="U30" s="3196">
        <v>42552</v>
      </c>
      <c r="V30" s="3196">
        <v>43281</v>
      </c>
      <c r="W30" s="3197" t="s">
        <v>4142</v>
      </c>
      <c r="X30" s="3181"/>
      <c r="Y30" s="3181"/>
      <c r="Z30" s="3289">
        <f t="shared" si="0"/>
        <v>3.1</v>
      </c>
      <c r="AA30" s="3201"/>
      <c r="AB30" s="3200">
        <v>86</v>
      </c>
      <c r="AC30" s="3200"/>
      <c r="AD30" s="3200"/>
      <c r="AE30" s="3200"/>
      <c r="AF30" s="3194"/>
      <c r="AG30" s="3200"/>
      <c r="AH30" s="3194"/>
      <c r="AI30" s="3200"/>
      <c r="AJ30" s="3194"/>
      <c r="AK30" s="3195">
        <v>42552</v>
      </c>
      <c r="AL30" s="3195">
        <v>43008</v>
      </c>
      <c r="AM30" s="3202" t="s">
        <v>4015</v>
      </c>
      <c r="AN30" s="3201">
        <v>900</v>
      </c>
      <c r="AO30" s="3200">
        <v>900</v>
      </c>
      <c r="AP30" s="3200"/>
      <c r="AQ30" s="3200">
        <v>45</v>
      </c>
      <c r="AR30" s="3195">
        <v>42552</v>
      </c>
      <c r="AS30" s="3195">
        <v>43008</v>
      </c>
      <c r="AT30" s="3203" t="s">
        <v>4015</v>
      </c>
      <c r="AU30" s="3193">
        <v>25061.399999999998</v>
      </c>
      <c r="AV30" s="3193">
        <v>9450</v>
      </c>
    </row>
    <row r="31" spans="1:137" s="3168" customFormat="1" ht="30" customHeight="1">
      <c r="A31" s="3181">
        <v>26</v>
      </c>
      <c r="B31" s="3195">
        <v>42515</v>
      </c>
      <c r="C31" s="3196">
        <v>42515</v>
      </c>
      <c r="D31" s="3181" t="s">
        <v>4143</v>
      </c>
      <c r="E31" s="3197" t="s">
        <v>4144</v>
      </c>
      <c r="F31" s="3198">
        <v>500590</v>
      </c>
      <c r="G31" s="3198" t="s">
        <v>4145</v>
      </c>
      <c r="H31" s="3181" t="s">
        <v>3993</v>
      </c>
      <c r="I31" s="3197" t="s">
        <v>4146</v>
      </c>
      <c r="J31" s="3198" t="s">
        <v>4147</v>
      </c>
      <c r="K31" s="3197" t="s">
        <v>4148</v>
      </c>
      <c r="L31" s="3197" t="s">
        <v>4149</v>
      </c>
      <c r="M31" s="3197" t="s">
        <v>4150</v>
      </c>
      <c r="N31" s="3197" t="s">
        <v>4151</v>
      </c>
      <c r="O31" s="3199">
        <v>75</v>
      </c>
      <c r="P31" s="3200">
        <v>5762</v>
      </c>
      <c r="Q31" s="3196">
        <v>42515</v>
      </c>
      <c r="R31" s="3200">
        <v>5762</v>
      </c>
      <c r="S31" s="3196">
        <v>42522</v>
      </c>
      <c r="T31" s="3196">
        <v>42917</v>
      </c>
      <c r="U31" s="3196">
        <v>42552</v>
      </c>
      <c r="V31" s="3196">
        <v>43281</v>
      </c>
      <c r="W31" s="3197" t="s">
        <v>4152</v>
      </c>
      <c r="X31" s="3181"/>
      <c r="Y31" s="3181"/>
      <c r="Z31" s="3289">
        <f>ROUND(AD31*O31*12/10000,2)</f>
        <v>8.49</v>
      </c>
      <c r="AA31" s="3201"/>
      <c r="AB31" s="3200">
        <v>86</v>
      </c>
      <c r="AC31" s="3200"/>
      <c r="AD31" s="3200">
        <v>94.3</v>
      </c>
      <c r="AE31" s="3200"/>
      <c r="AF31" s="3194"/>
      <c r="AG31" s="3200"/>
      <c r="AH31" s="3194"/>
      <c r="AI31" s="3200"/>
      <c r="AJ31" s="3194"/>
      <c r="AK31" s="3195">
        <v>42569</v>
      </c>
      <c r="AL31" s="3195">
        <v>43008</v>
      </c>
      <c r="AM31" s="3202" t="s">
        <v>4153</v>
      </c>
      <c r="AN31" s="3201">
        <v>2010</v>
      </c>
      <c r="AO31" s="3200">
        <v>2250</v>
      </c>
      <c r="AP31" s="3200"/>
      <c r="AQ31" s="3200">
        <v>30</v>
      </c>
      <c r="AR31" s="3195">
        <v>42569</v>
      </c>
      <c r="AS31" s="3195">
        <v>43008</v>
      </c>
      <c r="AT31" s="3203" t="s">
        <v>4153</v>
      </c>
      <c r="AU31" s="3193">
        <v>59917.5</v>
      </c>
      <c r="AV31" s="3193">
        <v>23625</v>
      </c>
    </row>
    <row r="32" spans="1:137" s="3168" customFormat="1" ht="30" customHeight="1">
      <c r="A32" s="3194">
        <v>27</v>
      </c>
      <c r="B32" s="3195">
        <v>42221</v>
      </c>
      <c r="C32" s="3196">
        <v>42221</v>
      </c>
      <c r="D32" s="3181" t="s">
        <v>4154</v>
      </c>
      <c r="E32" s="3197" t="s">
        <v>4155</v>
      </c>
      <c r="F32" s="3198">
        <v>500534</v>
      </c>
      <c r="G32" s="3198" t="s">
        <v>4156</v>
      </c>
      <c r="H32" s="3181" t="s">
        <v>4157</v>
      </c>
      <c r="I32" s="3197" t="s">
        <v>4158</v>
      </c>
      <c r="J32" s="3198" t="s">
        <v>4156</v>
      </c>
      <c r="K32" s="3197" t="s">
        <v>4159</v>
      </c>
      <c r="L32" s="3197" t="s">
        <v>4149</v>
      </c>
      <c r="M32" s="3197" t="s">
        <v>4150</v>
      </c>
      <c r="N32" s="3197" t="s">
        <v>4160</v>
      </c>
      <c r="O32" s="3199">
        <v>32.1</v>
      </c>
      <c r="P32" s="3200">
        <v>10284.799999999999</v>
      </c>
      <c r="Q32" s="3196">
        <v>42978</v>
      </c>
      <c r="R32" s="3200">
        <v>10284.799999999999</v>
      </c>
      <c r="S32" s="3196">
        <v>42222</v>
      </c>
      <c r="T32" s="3196">
        <v>42958</v>
      </c>
      <c r="U32" s="3196">
        <v>42227</v>
      </c>
      <c r="V32" s="3196">
        <v>43322</v>
      </c>
      <c r="W32" s="3197" t="s">
        <v>4161</v>
      </c>
      <c r="X32" s="3181"/>
      <c r="Y32" s="3181"/>
      <c r="Z32" s="3289">
        <f>ROUND(AF32*O32*12/10000,2)</f>
        <v>4.1100000000000003</v>
      </c>
      <c r="AA32" s="3201"/>
      <c r="AB32" s="3200">
        <v>83</v>
      </c>
      <c r="AC32" s="3200"/>
      <c r="AD32" s="3200">
        <v>91.3</v>
      </c>
      <c r="AE32" s="3200"/>
      <c r="AF32" s="3194">
        <v>106.8</v>
      </c>
      <c r="AG32" s="3200"/>
      <c r="AH32" s="3194"/>
      <c r="AI32" s="3200"/>
      <c r="AJ32" s="3194"/>
      <c r="AK32" s="3195">
        <v>42227</v>
      </c>
      <c r="AL32" s="3195">
        <v>43039</v>
      </c>
      <c r="AM32" s="3202" t="s">
        <v>4153</v>
      </c>
      <c r="AN32" s="3201">
        <v>4333.5</v>
      </c>
      <c r="AO32" s="3200">
        <v>175</v>
      </c>
      <c r="AP32" s="3200"/>
      <c r="AQ32" s="3200">
        <v>45</v>
      </c>
      <c r="AR32" s="3195">
        <v>42227</v>
      </c>
      <c r="AS32" s="3195">
        <v>43039</v>
      </c>
      <c r="AT32" s="3203" t="s">
        <v>4153</v>
      </c>
      <c r="AU32" s="3193">
        <v>30374.679999999997</v>
      </c>
      <c r="AV32" s="3193">
        <v>10658.18</v>
      </c>
    </row>
    <row r="33" spans="1:137" s="3204" customFormat="1" ht="30" customHeight="1">
      <c r="A33" s="3194">
        <v>28</v>
      </c>
      <c r="B33" s="3195">
        <v>42345</v>
      </c>
      <c r="C33" s="3195">
        <v>42366</v>
      </c>
      <c r="D33" s="3181" t="s">
        <v>4162</v>
      </c>
      <c r="E33" s="3197" t="s">
        <v>4163</v>
      </c>
      <c r="F33" s="3198">
        <v>500568</v>
      </c>
      <c r="G33" s="3198" t="s">
        <v>4164</v>
      </c>
      <c r="H33" s="3181" t="s">
        <v>4157</v>
      </c>
      <c r="I33" s="3197" t="s">
        <v>4165</v>
      </c>
      <c r="J33" s="3198" t="s">
        <v>4166</v>
      </c>
      <c r="K33" s="3197" t="s">
        <v>4167</v>
      </c>
      <c r="L33" s="3197" t="s">
        <v>4168</v>
      </c>
      <c r="M33" s="3197" t="s">
        <v>4169</v>
      </c>
      <c r="N33" s="3197" t="s">
        <v>4170</v>
      </c>
      <c r="O33" s="3199">
        <v>33</v>
      </c>
      <c r="P33" s="3200">
        <v>2664</v>
      </c>
      <c r="Q33" s="3196">
        <v>42366</v>
      </c>
      <c r="R33" s="3200">
        <v>2664</v>
      </c>
      <c r="S33" s="3196">
        <v>42370</v>
      </c>
      <c r="T33" s="3196">
        <v>42736</v>
      </c>
      <c r="U33" s="3196">
        <v>42370</v>
      </c>
      <c r="V33" s="3219">
        <v>43100</v>
      </c>
      <c r="W33" s="3197" t="s">
        <v>4098</v>
      </c>
      <c r="X33" s="3181"/>
      <c r="Y33" s="3181"/>
      <c r="Z33" s="3289">
        <f>ROUND(AD33*O33*12/10000,2)</f>
        <v>3.28</v>
      </c>
      <c r="AA33" s="3201"/>
      <c r="AB33" s="3200">
        <v>74</v>
      </c>
      <c r="AC33" s="3200"/>
      <c r="AD33" s="3200">
        <v>82.88</v>
      </c>
      <c r="AE33" s="3200"/>
      <c r="AF33" s="3194"/>
      <c r="AG33" s="3200"/>
      <c r="AH33" s="3194"/>
      <c r="AI33" s="3200"/>
      <c r="AJ33" s="3194"/>
      <c r="AK33" s="3195">
        <v>42370</v>
      </c>
      <c r="AL33" s="3220">
        <v>43008</v>
      </c>
      <c r="AM33" s="3202" t="s">
        <v>4000</v>
      </c>
      <c r="AN33" s="3194"/>
      <c r="AO33" s="3200"/>
      <c r="AP33" s="3200"/>
      <c r="AQ33" s="3200">
        <v>30</v>
      </c>
      <c r="AR33" s="3195">
        <v>42370</v>
      </c>
      <c r="AS33" s="3195">
        <v>42916</v>
      </c>
      <c r="AT33" s="3203" t="s">
        <v>4000</v>
      </c>
      <c r="AU33" s="3193">
        <v>16247.45</v>
      </c>
      <c r="AV33" s="3193">
        <v>5742</v>
      </c>
      <c r="AW33" s="3168"/>
      <c r="AX33" s="3168"/>
      <c r="AY33" s="3168"/>
      <c r="AZ33" s="3168"/>
      <c r="BA33" s="3168"/>
      <c r="BB33" s="3168"/>
      <c r="BC33" s="3168"/>
      <c r="BD33" s="3168"/>
      <c r="BE33" s="3168"/>
      <c r="BF33" s="3168"/>
      <c r="BG33" s="3168"/>
      <c r="BH33" s="3168"/>
      <c r="BI33" s="3168"/>
      <c r="BJ33" s="3168"/>
      <c r="BK33" s="3168"/>
      <c r="BL33" s="3168"/>
      <c r="BM33" s="3168"/>
      <c r="BN33" s="3168"/>
      <c r="BO33" s="3168"/>
      <c r="BP33" s="3168"/>
      <c r="BQ33" s="3168"/>
      <c r="BR33" s="3168"/>
      <c r="BS33" s="3168"/>
      <c r="BT33" s="3168"/>
      <c r="BU33" s="3168"/>
      <c r="BV33" s="3168"/>
      <c r="BW33" s="3168"/>
      <c r="BX33" s="3168"/>
      <c r="BY33" s="3168"/>
      <c r="BZ33" s="3168"/>
      <c r="CA33" s="3168"/>
      <c r="CB33" s="3168"/>
      <c r="CC33" s="3168"/>
      <c r="CD33" s="3168"/>
      <c r="CE33" s="3168"/>
      <c r="CF33" s="3168"/>
      <c r="CG33" s="3168"/>
      <c r="CH33" s="3168"/>
      <c r="CI33" s="3168"/>
      <c r="CJ33" s="3168"/>
      <c r="CK33" s="3168"/>
      <c r="CL33" s="3168"/>
      <c r="CM33" s="3168"/>
      <c r="CN33" s="3168"/>
      <c r="CO33" s="3168"/>
      <c r="CP33" s="3168"/>
      <c r="CQ33" s="3168"/>
      <c r="CR33" s="3168"/>
      <c r="CS33" s="3168"/>
      <c r="CT33" s="3168"/>
      <c r="CU33" s="3168"/>
      <c r="CV33" s="3168"/>
      <c r="CW33" s="3168"/>
      <c r="CX33" s="3168"/>
      <c r="CY33" s="3168"/>
      <c r="CZ33" s="3168"/>
      <c r="DA33" s="3168"/>
      <c r="DB33" s="3168"/>
      <c r="DC33" s="3168"/>
      <c r="DD33" s="3168"/>
      <c r="DE33" s="3168"/>
      <c r="DF33" s="3168"/>
      <c r="DG33" s="3168"/>
      <c r="DH33" s="3168"/>
      <c r="DI33" s="3168"/>
      <c r="DJ33" s="3168"/>
      <c r="DK33" s="3168"/>
      <c r="DL33" s="3168"/>
      <c r="DM33" s="3168"/>
      <c r="DN33" s="3168"/>
      <c r="DO33" s="3168"/>
      <c r="DP33" s="3168"/>
      <c r="DQ33" s="3168"/>
      <c r="DR33" s="3168"/>
      <c r="DS33" s="3168"/>
      <c r="DT33" s="3168"/>
      <c r="DU33" s="3168"/>
      <c r="DV33" s="3168"/>
      <c r="DW33" s="3168"/>
      <c r="DX33" s="3168"/>
      <c r="DY33" s="3168"/>
      <c r="DZ33" s="3168"/>
      <c r="EA33" s="3168"/>
      <c r="EB33" s="3168"/>
      <c r="EC33" s="3168"/>
      <c r="ED33" s="3168"/>
      <c r="EE33" s="3168"/>
      <c r="EF33" s="3168"/>
      <c r="EG33" s="3168"/>
    </row>
    <row r="34" spans="1:137" s="3168" customFormat="1" ht="30" customHeight="1">
      <c r="A34" s="3181">
        <v>29</v>
      </c>
      <c r="B34" s="3195">
        <v>42087</v>
      </c>
      <c r="C34" s="3196">
        <v>42087</v>
      </c>
      <c r="D34" s="3181" t="s">
        <v>3990</v>
      </c>
      <c r="E34" s="3197" t="s">
        <v>4144</v>
      </c>
      <c r="F34" s="3198">
        <v>500263</v>
      </c>
      <c r="G34" s="3198" t="s">
        <v>4171</v>
      </c>
      <c r="H34" s="3181" t="s">
        <v>3993</v>
      </c>
      <c r="I34" s="3197" t="s">
        <v>4172</v>
      </c>
      <c r="J34" s="3198" t="s">
        <v>4171</v>
      </c>
      <c r="K34" s="3197" t="s">
        <v>4173</v>
      </c>
      <c r="L34" s="3197" t="s">
        <v>3996</v>
      </c>
      <c r="M34" s="3197" t="s">
        <v>4065</v>
      </c>
      <c r="N34" s="3197" t="s">
        <v>4174</v>
      </c>
      <c r="O34" s="3198">
        <v>33.4</v>
      </c>
      <c r="P34" s="3200">
        <v>2692.17</v>
      </c>
      <c r="Q34" s="3196">
        <v>41709</v>
      </c>
      <c r="R34" s="3200">
        <v>2692.17</v>
      </c>
      <c r="S34" s="3196"/>
      <c r="T34" s="3196">
        <v>42736</v>
      </c>
      <c r="U34" s="3196">
        <v>42125</v>
      </c>
      <c r="V34" s="3196">
        <v>43100</v>
      </c>
      <c r="W34" s="3197" t="s">
        <v>4119</v>
      </c>
      <c r="X34" s="3181"/>
      <c r="Y34" s="3181"/>
      <c r="Z34" s="3289">
        <f>ROUND(AD34*O34*12/10000,2)</f>
        <v>3.76</v>
      </c>
      <c r="AA34" s="3201"/>
      <c r="AB34" s="3200">
        <v>83.65</v>
      </c>
      <c r="AC34" s="3200"/>
      <c r="AD34" s="3200">
        <v>93.69</v>
      </c>
      <c r="AE34" s="3200"/>
      <c r="AF34" s="3194"/>
      <c r="AG34" s="3200"/>
      <c r="AH34" s="3194"/>
      <c r="AI34" s="3200"/>
      <c r="AJ34" s="3194"/>
      <c r="AK34" s="3195">
        <v>42125</v>
      </c>
      <c r="AL34" s="3195">
        <v>43008</v>
      </c>
      <c r="AM34" s="3202" t="s">
        <v>4000</v>
      </c>
      <c r="AN34" s="3194"/>
      <c r="AO34" s="3200"/>
      <c r="AP34" s="3200"/>
      <c r="AQ34" s="3200">
        <v>30</v>
      </c>
      <c r="AR34" s="3195">
        <v>42125</v>
      </c>
      <c r="AS34" s="3195">
        <v>43008</v>
      </c>
      <c r="AT34" s="3203" t="s">
        <v>4000</v>
      </c>
      <c r="AU34" s="3193">
        <v>27995.94</v>
      </c>
      <c r="AV34" s="3193">
        <v>8874</v>
      </c>
    </row>
    <row r="35" spans="1:137" s="3168" customFormat="1" ht="30" customHeight="1">
      <c r="A35" s="3181">
        <v>30</v>
      </c>
      <c r="B35" s="3195">
        <v>42090</v>
      </c>
      <c r="C35" s="3196">
        <v>42090</v>
      </c>
      <c r="D35" s="3181" t="s">
        <v>4175</v>
      </c>
      <c r="E35" s="3197" t="s">
        <v>4176</v>
      </c>
      <c r="F35" s="3198">
        <v>500371</v>
      </c>
      <c r="G35" s="3198" t="s">
        <v>4177</v>
      </c>
      <c r="H35" s="3181" t="s">
        <v>3993</v>
      </c>
      <c r="I35" s="3197" t="s">
        <v>4178</v>
      </c>
      <c r="J35" s="3198" t="s">
        <v>4177</v>
      </c>
      <c r="K35" s="3197" t="s">
        <v>4179</v>
      </c>
      <c r="L35" s="3197" t="s">
        <v>3996</v>
      </c>
      <c r="M35" s="3197" t="s">
        <v>4065</v>
      </c>
      <c r="N35" s="3197" t="s">
        <v>4180</v>
      </c>
      <c r="O35" s="3244">
        <v>32.9</v>
      </c>
      <c r="P35" s="3200">
        <v>4407</v>
      </c>
      <c r="Q35" s="3196">
        <v>41718</v>
      </c>
      <c r="R35" s="3200">
        <v>4407</v>
      </c>
      <c r="S35" s="3196"/>
      <c r="T35" s="3196">
        <v>42736</v>
      </c>
      <c r="U35" s="3196">
        <v>42125</v>
      </c>
      <c r="V35" s="3196">
        <v>43100</v>
      </c>
      <c r="W35" s="3197" t="s">
        <v>4136</v>
      </c>
      <c r="X35" s="3181"/>
      <c r="Y35" s="3181"/>
      <c r="Z35" s="3289">
        <f>ROUND(AD35*O35*12/10000,2)</f>
        <v>3.4</v>
      </c>
      <c r="AA35" s="3201"/>
      <c r="AB35" s="3200">
        <v>76.95</v>
      </c>
      <c r="AC35" s="3200"/>
      <c r="AD35" s="3200">
        <v>86.18</v>
      </c>
      <c r="AE35" s="3200"/>
      <c r="AF35" s="3194"/>
      <c r="AG35" s="3200"/>
      <c r="AH35" s="3194"/>
      <c r="AI35" s="3200"/>
      <c r="AJ35" s="3194"/>
      <c r="AK35" s="3195">
        <v>42125</v>
      </c>
      <c r="AL35" s="3195">
        <v>43008</v>
      </c>
      <c r="AM35" s="3202" t="s">
        <v>4015</v>
      </c>
      <c r="AN35" s="3194"/>
      <c r="AO35" s="3200"/>
      <c r="AP35" s="3200"/>
      <c r="AQ35" s="3200">
        <v>30</v>
      </c>
      <c r="AR35" s="3195">
        <v>42125</v>
      </c>
      <c r="AS35" s="3195">
        <v>43008</v>
      </c>
      <c r="AT35" s="3203" t="s">
        <v>4015</v>
      </c>
      <c r="AU35" s="3193">
        <v>25356.29</v>
      </c>
      <c r="AV35" s="3193">
        <v>8694</v>
      </c>
    </row>
    <row r="36" spans="1:137" s="3168" customFormat="1" ht="30" customHeight="1">
      <c r="A36" s="3181">
        <v>31</v>
      </c>
      <c r="B36" s="3195">
        <v>42795</v>
      </c>
      <c r="C36" s="3195">
        <v>42795</v>
      </c>
      <c r="D36" s="3181" t="s">
        <v>4181</v>
      </c>
      <c r="E36" s="3197" t="s">
        <v>4017</v>
      </c>
      <c r="F36" s="3198">
        <v>500651</v>
      </c>
      <c r="G36" s="3198" t="s">
        <v>4182</v>
      </c>
      <c r="H36" s="3181" t="s">
        <v>4019</v>
      </c>
      <c r="I36" s="3197" t="s">
        <v>4183</v>
      </c>
      <c r="J36" s="3198" t="s">
        <v>4182</v>
      </c>
      <c r="K36" s="3197" t="s">
        <v>4184</v>
      </c>
      <c r="L36" s="3197" t="s">
        <v>4011</v>
      </c>
      <c r="M36" s="3197" t="s">
        <v>4134</v>
      </c>
      <c r="N36" s="3197" t="s">
        <v>4185</v>
      </c>
      <c r="O36" s="3199">
        <v>59</v>
      </c>
      <c r="P36" s="3245">
        <v>30000</v>
      </c>
      <c r="Q36" s="3196">
        <v>42954</v>
      </c>
      <c r="R36" s="3200">
        <v>30000</v>
      </c>
      <c r="S36" s="3196">
        <v>42826</v>
      </c>
      <c r="T36" s="3196">
        <v>42856</v>
      </c>
      <c r="U36" s="3196">
        <v>42826</v>
      </c>
      <c r="V36" s="3196">
        <v>43555</v>
      </c>
      <c r="W36" s="3197" t="s">
        <v>4022</v>
      </c>
      <c r="X36" s="3181" t="s">
        <v>4186</v>
      </c>
      <c r="Y36" s="3181">
        <v>5</v>
      </c>
      <c r="Z36" s="3289">
        <f t="shared" si="0"/>
        <v>7.58</v>
      </c>
      <c r="AA36" s="3201"/>
      <c r="AB36" s="3200">
        <v>107</v>
      </c>
      <c r="AC36" s="3200"/>
      <c r="AD36" s="3200">
        <v>112.35</v>
      </c>
      <c r="AE36" s="3200"/>
      <c r="AF36" s="3194"/>
      <c r="AG36" s="3200"/>
      <c r="AH36" s="3194"/>
      <c r="AI36" s="3200"/>
      <c r="AJ36" s="3194"/>
      <c r="AK36" s="3195">
        <v>42856</v>
      </c>
      <c r="AL36" s="3195">
        <v>43039</v>
      </c>
      <c r="AM36" s="3202" t="s">
        <v>4015</v>
      </c>
      <c r="AN36" s="3194">
        <v>8142</v>
      </c>
      <c r="AO36" s="3200">
        <v>2655</v>
      </c>
      <c r="AP36" s="3200">
        <v>1.5</v>
      </c>
      <c r="AQ36" s="3200"/>
      <c r="AR36" s="3195">
        <v>42856</v>
      </c>
      <c r="AS36" s="3195">
        <v>43039</v>
      </c>
      <c r="AT36" s="3203" t="s">
        <v>4015</v>
      </c>
      <c r="AU36" s="3193">
        <v>37878</v>
      </c>
      <c r="AV36" s="3193">
        <v>18939</v>
      </c>
    </row>
    <row r="37" spans="1:137" s="3204" customFormat="1" ht="30" customHeight="1">
      <c r="A37" s="3181">
        <v>32</v>
      </c>
      <c r="B37" s="3223">
        <v>41539</v>
      </c>
      <c r="C37" s="3224">
        <v>41543</v>
      </c>
      <c r="D37" s="3225" t="s">
        <v>4187</v>
      </c>
      <c r="E37" s="3211" t="s">
        <v>4188</v>
      </c>
      <c r="F37" s="3226">
        <v>500226</v>
      </c>
      <c r="G37" s="3226" t="s">
        <v>4189</v>
      </c>
      <c r="H37" s="3183" t="s">
        <v>4019</v>
      </c>
      <c r="I37" s="3211" t="s">
        <v>4190</v>
      </c>
      <c r="J37" s="3226" t="s">
        <v>4191</v>
      </c>
      <c r="K37" s="3211" t="s">
        <v>4192</v>
      </c>
      <c r="L37" s="3211" t="s">
        <v>4011</v>
      </c>
      <c r="M37" s="3211" t="s">
        <v>4134</v>
      </c>
      <c r="N37" s="3211" t="s">
        <v>4193</v>
      </c>
      <c r="O37" s="3227">
        <v>94</v>
      </c>
      <c r="P37" s="3228">
        <v>7148</v>
      </c>
      <c r="Q37" s="3224">
        <v>41583</v>
      </c>
      <c r="R37" s="3228">
        <v>7148</v>
      </c>
      <c r="S37" s="3224">
        <v>41567</v>
      </c>
      <c r="T37" s="3224">
        <v>42873</v>
      </c>
      <c r="U37" s="3224">
        <v>41777</v>
      </c>
      <c r="V37" s="3224">
        <v>43602</v>
      </c>
      <c r="W37" s="3211" t="s">
        <v>4194</v>
      </c>
      <c r="X37" s="3225"/>
      <c r="Y37" s="3225"/>
      <c r="Z37" s="3292">
        <f>ROUND(AE37*O37*365/10000,2)</f>
        <v>7.55</v>
      </c>
      <c r="AA37" s="3228">
        <v>1.8</v>
      </c>
      <c r="AB37" s="3228"/>
      <c r="AC37" s="3228">
        <v>2</v>
      </c>
      <c r="AD37" s="3228"/>
      <c r="AE37" s="3228">
        <v>2.2000000000000002</v>
      </c>
      <c r="AF37" s="3233"/>
      <c r="AG37" s="3228"/>
      <c r="AH37" s="3233">
        <v>90</v>
      </c>
      <c r="AI37" s="3228"/>
      <c r="AJ37" s="3233"/>
      <c r="AK37" s="3223">
        <v>41869</v>
      </c>
      <c r="AL37" s="3223">
        <v>43069</v>
      </c>
      <c r="AM37" s="3232" t="s">
        <v>4015</v>
      </c>
      <c r="AN37" s="3233"/>
      <c r="AO37" s="3228">
        <v>1316</v>
      </c>
      <c r="AP37" s="3228">
        <v>0.7</v>
      </c>
      <c r="AQ37" s="3228">
        <v>45</v>
      </c>
      <c r="AR37" s="3223">
        <v>41869</v>
      </c>
      <c r="AS37" s="3223">
        <v>43069</v>
      </c>
      <c r="AT37" s="3234" t="s">
        <v>4015</v>
      </c>
      <c r="AU37" s="3193">
        <v>82912.25</v>
      </c>
      <c r="AV37" s="3193">
        <v>36268.839999999997</v>
      </c>
    </row>
    <row r="38" spans="1:137" s="3168" customFormat="1" ht="30" customHeight="1">
      <c r="A38" s="3181">
        <v>33</v>
      </c>
      <c r="B38" s="3195">
        <v>42334</v>
      </c>
      <c r="C38" s="3196">
        <v>42334</v>
      </c>
      <c r="D38" s="3181" t="s">
        <v>4195</v>
      </c>
      <c r="E38" s="3197" t="s">
        <v>4196</v>
      </c>
      <c r="F38" s="3198">
        <v>500167</v>
      </c>
      <c r="G38" s="3198" t="s">
        <v>4197</v>
      </c>
      <c r="H38" s="3181" t="s">
        <v>4019</v>
      </c>
      <c r="I38" s="3197" t="s">
        <v>4198</v>
      </c>
      <c r="J38" s="3198" t="s">
        <v>4197</v>
      </c>
      <c r="K38" s="3197" t="s">
        <v>4199</v>
      </c>
      <c r="L38" s="3197" t="s">
        <v>4011</v>
      </c>
      <c r="M38" s="3197" t="s">
        <v>4134</v>
      </c>
      <c r="N38" s="3197" t="s">
        <v>4200</v>
      </c>
      <c r="O38" s="3199">
        <v>36</v>
      </c>
      <c r="P38" s="3200">
        <v>3420</v>
      </c>
      <c r="Q38" s="3196">
        <v>42334</v>
      </c>
      <c r="R38" s="3200">
        <v>3420</v>
      </c>
      <c r="S38" s="3196">
        <v>42267</v>
      </c>
      <c r="T38" s="3196">
        <v>42844</v>
      </c>
      <c r="U38" s="3196">
        <v>42327</v>
      </c>
      <c r="V38" s="3196">
        <v>43208</v>
      </c>
      <c r="W38" s="3197" t="s">
        <v>4201</v>
      </c>
      <c r="X38" s="3198"/>
      <c r="Y38" s="3198"/>
      <c r="Z38" s="3289">
        <f>ROUND(AD38*O38*12/10000,2)</f>
        <v>4.5999999999999996</v>
      </c>
      <c r="AA38" s="3200"/>
      <c r="AB38" s="3200">
        <v>95</v>
      </c>
      <c r="AC38" s="3194"/>
      <c r="AD38" s="3200">
        <v>106.4</v>
      </c>
      <c r="AE38" s="3181"/>
      <c r="AF38" s="3200">
        <v>119.23</v>
      </c>
      <c r="AG38" s="3200"/>
      <c r="AH38" s="3200"/>
      <c r="AI38" s="3200"/>
      <c r="AJ38" s="3200"/>
      <c r="AK38" s="3195" t="s">
        <v>4202</v>
      </c>
      <c r="AL38" s="3195">
        <v>43026</v>
      </c>
      <c r="AM38" s="3202" t="s">
        <v>4015</v>
      </c>
      <c r="AN38" s="3201">
        <v>1080</v>
      </c>
      <c r="AO38" s="3200">
        <v>2160</v>
      </c>
      <c r="AP38" s="3200"/>
      <c r="AQ38" s="3200">
        <v>45</v>
      </c>
      <c r="AR38" s="3195">
        <v>42327</v>
      </c>
      <c r="AS38" s="3195">
        <v>43026</v>
      </c>
      <c r="AT38" s="3203" t="s">
        <v>4015</v>
      </c>
      <c r="AU38" s="3193">
        <v>44822.6</v>
      </c>
      <c r="AV38" s="3193">
        <v>13576.65</v>
      </c>
    </row>
    <row r="39" spans="1:137" s="3168" customFormat="1" ht="30" customHeight="1">
      <c r="A39" s="3181">
        <v>34</v>
      </c>
      <c r="B39" s="3195">
        <v>42543</v>
      </c>
      <c r="C39" s="3196">
        <v>42543</v>
      </c>
      <c r="D39" s="3181" t="s">
        <v>4203</v>
      </c>
      <c r="E39" s="3197" t="s">
        <v>4204</v>
      </c>
      <c r="F39" s="3198">
        <v>500610</v>
      </c>
      <c r="G39" s="3198" t="s">
        <v>4205</v>
      </c>
      <c r="H39" s="3181" t="s">
        <v>4019</v>
      </c>
      <c r="I39" s="3197" t="s">
        <v>4206</v>
      </c>
      <c r="J39" s="3198" t="s">
        <v>4205</v>
      </c>
      <c r="K39" s="3197" t="s">
        <v>4207</v>
      </c>
      <c r="L39" s="3197" t="s">
        <v>4011</v>
      </c>
      <c r="M39" s="3197" t="s">
        <v>4134</v>
      </c>
      <c r="N39" s="3197" t="s">
        <v>4208</v>
      </c>
      <c r="O39" s="3199">
        <v>11</v>
      </c>
      <c r="P39" s="3200">
        <v>1836</v>
      </c>
      <c r="Q39" s="3196">
        <v>42543</v>
      </c>
      <c r="R39" s="3200">
        <v>1836</v>
      </c>
      <c r="S39" s="3196">
        <v>42552</v>
      </c>
      <c r="T39" s="3196">
        <v>42932</v>
      </c>
      <c r="U39" s="3196">
        <v>42567</v>
      </c>
      <c r="V39" s="3196">
        <v>43296</v>
      </c>
      <c r="W39" s="3197" t="s">
        <v>4209</v>
      </c>
      <c r="X39" s="3181"/>
      <c r="Y39" s="3181"/>
      <c r="Z39" s="3289">
        <f>ROUND(AD39*O39*12/10000,2)</f>
        <v>2.21</v>
      </c>
      <c r="AA39" s="3201"/>
      <c r="AB39" s="3200">
        <v>153</v>
      </c>
      <c r="AC39" s="3200"/>
      <c r="AD39" s="3200">
        <v>167.3</v>
      </c>
      <c r="AE39" s="3200"/>
      <c r="AF39" s="3194"/>
      <c r="AG39" s="3200"/>
      <c r="AH39" s="3194"/>
      <c r="AI39" s="3200"/>
      <c r="AJ39" s="3194"/>
      <c r="AK39" s="3195">
        <v>42567</v>
      </c>
      <c r="AL39" s="3195">
        <v>43023</v>
      </c>
      <c r="AM39" s="3202" t="s">
        <v>4015</v>
      </c>
      <c r="AN39" s="3201">
        <v>360</v>
      </c>
      <c r="AO39" s="3200">
        <v>180</v>
      </c>
      <c r="AP39" s="3200"/>
      <c r="AQ39" s="3200">
        <v>45</v>
      </c>
      <c r="AR39" s="3195">
        <v>42567</v>
      </c>
      <c r="AS39" s="3195">
        <v>43023</v>
      </c>
      <c r="AT39" s="3203" t="s">
        <v>4015</v>
      </c>
      <c r="AU39" s="3193">
        <v>16462.650000000001</v>
      </c>
      <c r="AV39" s="3193">
        <v>3624.68</v>
      </c>
    </row>
    <row r="40" spans="1:137" s="3168" customFormat="1" ht="30" customHeight="1">
      <c r="A40" s="3194">
        <v>35</v>
      </c>
      <c r="B40" s="3195">
        <v>42244</v>
      </c>
      <c r="C40" s="3196">
        <v>42244</v>
      </c>
      <c r="D40" s="3181" t="s">
        <v>4210</v>
      </c>
      <c r="E40" s="3197" t="s">
        <v>4211</v>
      </c>
      <c r="F40" s="3198">
        <v>500542</v>
      </c>
      <c r="G40" s="3198" t="s">
        <v>4212</v>
      </c>
      <c r="H40" s="3181" t="s">
        <v>4019</v>
      </c>
      <c r="I40" s="3197" t="s">
        <v>4213</v>
      </c>
      <c r="J40" s="3198" t="s">
        <v>4212</v>
      </c>
      <c r="K40" s="3197" t="s">
        <v>4214</v>
      </c>
      <c r="L40" s="3197" t="s">
        <v>4011</v>
      </c>
      <c r="M40" s="3197" t="s">
        <v>4134</v>
      </c>
      <c r="N40" s="3197" t="s">
        <v>4215</v>
      </c>
      <c r="O40" s="3199">
        <v>15</v>
      </c>
      <c r="P40" s="3200">
        <v>1601</v>
      </c>
      <c r="Q40" s="3196">
        <v>42244</v>
      </c>
      <c r="R40" s="3200">
        <v>1601</v>
      </c>
      <c r="S40" s="3196">
        <v>42345</v>
      </c>
      <c r="T40" s="3196">
        <v>42899</v>
      </c>
      <c r="U40" s="3196">
        <v>42351</v>
      </c>
      <c r="V40" s="3196">
        <v>43263</v>
      </c>
      <c r="W40" s="3197" t="s">
        <v>4216</v>
      </c>
      <c r="X40" s="3181"/>
      <c r="Y40" s="3181"/>
      <c r="Z40" s="3289">
        <f t="shared" si="0"/>
        <v>1.39</v>
      </c>
      <c r="AA40" s="3201"/>
      <c r="AB40" s="3200">
        <v>77</v>
      </c>
      <c r="AC40" s="3200"/>
      <c r="AD40" s="3200"/>
      <c r="AE40" s="3200"/>
      <c r="AF40" s="3194"/>
      <c r="AG40" s="3200"/>
      <c r="AH40" s="3194"/>
      <c r="AI40" s="3200"/>
      <c r="AJ40" s="3194"/>
      <c r="AK40" s="3195">
        <v>42351</v>
      </c>
      <c r="AL40" s="3195">
        <v>43069</v>
      </c>
      <c r="AM40" s="3202" t="s">
        <v>4015</v>
      </c>
      <c r="AN40" s="3201"/>
      <c r="AO40" s="3200">
        <v>75</v>
      </c>
      <c r="AP40" s="3200"/>
      <c r="AQ40" s="3200">
        <v>45</v>
      </c>
      <c r="AR40" s="3195">
        <v>42351</v>
      </c>
      <c r="AS40" s="3195">
        <v>43069</v>
      </c>
      <c r="AT40" s="3203" t="s">
        <v>4015</v>
      </c>
      <c r="AU40" s="3193">
        <v>16010.29</v>
      </c>
      <c r="AV40" s="3193">
        <v>6210</v>
      </c>
    </row>
    <row r="41" spans="1:137" s="3168" customFormat="1" ht="30" customHeight="1">
      <c r="A41" s="3190">
        <v>36</v>
      </c>
      <c r="B41" s="3195">
        <v>42240</v>
      </c>
      <c r="C41" s="3196">
        <v>42240</v>
      </c>
      <c r="D41" s="3181" t="s">
        <v>4217</v>
      </c>
      <c r="E41" s="3197" t="s">
        <v>4218</v>
      </c>
      <c r="F41" s="3198">
        <v>500541</v>
      </c>
      <c r="G41" s="3198" t="s">
        <v>4219</v>
      </c>
      <c r="H41" s="3181" t="s">
        <v>4019</v>
      </c>
      <c r="I41" s="3197" t="s">
        <v>4220</v>
      </c>
      <c r="J41" s="3198" t="s">
        <v>4219</v>
      </c>
      <c r="K41" s="3197" t="s">
        <v>4221</v>
      </c>
      <c r="L41" s="3197" t="s">
        <v>4011</v>
      </c>
      <c r="M41" s="3197" t="s">
        <v>4134</v>
      </c>
      <c r="N41" s="3197" t="s">
        <v>4222</v>
      </c>
      <c r="O41" s="3199">
        <v>35</v>
      </c>
      <c r="P41" s="3200">
        <v>2135</v>
      </c>
      <c r="Q41" s="3196">
        <v>42240</v>
      </c>
      <c r="R41" s="3200">
        <v>2135</v>
      </c>
      <c r="S41" s="3196">
        <v>42252</v>
      </c>
      <c r="T41" s="3196">
        <v>43023</v>
      </c>
      <c r="U41" s="3196">
        <v>42292</v>
      </c>
      <c r="V41" s="3196">
        <v>43465</v>
      </c>
      <c r="W41" s="3197" t="s">
        <v>4223</v>
      </c>
      <c r="X41" s="3181"/>
      <c r="Y41" s="3181"/>
      <c r="Z41" s="3289">
        <f>ROUND(AF41*O41*12/10000,2)</f>
        <v>5.37</v>
      </c>
      <c r="AA41" s="3201"/>
      <c r="AB41" s="3200">
        <v>61</v>
      </c>
      <c r="AC41" s="3200"/>
      <c r="AD41" s="3200">
        <v>66.900000000000006</v>
      </c>
      <c r="AE41" s="3200"/>
      <c r="AF41" s="3194">
        <v>127.75</v>
      </c>
      <c r="AG41" s="3200"/>
      <c r="AH41" s="3194"/>
      <c r="AI41" s="3200"/>
      <c r="AJ41" s="3194"/>
      <c r="AK41" s="3195">
        <v>42292</v>
      </c>
      <c r="AL41" s="3195">
        <v>43008</v>
      </c>
      <c r="AM41" s="3202" t="s">
        <v>4015</v>
      </c>
      <c r="AN41" s="3201">
        <v>1050</v>
      </c>
      <c r="AO41" s="3200">
        <v>1400</v>
      </c>
      <c r="AP41" s="3200"/>
      <c r="AQ41" s="3200">
        <v>45</v>
      </c>
      <c r="AR41" s="3195">
        <v>42292</v>
      </c>
      <c r="AS41" s="3195">
        <v>43008</v>
      </c>
      <c r="AT41" s="3203" t="s">
        <v>4015</v>
      </c>
      <c r="AU41" s="3193">
        <v>21073.5</v>
      </c>
      <c r="AV41" s="3193">
        <v>9450</v>
      </c>
    </row>
    <row r="42" spans="1:137" s="3258" customFormat="1" ht="30" customHeight="1">
      <c r="A42" s="3246">
        <v>37</v>
      </c>
      <c r="B42" s="3247">
        <v>42636</v>
      </c>
      <c r="C42" s="3248">
        <v>42636</v>
      </c>
      <c r="D42" s="3246" t="s">
        <v>4023</v>
      </c>
      <c r="E42" s="3249" t="s">
        <v>4224</v>
      </c>
      <c r="F42" s="3250">
        <v>500618</v>
      </c>
      <c r="G42" s="3250" t="s">
        <v>4225</v>
      </c>
      <c r="H42" s="3246" t="s">
        <v>4019</v>
      </c>
      <c r="I42" s="3249" t="s">
        <v>4226</v>
      </c>
      <c r="J42" s="3250" t="s">
        <v>4227</v>
      </c>
      <c r="K42" s="3249" t="s">
        <v>4228</v>
      </c>
      <c r="L42" s="3249" t="s">
        <v>3996</v>
      </c>
      <c r="M42" s="3249" t="s">
        <v>4065</v>
      </c>
      <c r="N42" s="3249" t="s">
        <v>4229</v>
      </c>
      <c r="O42" s="3251">
        <v>0</v>
      </c>
      <c r="P42" s="3252">
        <v>2055</v>
      </c>
      <c r="Q42" s="3248">
        <v>42636</v>
      </c>
      <c r="R42" s="3252">
        <v>2055</v>
      </c>
      <c r="S42" s="3248">
        <v>42655</v>
      </c>
      <c r="T42" s="3248">
        <v>42675</v>
      </c>
      <c r="U42" s="3248">
        <v>42655</v>
      </c>
      <c r="V42" s="3248">
        <v>43019</v>
      </c>
      <c r="W42" s="3249" t="s">
        <v>3999</v>
      </c>
      <c r="X42" s="3246"/>
      <c r="Y42" s="3246"/>
      <c r="Z42" s="3289">
        <v>0</v>
      </c>
      <c r="AA42" s="3253"/>
      <c r="AB42" s="3252">
        <v>137</v>
      </c>
      <c r="AC42" s="3252"/>
      <c r="AD42" s="3252"/>
      <c r="AE42" s="3252"/>
      <c r="AF42" s="3254"/>
      <c r="AG42" s="3252"/>
      <c r="AH42" s="3254"/>
      <c r="AI42" s="3252"/>
      <c r="AJ42" s="3254"/>
      <c r="AK42" s="3247">
        <v>42675</v>
      </c>
      <c r="AL42" s="3247">
        <v>43019</v>
      </c>
      <c r="AM42" s="3255" t="s">
        <v>4000</v>
      </c>
      <c r="AN42" s="3253">
        <v>450</v>
      </c>
      <c r="AO42" s="3252">
        <v>300</v>
      </c>
      <c r="AP42" s="3252"/>
      <c r="AQ42" s="3252">
        <v>30</v>
      </c>
      <c r="AR42" s="3247">
        <v>42675</v>
      </c>
      <c r="AS42" s="3247">
        <v>43019</v>
      </c>
      <c r="AT42" s="3256" t="s">
        <v>4000</v>
      </c>
      <c r="AU42" s="3257">
        <v>19248.5</v>
      </c>
      <c r="AV42" s="3257">
        <v>4215</v>
      </c>
    </row>
    <row r="43" spans="1:137" s="3168" customFormat="1" ht="30" customHeight="1">
      <c r="A43" s="3181">
        <v>38</v>
      </c>
      <c r="B43" s="3195">
        <v>42090</v>
      </c>
      <c r="C43" s="3196">
        <v>42090</v>
      </c>
      <c r="D43" s="3181" t="s">
        <v>4230</v>
      </c>
      <c r="E43" s="3197" t="s">
        <v>4231</v>
      </c>
      <c r="F43" s="3198">
        <v>500042</v>
      </c>
      <c r="G43" s="3198" t="s">
        <v>4232</v>
      </c>
      <c r="H43" s="3181" t="s">
        <v>3993</v>
      </c>
      <c r="I43" s="3197" t="s">
        <v>4233</v>
      </c>
      <c r="J43" s="3198" t="s">
        <v>4232</v>
      </c>
      <c r="K43" s="3197" t="s">
        <v>4234</v>
      </c>
      <c r="L43" s="3197" t="s">
        <v>3996</v>
      </c>
      <c r="M43" s="3197" t="s">
        <v>4065</v>
      </c>
      <c r="N43" s="3197" t="s">
        <v>4235</v>
      </c>
      <c r="O43" s="3199">
        <v>12</v>
      </c>
      <c r="P43" s="3200">
        <v>1888.88</v>
      </c>
      <c r="Q43" s="3196">
        <v>41500</v>
      </c>
      <c r="R43" s="3200">
        <v>1888.88</v>
      </c>
      <c r="S43" s="3196"/>
      <c r="T43" s="3196">
        <v>42736</v>
      </c>
      <c r="U43" s="3196">
        <v>42125</v>
      </c>
      <c r="V43" s="3196">
        <v>43100</v>
      </c>
      <c r="W43" s="3197" t="s">
        <v>4119</v>
      </c>
      <c r="X43" s="3181"/>
      <c r="Y43" s="3181"/>
      <c r="Z43" s="3289">
        <f>AU43/10000</f>
        <v>2.7</v>
      </c>
      <c r="AA43" s="3201"/>
      <c r="AB43" s="3200"/>
      <c r="AC43" s="3200"/>
      <c r="AD43" s="3200"/>
      <c r="AE43" s="3200"/>
      <c r="AF43" s="3201"/>
      <c r="AG43" s="3200"/>
      <c r="AH43" s="3201"/>
      <c r="AI43" s="3200"/>
      <c r="AJ43" s="3201"/>
      <c r="AK43" s="3195">
        <v>42125</v>
      </c>
      <c r="AL43" s="3182">
        <v>43008</v>
      </c>
      <c r="AM43" s="3202" t="s">
        <v>4000</v>
      </c>
      <c r="AN43" s="3194"/>
      <c r="AO43" s="3200"/>
      <c r="AP43" s="3200"/>
      <c r="AQ43" s="3200">
        <v>30</v>
      </c>
      <c r="AR43" s="3195">
        <v>42125</v>
      </c>
      <c r="AS43" s="3182">
        <v>43008</v>
      </c>
      <c r="AT43" s="3203" t="s">
        <v>4000</v>
      </c>
      <c r="AU43" s="3193">
        <v>27000</v>
      </c>
      <c r="AV43" s="3193">
        <v>3240</v>
      </c>
    </row>
    <row r="44" spans="1:137" s="3274" customFormat="1" ht="30" customHeight="1">
      <c r="A44" s="3181">
        <v>39</v>
      </c>
      <c r="B44" s="3259">
        <v>41558</v>
      </c>
      <c r="C44" s="3260">
        <v>42474</v>
      </c>
      <c r="D44" s="3261" t="s">
        <v>4236</v>
      </c>
      <c r="E44" s="3262" t="s">
        <v>4237</v>
      </c>
      <c r="F44" s="3263">
        <v>500047</v>
      </c>
      <c r="G44" s="3263" t="s">
        <v>4238</v>
      </c>
      <c r="H44" s="3261" t="s">
        <v>3993</v>
      </c>
      <c r="I44" s="3262" t="s">
        <v>4239</v>
      </c>
      <c r="J44" s="3262" t="s">
        <v>4238</v>
      </c>
      <c r="K44" s="3262" t="s">
        <v>4240</v>
      </c>
      <c r="L44" s="3264" t="s">
        <v>3996</v>
      </c>
      <c r="M44" s="3197" t="s">
        <v>4065</v>
      </c>
      <c r="N44" s="3265" t="s">
        <v>4241</v>
      </c>
      <c r="O44" s="3266">
        <v>27</v>
      </c>
      <c r="P44" s="3231">
        <v>5000</v>
      </c>
      <c r="Q44" s="3267">
        <v>41516</v>
      </c>
      <c r="R44" s="3231">
        <v>5000</v>
      </c>
      <c r="S44" s="3260">
        <v>41567</v>
      </c>
      <c r="T44" s="3268">
        <v>42937</v>
      </c>
      <c r="U44" s="3260">
        <v>42907</v>
      </c>
      <c r="V44" s="3260">
        <v>43271</v>
      </c>
      <c r="W44" s="3264" t="s">
        <v>3999</v>
      </c>
      <c r="X44" s="3269"/>
      <c r="Y44" s="3261"/>
      <c r="Z44" s="3289">
        <f t="shared" si="0"/>
        <v>4.4400000000000004</v>
      </c>
      <c r="AA44" s="3228"/>
      <c r="AB44" s="3228">
        <v>137</v>
      </c>
      <c r="AC44" s="3228"/>
      <c r="AD44" s="3228"/>
      <c r="AE44" s="3228"/>
      <c r="AF44" s="3228"/>
      <c r="AG44" s="3228"/>
      <c r="AH44" s="3228"/>
      <c r="AI44" s="3270"/>
      <c r="AJ44" s="3270"/>
      <c r="AK44" s="3271">
        <v>42937</v>
      </c>
      <c r="AL44" s="3182">
        <v>43008</v>
      </c>
      <c r="AM44" s="3272" t="s">
        <v>4000</v>
      </c>
      <c r="AN44" s="3228">
        <v>909</v>
      </c>
      <c r="AO44" s="3228"/>
      <c r="AP44" s="3228"/>
      <c r="AQ44" s="3228">
        <v>30</v>
      </c>
      <c r="AR44" s="3273">
        <v>42491</v>
      </c>
      <c r="AS44" s="3182">
        <v>43008</v>
      </c>
      <c r="AT44" s="3272" t="s">
        <v>4000</v>
      </c>
      <c r="AU44" s="3193">
        <v>27182.639999999999</v>
      </c>
      <c r="AV44" s="3193">
        <v>8496</v>
      </c>
    </row>
    <row r="45" spans="1:137" s="3168" customFormat="1" ht="30" customHeight="1">
      <c r="A45" s="3181">
        <v>40</v>
      </c>
      <c r="B45" s="3195">
        <v>42090</v>
      </c>
      <c r="C45" s="3196">
        <v>42090</v>
      </c>
      <c r="D45" s="3181" t="s">
        <v>4242</v>
      </c>
      <c r="E45" s="3197" t="s">
        <v>4104</v>
      </c>
      <c r="F45" s="3198">
        <v>500198</v>
      </c>
      <c r="G45" s="3198" t="s">
        <v>4243</v>
      </c>
      <c r="H45" s="3181" t="s">
        <v>3993</v>
      </c>
      <c r="I45" s="3197" t="s">
        <v>4242</v>
      </c>
      <c r="J45" s="3198" t="s">
        <v>4243</v>
      </c>
      <c r="K45" s="3197" t="s">
        <v>4244</v>
      </c>
      <c r="L45" s="3197" t="s">
        <v>4168</v>
      </c>
      <c r="M45" s="3197" t="s">
        <v>4169</v>
      </c>
      <c r="N45" s="3197" t="s">
        <v>4245</v>
      </c>
      <c r="O45" s="3199">
        <v>21</v>
      </c>
      <c r="P45" s="3200">
        <v>1551</v>
      </c>
      <c r="Q45" s="3196">
        <v>41603</v>
      </c>
      <c r="R45" s="3200">
        <v>1551</v>
      </c>
      <c r="S45" s="3196"/>
      <c r="T45" s="3196">
        <v>42736</v>
      </c>
      <c r="U45" s="3196">
        <v>42125</v>
      </c>
      <c r="V45" s="3196">
        <v>43190</v>
      </c>
      <c r="W45" s="3197" t="s">
        <v>4246</v>
      </c>
      <c r="X45" s="3181"/>
      <c r="Y45" s="3181"/>
      <c r="Z45" s="3289">
        <f>ROUND(AF45*O45*12/10000,2)</f>
        <v>2.36</v>
      </c>
      <c r="AA45" s="3201"/>
      <c r="AB45" s="3200">
        <v>83.65</v>
      </c>
      <c r="AC45" s="3200"/>
      <c r="AD45" s="3200">
        <v>83.65</v>
      </c>
      <c r="AE45" s="3200"/>
      <c r="AF45" s="3194">
        <v>93.69</v>
      </c>
      <c r="AG45" s="3200"/>
      <c r="AH45" s="3194"/>
      <c r="AI45" s="3200"/>
      <c r="AJ45" s="3194"/>
      <c r="AK45" s="3195">
        <v>42125</v>
      </c>
      <c r="AL45" s="3182">
        <v>43008</v>
      </c>
      <c r="AM45" s="3202" t="s">
        <v>4247</v>
      </c>
      <c r="AN45" s="3194"/>
      <c r="AO45" s="3200"/>
      <c r="AP45" s="3200"/>
      <c r="AQ45" s="3200">
        <v>45</v>
      </c>
      <c r="AR45" s="3195">
        <v>42125</v>
      </c>
      <c r="AS45" s="3182">
        <v>43008</v>
      </c>
      <c r="AT45" s="3203" t="s">
        <v>4247</v>
      </c>
      <c r="AU45" s="3193">
        <v>17074.89</v>
      </c>
      <c r="AV45" s="3193">
        <v>7560</v>
      </c>
    </row>
    <row r="46" spans="1:137" s="3168" customFormat="1" ht="30" customHeight="1">
      <c r="A46" s="3190">
        <v>41</v>
      </c>
      <c r="B46" s="3195">
        <v>42992</v>
      </c>
      <c r="C46" s="3196">
        <v>42992</v>
      </c>
      <c r="D46" s="3181" t="s">
        <v>4248</v>
      </c>
      <c r="E46" s="3197" t="s">
        <v>4137</v>
      </c>
      <c r="F46" s="3198">
        <v>500698</v>
      </c>
      <c r="G46" s="3198" t="s">
        <v>4249</v>
      </c>
      <c r="H46" s="3181" t="s">
        <v>4019</v>
      </c>
      <c r="I46" s="3197" t="s">
        <v>4250</v>
      </c>
      <c r="J46" s="3198" t="s">
        <v>4249</v>
      </c>
      <c r="K46" s="3197" t="s">
        <v>4251</v>
      </c>
      <c r="L46" s="3197" t="s">
        <v>4011</v>
      </c>
      <c r="M46" s="3197" t="s">
        <v>4134</v>
      </c>
      <c r="N46" s="3197" t="s">
        <v>4252</v>
      </c>
      <c r="O46" s="3199">
        <v>868</v>
      </c>
      <c r="P46" s="3200">
        <v>150000</v>
      </c>
      <c r="Q46" s="3196">
        <v>42992</v>
      </c>
      <c r="R46" s="3200">
        <v>150000</v>
      </c>
      <c r="S46" s="3196">
        <v>43007</v>
      </c>
      <c r="T46" s="3196">
        <v>43098</v>
      </c>
      <c r="U46" s="3196">
        <v>43007</v>
      </c>
      <c r="V46" s="3196">
        <v>45197</v>
      </c>
      <c r="W46" s="3197" t="s">
        <v>4253</v>
      </c>
      <c r="X46" s="3181"/>
      <c r="Y46" s="3181"/>
      <c r="Z46" s="3292">
        <f>ROUND(AA46*O46*365/10000,2)</f>
        <v>6.34</v>
      </c>
      <c r="AA46" s="3201">
        <v>0.2</v>
      </c>
      <c r="AB46" s="3200"/>
      <c r="AC46" s="3201">
        <v>0.2</v>
      </c>
      <c r="AD46" s="3200"/>
      <c r="AE46" s="3200">
        <v>0.3</v>
      </c>
      <c r="AF46" s="3194"/>
      <c r="AG46" s="3200">
        <v>0.6</v>
      </c>
      <c r="AH46" s="3194"/>
      <c r="AI46" s="3200"/>
      <c r="AJ46" s="3194"/>
      <c r="AK46" s="3195">
        <v>43098</v>
      </c>
      <c r="AL46" s="3182">
        <v>43187</v>
      </c>
      <c r="AM46" s="3202" t="s">
        <v>4247</v>
      </c>
      <c r="AN46" s="3194"/>
      <c r="AO46" s="3200"/>
      <c r="AP46" s="3200">
        <v>1.5</v>
      </c>
      <c r="AQ46" s="3200"/>
      <c r="AR46" s="3195">
        <v>43098</v>
      </c>
      <c r="AS46" s="3182">
        <v>43187</v>
      </c>
      <c r="AT46" s="3203" t="s">
        <v>4247</v>
      </c>
      <c r="AU46" s="3193">
        <v>520.79999999999995</v>
      </c>
      <c r="AV46" s="3193">
        <v>3906</v>
      </c>
    </row>
    <row r="47" spans="1:137" s="3168" customFormat="1" ht="30" customHeight="1">
      <c r="A47" s="3190">
        <v>42</v>
      </c>
      <c r="B47" s="3182">
        <v>42639</v>
      </c>
      <c r="C47" s="3189">
        <v>42639</v>
      </c>
      <c r="D47" s="3183" t="s">
        <v>4254</v>
      </c>
      <c r="E47" s="3184" t="s">
        <v>4024</v>
      </c>
      <c r="F47" s="3185">
        <v>500620</v>
      </c>
      <c r="G47" s="3185" t="s">
        <v>4255</v>
      </c>
      <c r="H47" s="3183" t="s">
        <v>3993</v>
      </c>
      <c r="I47" s="3184" t="s">
        <v>4256</v>
      </c>
      <c r="J47" s="3185" t="s">
        <v>4255</v>
      </c>
      <c r="K47" s="3184" t="s">
        <v>4257</v>
      </c>
      <c r="L47" s="3184" t="s">
        <v>3996</v>
      </c>
      <c r="M47" s="3184" t="s">
        <v>4065</v>
      </c>
      <c r="N47" s="3184" t="s">
        <v>4258</v>
      </c>
      <c r="O47" s="3187">
        <v>88</v>
      </c>
      <c r="P47" s="3188">
        <v>13464</v>
      </c>
      <c r="Q47" s="3189">
        <v>42669</v>
      </c>
      <c r="R47" s="3188">
        <v>13464</v>
      </c>
      <c r="S47" s="3189">
        <v>42658</v>
      </c>
      <c r="T47" s="3189">
        <v>42733</v>
      </c>
      <c r="U47" s="3189">
        <v>42658</v>
      </c>
      <c r="V47" s="3275">
        <v>43387</v>
      </c>
      <c r="W47" s="3184" t="s">
        <v>4098</v>
      </c>
      <c r="X47" s="3183"/>
      <c r="Y47" s="3183"/>
      <c r="Z47" s="3289">
        <f>ROUND(AD47*O47*12/10000,2)</f>
        <v>16.16</v>
      </c>
      <c r="AA47" s="3186"/>
      <c r="AB47" s="3188">
        <v>153</v>
      </c>
      <c r="AC47" s="3188"/>
      <c r="AD47" s="3188">
        <v>153</v>
      </c>
      <c r="AE47" s="3188"/>
      <c r="AF47" s="3190"/>
      <c r="AG47" s="3188"/>
      <c r="AH47" s="3190"/>
      <c r="AI47" s="3188"/>
      <c r="AJ47" s="3190"/>
      <c r="AK47" s="3189">
        <v>42733</v>
      </c>
      <c r="AL47" s="3276">
        <v>43006</v>
      </c>
      <c r="AM47" s="3191" t="s">
        <v>4000</v>
      </c>
      <c r="AN47" s="3190">
        <v>2640</v>
      </c>
      <c r="AO47" s="3188">
        <v>3960</v>
      </c>
      <c r="AP47" s="3188"/>
      <c r="AQ47" s="3188">
        <v>30</v>
      </c>
      <c r="AR47" s="3182">
        <v>42703</v>
      </c>
      <c r="AS47" s="3182">
        <v>42914</v>
      </c>
      <c r="AT47" s="3192" t="s">
        <v>4000</v>
      </c>
      <c r="AU47" s="3193">
        <v>119890.55</v>
      </c>
      <c r="AV47" s="3193">
        <v>23487</v>
      </c>
    </row>
    <row r="48" spans="1:137" s="3277" customFormat="1" ht="30" customHeight="1">
      <c r="A48" s="3181">
        <v>43</v>
      </c>
      <c r="B48" s="3223">
        <v>42726</v>
      </c>
      <c r="C48" s="3223">
        <v>42733</v>
      </c>
      <c r="D48" s="3225" t="s">
        <v>4259</v>
      </c>
      <c r="E48" s="3211" t="s">
        <v>4260</v>
      </c>
      <c r="F48" s="3226">
        <v>500638</v>
      </c>
      <c r="G48" s="3226" t="s">
        <v>4261</v>
      </c>
      <c r="H48" s="3225" t="s">
        <v>3993</v>
      </c>
      <c r="I48" s="3211" t="s">
        <v>4262</v>
      </c>
      <c r="J48" s="3226" t="s">
        <v>4261</v>
      </c>
      <c r="K48" s="3211" t="s">
        <v>4263</v>
      </c>
      <c r="L48" s="3211" t="s">
        <v>3996</v>
      </c>
      <c r="M48" s="3211" t="s">
        <v>4065</v>
      </c>
      <c r="N48" s="3211" t="s">
        <v>4264</v>
      </c>
      <c r="O48" s="3227">
        <v>932</v>
      </c>
      <c r="P48" s="3228">
        <v>27831</v>
      </c>
      <c r="Q48" s="3224">
        <v>41592</v>
      </c>
      <c r="R48" s="3228">
        <v>27831</v>
      </c>
      <c r="S48" s="3224" t="s">
        <v>4265</v>
      </c>
      <c r="T48" s="3224">
        <v>42767</v>
      </c>
      <c r="U48" s="3224">
        <v>42736</v>
      </c>
      <c r="V48" s="3224">
        <v>44926</v>
      </c>
      <c r="W48" s="3211" t="s">
        <v>4266</v>
      </c>
      <c r="X48" s="3225"/>
      <c r="Y48" s="3225"/>
      <c r="Z48" s="3289">
        <f t="shared" si="0"/>
        <v>40.82</v>
      </c>
      <c r="AA48" s="3231"/>
      <c r="AB48" s="3228">
        <v>36.5</v>
      </c>
      <c r="AC48" s="3228"/>
      <c r="AD48" s="3228">
        <v>36.5</v>
      </c>
      <c r="AE48" s="3228"/>
      <c r="AF48" s="3233">
        <v>38.33</v>
      </c>
      <c r="AG48" s="3228"/>
      <c r="AH48" s="3233">
        <v>40.24</v>
      </c>
      <c r="AI48" s="3228"/>
      <c r="AJ48" s="3233"/>
      <c r="AK48" s="3223">
        <v>42767</v>
      </c>
      <c r="AL48" s="3195">
        <v>43008</v>
      </c>
      <c r="AM48" s="3232" t="s">
        <v>4000</v>
      </c>
      <c r="AN48" s="3233"/>
      <c r="AO48" s="3228"/>
      <c r="AP48" s="3228" t="s">
        <v>4267</v>
      </c>
      <c r="AQ48" s="3228"/>
      <c r="AR48" s="3223"/>
      <c r="AS48" s="3223"/>
      <c r="AT48" s="3234" t="s">
        <v>4000</v>
      </c>
      <c r="AU48" s="3193">
        <v>272144</v>
      </c>
      <c r="AV48" s="3193">
        <v>0</v>
      </c>
    </row>
    <row r="49" spans="2:48" s="3173" customFormat="1" ht="15.75">
      <c r="B49" s="3278"/>
      <c r="C49" s="3278"/>
      <c r="O49" s="3279">
        <v>19813.400000000001</v>
      </c>
      <c r="P49" s="3278"/>
      <c r="Q49" s="3278"/>
      <c r="R49" s="3278"/>
      <c r="S49" s="3278"/>
      <c r="T49" s="3278"/>
      <c r="U49" s="3278"/>
      <c r="V49" s="3278"/>
      <c r="W49" s="3278"/>
      <c r="X49" s="3278"/>
      <c r="Y49" s="3278"/>
      <c r="Z49" s="3290">
        <f>SUM(Z6:Z48)</f>
        <v>872.79000000000008</v>
      </c>
      <c r="AA49" s="3278"/>
      <c r="AB49" s="3278"/>
      <c r="AC49" s="3278"/>
      <c r="AD49" s="3278"/>
      <c r="AE49" s="3278"/>
      <c r="AF49" s="3278"/>
      <c r="AG49" s="3278"/>
      <c r="AH49" s="3278"/>
      <c r="AI49" s="3278"/>
      <c r="AJ49" s="3278"/>
      <c r="AK49" s="3278"/>
      <c r="AL49" s="3278"/>
      <c r="AM49" s="3278"/>
      <c r="AN49" s="3278"/>
      <c r="AO49" s="3278"/>
      <c r="AP49" s="3278"/>
      <c r="AQ49" s="3278"/>
      <c r="AR49" s="3278"/>
      <c r="AS49" s="3278"/>
      <c r="AT49" s="3278"/>
      <c r="AU49" s="3280">
        <f>SUM(AU6:AU48)</f>
        <v>6915351.5945161274</v>
      </c>
      <c r="AV49" s="3280"/>
    </row>
    <row r="50" spans="2:48" ht="30" customHeight="1">
      <c r="N50" s="3281" t="s">
        <v>4272</v>
      </c>
      <c r="O50" s="3281">
        <f>ROUND(Z49*10000/O51/365,1)</f>
        <v>1.2</v>
      </c>
      <c r="AU50" s="3284">
        <f>ROUND(AU49/O49/365,1)</f>
        <v>1</v>
      </c>
    </row>
    <row r="51" spans="2:48" ht="30" customHeight="1">
      <c r="O51" s="3281">
        <f>SUM(O6:O48)</f>
        <v>19798.400000000001</v>
      </c>
    </row>
    <row r="52" spans="2:48" ht="30" customHeight="1">
      <c r="O52" s="3281" t="s">
        <v>4287</v>
      </c>
      <c r="U52" s="3281" t="s">
        <v>4288</v>
      </c>
      <c r="V52" s="3281" t="s">
        <v>4289</v>
      </c>
    </row>
    <row r="53" spans="2:48" ht="30" customHeight="1">
      <c r="N53" s="3281">
        <v>-1</v>
      </c>
      <c r="O53" s="3281">
        <f>SUM(O6:O17)</f>
        <v>618</v>
      </c>
      <c r="U53" s="3682">
        <f>ROUND(O53/面积分摊表!I63,2)</f>
        <v>1343.48</v>
      </c>
      <c r="V53" s="3682">
        <f>面积分摊表!M60-租赁情况!U53</f>
        <v>2586.9499999999998</v>
      </c>
      <c r="W53" s="3283">
        <v>0.5</v>
      </c>
    </row>
    <row r="54" spans="2:48" ht="30" customHeight="1">
      <c r="N54" s="3281">
        <v>-2</v>
      </c>
      <c r="O54" s="3281">
        <f>O51-O53</f>
        <v>19180.400000000001</v>
      </c>
      <c r="U54" s="3682">
        <f>ROUND(面积分摊表!M61,2)</f>
        <v>38465.24</v>
      </c>
      <c r="V54" s="3682">
        <f>面积分摊表!M61-租赁情况!U54</f>
        <v>0</v>
      </c>
      <c r="W54" s="3283">
        <v>0.3</v>
      </c>
    </row>
    <row r="55" spans="2:48" ht="30" customHeight="1">
      <c r="U55" s="3682">
        <f>SUM(U53:U54)</f>
        <v>39808.720000000001</v>
      </c>
      <c r="V55" s="3682">
        <f>SUM(V53:V54)</f>
        <v>2586.9499999999998</v>
      </c>
    </row>
    <row r="56" spans="2:48" ht="30" customHeight="1">
      <c r="U56" s="3683">
        <f>ROUND(Z49/U55*10000/365,2)</f>
        <v>0.6</v>
      </c>
      <c r="V56" s="3281">
        <f>ROUND(4.5*0.3,2)</f>
        <v>1.35</v>
      </c>
      <c r="W56" s="3283">
        <f>ROUND((U53*W53+U54*W54)/U55,2)</f>
        <v>0.31</v>
      </c>
    </row>
    <row r="57" spans="2:48" ht="30" customHeight="1">
      <c r="W57" s="3283">
        <f>ROUND(4.5*W56,2)</f>
        <v>1.4</v>
      </c>
    </row>
    <row r="215" spans="19:26" s="3281" customFormat="1" ht="18">
      <c r="S215" s="3281" t="e">
        <v>#REF!</v>
      </c>
      <c r="Z215" s="3291"/>
    </row>
  </sheetData>
  <mergeCells count="49">
    <mergeCell ref="L3:L5"/>
    <mergeCell ref="A3:A5"/>
    <mergeCell ref="B3:B5"/>
    <mergeCell ref="C3:C5"/>
    <mergeCell ref="D3:D5"/>
    <mergeCell ref="E3:E5"/>
    <mergeCell ref="F3:F5"/>
    <mergeCell ref="G3:G5"/>
    <mergeCell ref="H3:H5"/>
    <mergeCell ref="I3:I5"/>
    <mergeCell ref="J3:J5"/>
    <mergeCell ref="K3:K5"/>
    <mergeCell ref="M3:M5"/>
    <mergeCell ref="N3:N5"/>
    <mergeCell ref="O3:O5"/>
    <mergeCell ref="P3:R3"/>
    <mergeCell ref="S3:S5"/>
    <mergeCell ref="P4:P5"/>
    <mergeCell ref="Q4:Q5"/>
    <mergeCell ref="R4:R5"/>
    <mergeCell ref="U4:U5"/>
    <mergeCell ref="V4:V5"/>
    <mergeCell ref="T3:T5"/>
    <mergeCell ref="U3:W3"/>
    <mergeCell ref="X3:AJ3"/>
    <mergeCell ref="AK3:AM3"/>
    <mergeCell ref="AN3:AT3"/>
    <mergeCell ref="AU3:AV3"/>
    <mergeCell ref="AM4:AM5"/>
    <mergeCell ref="W4:W5"/>
    <mergeCell ref="X4:X5"/>
    <mergeCell ref="Y4:Y5"/>
    <mergeCell ref="Z4:Z5"/>
    <mergeCell ref="AA4:AB4"/>
    <mergeCell ref="AC4:AD4"/>
    <mergeCell ref="AE4:AF4"/>
    <mergeCell ref="AG4:AH4"/>
    <mergeCell ref="AI4:AJ4"/>
    <mergeCell ref="AK4:AK5"/>
    <mergeCell ref="AL4:AL5"/>
    <mergeCell ref="AT4:AT5"/>
    <mergeCell ref="AU4:AU5"/>
    <mergeCell ref="AV4:AV5"/>
    <mergeCell ref="AN4:AN5"/>
    <mergeCell ref="AO4:AO5"/>
    <mergeCell ref="AP4:AP5"/>
    <mergeCell ref="AQ4:AQ5"/>
    <mergeCell ref="AR4:AR5"/>
    <mergeCell ref="AS4:AS5"/>
  </mergeCells>
  <phoneticPr fontId="143" type="noConversion"/>
  <dataValidations disablePrompts="1" count="2">
    <dataValidation type="list" allowBlank="1" showInputMessage="1" showErrorMessage="1" sqref="AT7:AT8 AT10">
      <formula1>$B$6:$B$9</formula1>
    </dataValidation>
    <dataValidation type="list" allowBlank="1" showInputMessage="1" showErrorMessage="1" sqref="AT26 AT18 AT37 AT34 AT43 AT45:AT46">
      <formula1>$B$24:$B$43</formula1>
    </dataValidation>
  </dataValidations>
  <hyperlinks>
    <hyperlink ref="E1" location="汇总!A1" display="汇总"/>
  </hyperlinks>
  <pageMargins left="0.75" right="0.75" top="1" bottom="1" header="0.5" footer="0.5"/>
  <pageSetup paperSize="9" orientation="portrait" horizontalDpi="4294967292" verticalDpi="4294967292"/>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9"/>
  <sheetViews>
    <sheetView workbookViewId="0">
      <pane xSplit="7" ySplit="5" topLeftCell="J47" activePane="bottomRight" state="frozen"/>
      <selection pane="topRight" activeCell="H1" sqref="H1"/>
      <selection pane="bottomLeft" activeCell="A6" sqref="A6"/>
      <selection pane="bottomRight" activeCell="AA50" sqref="AA50"/>
    </sheetView>
  </sheetViews>
  <sheetFormatPr defaultColWidth="7.875" defaultRowHeight="15.75"/>
  <cols>
    <col min="1" max="1" width="3.875" style="3063" customWidth="1"/>
    <col min="2" max="2" width="5.5" style="3063" customWidth="1"/>
    <col min="3" max="3" width="10.75" style="3063" customWidth="1"/>
    <col min="4" max="4" width="8.875" style="3091" customWidth="1"/>
    <col min="5" max="5" width="8.75" style="3091" customWidth="1"/>
    <col min="6" max="6" width="6.625" style="3063" customWidth="1"/>
    <col min="7" max="7" width="10.5" style="3063" customWidth="1"/>
    <col min="8" max="8" width="12.5" style="3092" hidden="1" customWidth="1"/>
    <col min="9" max="9" width="7.875" style="3092" hidden="1" customWidth="1"/>
    <col min="10" max="10" width="10.5" style="3093" customWidth="1"/>
    <col min="11" max="11" width="12.125" style="3093" customWidth="1"/>
    <col min="12" max="12" width="5.75" style="3063" customWidth="1"/>
    <col min="13" max="13" width="6.375" style="3094" customWidth="1"/>
    <col min="14" max="14" width="5.875" style="3094" customWidth="1"/>
    <col min="15" max="15" width="10.125" style="3094" customWidth="1"/>
    <col min="16" max="16" width="8.625" style="3094" hidden="1" customWidth="1"/>
    <col min="17" max="17" width="11.25" style="3092" hidden="1" customWidth="1"/>
    <col min="18" max="18" width="11.125" style="3092" hidden="1" customWidth="1"/>
    <col min="19" max="19" width="10.625" style="3092" hidden="1" customWidth="1"/>
    <col min="20" max="20" width="11.125" style="3096" hidden="1" customWidth="1"/>
    <col min="21" max="21" width="10.125" style="3063" hidden="1" customWidth="1"/>
    <col min="22" max="22" width="12.125" style="3063" hidden="1" customWidth="1"/>
    <col min="23" max="23" width="7.75" style="3097" hidden="1" customWidth="1"/>
    <col min="24" max="24" width="8.125" style="3091" hidden="1" customWidth="1"/>
    <col min="25" max="25" width="9.125" style="3097" hidden="1" customWidth="1"/>
    <col min="26" max="26" width="9.5" style="3091" customWidth="1"/>
    <col min="27" max="27" width="10.875" style="3108" bestFit="1" customWidth="1"/>
    <col min="28" max="28" width="7.25" style="3091" hidden="1" customWidth="1"/>
    <col min="29" max="30" width="11.5" style="3096" hidden="1" customWidth="1"/>
    <col min="31" max="31" width="11.75" style="3140" customWidth="1"/>
    <col min="32" max="32" width="5.5" style="3091" customWidth="1"/>
    <col min="33" max="33" width="8.25" style="3091" customWidth="1"/>
    <col min="34" max="34" width="5.875" style="3092" customWidth="1"/>
    <col min="35" max="35" width="7.125" style="3063" customWidth="1"/>
    <col min="36" max="36" width="7.5" style="3063" customWidth="1"/>
    <col min="37" max="37" width="8" style="3097" customWidth="1"/>
    <col min="38" max="41" width="7.75" style="3097" bestFit="1" customWidth="1"/>
    <col min="42" max="43" width="12.25" style="3097" customWidth="1"/>
    <col min="44" max="44" width="10.25" style="3097" customWidth="1"/>
    <col min="45" max="45" width="9.25" style="3097" customWidth="1"/>
    <col min="46" max="46" width="11" style="3097" customWidth="1"/>
    <col min="47" max="47" width="8.375" style="3097" customWidth="1"/>
    <col min="48" max="48" width="9.5" style="3097" customWidth="1"/>
    <col min="49" max="49" width="13.25" style="3097" customWidth="1"/>
    <col min="50" max="50" width="13" style="3097" customWidth="1"/>
    <col min="51" max="53" width="10.875" style="3097" customWidth="1"/>
    <col min="54" max="54" width="10.5" style="3092" customWidth="1"/>
    <col min="55" max="55" width="6.375" style="3092" customWidth="1"/>
    <col min="56" max="56" width="6.25" style="3091" customWidth="1"/>
    <col min="57" max="57" width="9.875" style="3091" customWidth="1"/>
    <col min="58" max="58" width="10.75" style="3096" customWidth="1"/>
    <col min="59" max="59" width="9.5" style="3096" customWidth="1"/>
    <col min="60" max="61" width="11" style="3097" customWidth="1"/>
    <col min="62" max="63" width="11" style="3096" customWidth="1"/>
    <col min="64" max="64" width="10.625" style="3096" customWidth="1"/>
    <col min="65" max="65" width="11.875" style="3098" bestFit="1" customWidth="1"/>
    <col min="66" max="66" width="9.75" style="3098" bestFit="1" customWidth="1"/>
    <col min="67" max="67" width="11.875" style="3098" bestFit="1" customWidth="1"/>
    <col min="68" max="68" width="9.75" style="3098" bestFit="1" customWidth="1"/>
    <col min="69" max="69" width="11.875" style="3099" bestFit="1" customWidth="1"/>
    <col min="70" max="70" width="9.75" style="3099" bestFit="1" customWidth="1"/>
    <col min="71" max="71" width="11.375" style="3099" bestFit="1" customWidth="1"/>
    <col min="72" max="72" width="9.75" style="3099" bestFit="1" customWidth="1"/>
    <col min="73" max="73" width="11.375" style="3097" bestFit="1" customWidth="1"/>
    <col min="74" max="74" width="9.75" style="3063" bestFit="1" customWidth="1"/>
    <col min="75" max="75" width="11.375" style="3063" bestFit="1" customWidth="1"/>
    <col min="76" max="76" width="9.75" style="3063" bestFit="1" customWidth="1"/>
    <col min="77" max="77" width="11.375" style="3063" bestFit="1" customWidth="1"/>
    <col min="78" max="78" width="9.75" style="3063" bestFit="1" customWidth="1"/>
    <col min="79" max="79" width="11.375" style="3063" bestFit="1" customWidth="1"/>
    <col min="80" max="80" width="9.75" style="3063" bestFit="1" customWidth="1"/>
    <col min="81" max="81" width="10.25" style="3063" bestFit="1" customWidth="1"/>
    <col min="82" max="82" width="9.625" style="3063" customWidth="1"/>
    <col min="83" max="83" width="10.375" style="3063" customWidth="1"/>
    <col min="84" max="84" width="9.25" style="3063" customWidth="1"/>
    <col min="85" max="85" width="10" style="3063" customWidth="1"/>
    <col min="86" max="86" width="9.75" style="3063" customWidth="1"/>
    <col min="87" max="87" width="9.125" style="3063" customWidth="1"/>
    <col min="88" max="112" width="9.5" style="3063" customWidth="1"/>
    <col min="113" max="113" width="15.5" style="3063" bestFit="1" customWidth="1"/>
    <col min="114" max="114" width="13.25" style="3063" bestFit="1" customWidth="1"/>
    <col min="115" max="115" width="13.5" style="3063" customWidth="1"/>
    <col min="116" max="116" width="12.5" style="3063" bestFit="1" customWidth="1"/>
    <col min="117" max="117" width="10.625" style="3063" bestFit="1" customWidth="1"/>
    <col min="118" max="118" width="11.375" style="3063" bestFit="1" customWidth="1"/>
    <col min="119" max="119" width="11.75" style="3063" bestFit="1" customWidth="1"/>
    <col min="120" max="120" width="11.375" style="3063" bestFit="1" customWidth="1"/>
    <col min="121" max="121" width="9.375" style="3063" bestFit="1" customWidth="1"/>
    <col min="122" max="122" width="11.375" style="3063" bestFit="1" customWidth="1"/>
    <col min="123" max="123" width="10.25" style="3063" bestFit="1" customWidth="1"/>
    <col min="124" max="124" width="9.375" style="3063" bestFit="1" customWidth="1"/>
    <col min="125" max="125" width="11.375" style="3063" bestFit="1" customWidth="1"/>
    <col min="126" max="126" width="10.25" style="3063" bestFit="1" customWidth="1"/>
    <col min="127" max="127" width="10.125" style="3063" bestFit="1" customWidth="1"/>
    <col min="128" max="128" width="10.375" style="3063" bestFit="1" customWidth="1"/>
    <col min="129" max="129" width="8.375" style="3063" bestFit="1" customWidth="1"/>
    <col min="130" max="130" width="9.125" style="3063" bestFit="1" customWidth="1"/>
    <col min="131" max="131" width="10" style="3063" customWidth="1"/>
    <col min="132" max="132" width="8.375" style="3063" bestFit="1" customWidth="1"/>
    <col min="133" max="133" width="7.875" style="3063"/>
    <col min="134" max="134" width="9.25" style="3063" customWidth="1"/>
    <col min="135" max="135" width="8.375" style="3063" bestFit="1" customWidth="1"/>
    <col min="136" max="136" width="7.875" style="3063"/>
    <col min="137" max="137" width="8.625" style="3063" customWidth="1"/>
    <col min="138" max="138" width="10.125" style="3063" bestFit="1" customWidth="1"/>
    <col min="139" max="139" width="7.875" style="3063"/>
    <col min="140" max="140" width="10.125" style="3063" bestFit="1" customWidth="1"/>
    <col min="141" max="141" width="8.25" style="3063" bestFit="1" customWidth="1"/>
    <col min="142" max="142" width="7.875" style="3063"/>
    <col min="143" max="143" width="10.125" style="3063" bestFit="1" customWidth="1"/>
    <col min="144" max="144" width="8.25" style="3063" bestFit="1" customWidth="1"/>
    <col min="145" max="145" width="7.875" style="3063"/>
    <col min="146" max="146" width="10.125" style="3063" bestFit="1" customWidth="1"/>
    <col min="147" max="147" width="8.25" style="3063" bestFit="1" customWidth="1"/>
    <col min="148" max="148" width="7.875" style="3063"/>
    <col min="149" max="149" width="10.125" style="3063" bestFit="1" customWidth="1"/>
    <col min="150" max="151" width="8.25" style="3063" bestFit="1" customWidth="1"/>
    <col min="152" max="152" width="10.125" style="3063" bestFit="1" customWidth="1"/>
    <col min="153" max="153" width="8.25" style="3063" bestFit="1" customWidth="1"/>
    <col min="154" max="154" width="7.875" style="3063"/>
    <col min="155" max="155" width="10.125" style="3063" bestFit="1" customWidth="1"/>
    <col min="156" max="156" width="9.125" style="3063" bestFit="1" customWidth="1"/>
    <col min="157" max="157" width="7.875" style="3063"/>
    <col min="158" max="158" width="10.125" style="3063" bestFit="1" customWidth="1"/>
    <col min="159" max="159" width="9.125" style="3063" bestFit="1" customWidth="1"/>
    <col min="160" max="160" width="7.875" style="3063"/>
    <col min="161" max="161" width="10.125" style="3063" bestFit="1" customWidth="1"/>
    <col min="162" max="162" width="9.125" style="3063" bestFit="1" customWidth="1"/>
    <col min="163" max="163" width="7.875" style="3063"/>
    <col min="164" max="164" width="10.125" style="3063" bestFit="1" customWidth="1"/>
    <col min="165" max="165" width="9.125" style="3063" bestFit="1" customWidth="1"/>
    <col min="166" max="166" width="7.875" style="3063"/>
    <col min="167" max="167" width="10.125" style="3063" bestFit="1" customWidth="1"/>
    <col min="168" max="168" width="9.125" style="3063" bestFit="1" customWidth="1"/>
    <col min="169" max="169" width="7.875" style="3063"/>
    <col min="170" max="170" width="10.125" style="3063" bestFit="1" customWidth="1"/>
    <col min="171" max="172" width="8.25" style="3063" bestFit="1" customWidth="1"/>
    <col min="173" max="173" width="9.125" style="3063" bestFit="1" customWidth="1"/>
    <col min="174" max="174" width="8.25" style="3063" bestFit="1" customWidth="1"/>
    <col min="175" max="175" width="7.875" style="3063"/>
    <col min="176" max="176" width="9.125" style="3063" bestFit="1" customWidth="1"/>
    <col min="177" max="177" width="8.25" style="3063" bestFit="1" customWidth="1"/>
    <col min="178" max="178" width="7.875" style="3063"/>
    <col min="179" max="179" width="9.125" style="3063" bestFit="1" customWidth="1"/>
    <col min="180" max="180" width="8.25" style="3063" bestFit="1" customWidth="1"/>
    <col min="181" max="181" width="7.875" style="3063"/>
    <col min="182" max="183" width="8.25" style="3063" bestFit="1" customWidth="1"/>
    <col min="184" max="184" width="7.875" style="3063"/>
    <col min="185" max="186" width="8.25" style="3063" bestFit="1" customWidth="1"/>
    <col min="187" max="187" width="7.875" style="3063"/>
    <col min="188" max="188" width="9.875" style="3063" bestFit="1" customWidth="1"/>
    <col min="189" max="189" width="11.125" style="3063" bestFit="1" customWidth="1"/>
    <col min="190" max="190" width="9.125" style="3063" bestFit="1" customWidth="1"/>
    <col min="191" max="191" width="9.875" style="3063" bestFit="1" customWidth="1"/>
    <col min="192" max="192" width="11.125" style="3063" bestFit="1" customWidth="1"/>
    <col min="193" max="193" width="7.875" style="3063"/>
    <col min="194" max="194" width="9" style="3063" customWidth="1"/>
    <col min="195" max="195" width="8.625" style="3063" customWidth="1"/>
    <col min="196" max="256" width="7.875" style="3063"/>
    <col min="257" max="257" width="3.875" style="3063" customWidth="1"/>
    <col min="258" max="258" width="10.375" style="3063" customWidth="1"/>
    <col min="259" max="259" width="10.75" style="3063" customWidth="1"/>
    <col min="260" max="260" width="11.625" style="3063" customWidth="1"/>
    <col min="261" max="261" width="10" style="3063" customWidth="1"/>
    <col min="262" max="262" width="9.375" style="3063" customWidth="1"/>
    <col min="263" max="263" width="10.5" style="3063" customWidth="1"/>
    <col min="264" max="264" width="12.5" style="3063" customWidth="1"/>
    <col min="265" max="265" width="11.75" style="3063" customWidth="1"/>
    <col min="266" max="266" width="10.5" style="3063" customWidth="1"/>
    <col min="267" max="267" width="12.125" style="3063" customWidth="1"/>
    <col min="268" max="268" width="9.75" style="3063" customWidth="1"/>
    <col min="269" max="269" width="10" style="3063" customWidth="1"/>
    <col min="270" max="270" width="12.25" style="3063" customWidth="1"/>
    <col min="271" max="271" width="9.75" style="3063" customWidth="1"/>
    <col min="272" max="272" width="8.625" style="3063" customWidth="1"/>
    <col min="273" max="273" width="11.25" style="3063" customWidth="1"/>
    <col min="274" max="274" width="11.125" style="3063" customWidth="1"/>
    <col min="275" max="275" width="10.625" style="3063" customWidth="1"/>
    <col min="276" max="276" width="11.125" style="3063" customWidth="1"/>
    <col min="277" max="277" width="10.125" style="3063" customWidth="1"/>
    <col min="278" max="278" width="12.125" style="3063" customWidth="1"/>
    <col min="279" max="279" width="7.75" style="3063" customWidth="1"/>
    <col min="280" max="280" width="8.125" style="3063" customWidth="1"/>
    <col min="281" max="283" width="10.875" style="3063" bestFit="1" customWidth="1"/>
    <col min="284" max="286" width="11.5" style="3063" customWidth="1"/>
    <col min="287" max="287" width="11.75" style="3063" customWidth="1"/>
    <col min="288" max="288" width="7.75" style="3063" bestFit="1" customWidth="1"/>
    <col min="289" max="289" width="11.5" style="3063" bestFit="1" customWidth="1"/>
    <col min="290" max="290" width="7.75" style="3063" bestFit="1" customWidth="1"/>
    <col min="291" max="291" width="8.75" style="3063" customWidth="1"/>
    <col min="292" max="292" width="9.875" style="3063" bestFit="1" customWidth="1"/>
    <col min="293" max="293" width="8" style="3063" customWidth="1"/>
    <col min="294" max="297" width="7.75" style="3063" bestFit="1" customWidth="1"/>
    <col min="298" max="299" width="12.25" style="3063" customWidth="1"/>
    <col min="300" max="300" width="10.25" style="3063" customWidth="1"/>
    <col min="301" max="301" width="9.25" style="3063" customWidth="1"/>
    <col min="302" max="302" width="11" style="3063" customWidth="1"/>
    <col min="303" max="303" width="8.375" style="3063" customWidth="1"/>
    <col min="304" max="304" width="9.5" style="3063" customWidth="1"/>
    <col min="305" max="305" width="13.25" style="3063" customWidth="1"/>
    <col min="306" max="306" width="13" style="3063" customWidth="1"/>
    <col min="307" max="309" width="10.875" style="3063" customWidth="1"/>
    <col min="310" max="310" width="10.5" style="3063" customWidth="1"/>
    <col min="311" max="311" width="6.375" style="3063" customWidth="1"/>
    <col min="312" max="312" width="6.25" style="3063" customWidth="1"/>
    <col min="313" max="313" width="9.875" style="3063" customWidth="1"/>
    <col min="314" max="314" width="10.75" style="3063" customWidth="1"/>
    <col min="315" max="315" width="9.5" style="3063" customWidth="1"/>
    <col min="316" max="319" width="11" style="3063" customWidth="1"/>
    <col min="320" max="320" width="10.625" style="3063" customWidth="1"/>
    <col min="321" max="321" width="11.875" style="3063" bestFit="1" customWidth="1"/>
    <col min="322" max="322" width="9.75" style="3063" bestFit="1" customWidth="1"/>
    <col min="323" max="323" width="11.875" style="3063" bestFit="1" customWidth="1"/>
    <col min="324" max="324" width="9.75" style="3063" bestFit="1" customWidth="1"/>
    <col min="325" max="325" width="11.875" style="3063" bestFit="1" customWidth="1"/>
    <col min="326" max="326" width="9.75" style="3063" bestFit="1" customWidth="1"/>
    <col min="327" max="327" width="11.375" style="3063" bestFit="1" customWidth="1"/>
    <col min="328" max="328" width="9.75" style="3063" bestFit="1" customWidth="1"/>
    <col min="329" max="329" width="11.375" style="3063" bestFit="1" customWidth="1"/>
    <col min="330" max="330" width="9.75" style="3063" bestFit="1" customWidth="1"/>
    <col min="331" max="331" width="11.375" style="3063" bestFit="1" customWidth="1"/>
    <col min="332" max="332" width="9.75" style="3063" bestFit="1" customWidth="1"/>
    <col min="333" max="333" width="11.375" style="3063" bestFit="1" customWidth="1"/>
    <col min="334" max="334" width="9.75" style="3063" bestFit="1" customWidth="1"/>
    <col min="335" max="335" width="11.375" style="3063" bestFit="1" customWidth="1"/>
    <col min="336" max="336" width="9.75" style="3063" bestFit="1" customWidth="1"/>
    <col min="337" max="337" width="10.25" style="3063" bestFit="1" customWidth="1"/>
    <col min="338" max="338" width="9.625" style="3063" customWidth="1"/>
    <col min="339" max="339" width="10.375" style="3063" customWidth="1"/>
    <col min="340" max="340" width="9.25" style="3063" customWidth="1"/>
    <col min="341" max="341" width="10" style="3063" customWidth="1"/>
    <col min="342" max="342" width="9.75" style="3063" customWidth="1"/>
    <col min="343" max="343" width="9.125" style="3063" customWidth="1"/>
    <col min="344" max="368" width="9.5" style="3063" customWidth="1"/>
    <col min="369" max="369" width="15.5" style="3063" bestFit="1" customWidth="1"/>
    <col min="370" max="370" width="13.25" style="3063" bestFit="1" customWidth="1"/>
    <col min="371" max="371" width="13.5" style="3063" customWidth="1"/>
    <col min="372" max="372" width="12.5" style="3063" bestFit="1" customWidth="1"/>
    <col min="373" max="373" width="10.625" style="3063" bestFit="1" customWidth="1"/>
    <col min="374" max="374" width="11.375" style="3063" bestFit="1" customWidth="1"/>
    <col min="375" max="375" width="11.75" style="3063" bestFit="1" customWidth="1"/>
    <col min="376" max="376" width="11.375" style="3063" bestFit="1" customWidth="1"/>
    <col min="377" max="377" width="9.375" style="3063" bestFit="1" customWidth="1"/>
    <col min="378" max="378" width="11.375" style="3063" bestFit="1" customWidth="1"/>
    <col min="379" max="379" width="10.25" style="3063" bestFit="1" customWidth="1"/>
    <col min="380" max="380" width="9.375" style="3063" bestFit="1" customWidth="1"/>
    <col min="381" max="381" width="11.375" style="3063" bestFit="1" customWidth="1"/>
    <col min="382" max="382" width="10.25" style="3063" bestFit="1" customWidth="1"/>
    <col min="383" max="383" width="10.125" style="3063" bestFit="1" customWidth="1"/>
    <col min="384" max="384" width="10.375" style="3063" bestFit="1" customWidth="1"/>
    <col min="385" max="385" width="8.375" style="3063" bestFit="1" customWidth="1"/>
    <col min="386" max="386" width="9.125" style="3063" bestFit="1" customWidth="1"/>
    <col min="387" max="387" width="10" style="3063" customWidth="1"/>
    <col min="388" max="388" width="8.375" style="3063" bestFit="1" customWidth="1"/>
    <col min="389" max="389" width="7.875" style="3063"/>
    <col min="390" max="390" width="9.25" style="3063" customWidth="1"/>
    <col min="391" max="391" width="8.375" style="3063" bestFit="1" customWidth="1"/>
    <col min="392" max="392" width="7.875" style="3063"/>
    <col min="393" max="393" width="8.625" style="3063" customWidth="1"/>
    <col min="394" max="394" width="10.125" style="3063" bestFit="1" customWidth="1"/>
    <col min="395" max="395" width="7.875" style="3063"/>
    <col min="396" max="396" width="10.125" style="3063" bestFit="1" customWidth="1"/>
    <col min="397" max="397" width="8.25" style="3063" bestFit="1" customWidth="1"/>
    <col min="398" max="398" width="7.875" style="3063"/>
    <col min="399" max="399" width="10.125" style="3063" bestFit="1" customWidth="1"/>
    <col min="400" max="400" width="8.25" style="3063" bestFit="1" customWidth="1"/>
    <col min="401" max="401" width="7.875" style="3063"/>
    <col min="402" max="402" width="10.125" style="3063" bestFit="1" customWidth="1"/>
    <col min="403" max="403" width="8.25" style="3063" bestFit="1" customWidth="1"/>
    <col min="404" max="404" width="7.875" style="3063"/>
    <col min="405" max="405" width="10.125" style="3063" bestFit="1" customWidth="1"/>
    <col min="406" max="407" width="8.25" style="3063" bestFit="1" customWidth="1"/>
    <col min="408" max="408" width="10.125" style="3063" bestFit="1" customWidth="1"/>
    <col min="409" max="409" width="8.25" style="3063" bestFit="1" customWidth="1"/>
    <col min="410" max="410" width="7.875" style="3063"/>
    <col min="411" max="411" width="10.125" style="3063" bestFit="1" customWidth="1"/>
    <col min="412" max="412" width="9.125" style="3063" bestFit="1" customWidth="1"/>
    <col min="413" max="413" width="7.875" style="3063"/>
    <col min="414" max="414" width="10.125" style="3063" bestFit="1" customWidth="1"/>
    <col min="415" max="415" width="9.125" style="3063" bestFit="1" customWidth="1"/>
    <col min="416" max="416" width="7.875" style="3063"/>
    <col min="417" max="417" width="10.125" style="3063" bestFit="1" customWidth="1"/>
    <col min="418" max="418" width="9.125" style="3063" bestFit="1" customWidth="1"/>
    <col min="419" max="419" width="7.875" style="3063"/>
    <col min="420" max="420" width="10.125" style="3063" bestFit="1" customWidth="1"/>
    <col min="421" max="421" width="9.125" style="3063" bestFit="1" customWidth="1"/>
    <col min="422" max="422" width="7.875" style="3063"/>
    <col min="423" max="423" width="10.125" style="3063" bestFit="1" customWidth="1"/>
    <col min="424" max="424" width="9.125" style="3063" bestFit="1" customWidth="1"/>
    <col min="425" max="425" width="7.875" style="3063"/>
    <col min="426" max="426" width="10.125" style="3063" bestFit="1" customWidth="1"/>
    <col min="427" max="428" width="8.25" style="3063" bestFit="1" customWidth="1"/>
    <col min="429" max="429" width="9.125" style="3063" bestFit="1" customWidth="1"/>
    <col min="430" max="430" width="8.25" style="3063" bestFit="1" customWidth="1"/>
    <col min="431" max="431" width="7.875" style="3063"/>
    <col min="432" max="432" width="9.125" style="3063" bestFit="1" customWidth="1"/>
    <col min="433" max="433" width="8.25" style="3063" bestFit="1" customWidth="1"/>
    <col min="434" max="434" width="7.875" style="3063"/>
    <col min="435" max="435" width="9.125" style="3063" bestFit="1" customWidth="1"/>
    <col min="436" max="436" width="8.25" style="3063" bestFit="1" customWidth="1"/>
    <col min="437" max="437" width="7.875" style="3063"/>
    <col min="438" max="439" width="8.25" style="3063" bestFit="1" customWidth="1"/>
    <col min="440" max="440" width="7.875" style="3063"/>
    <col min="441" max="442" width="8.25" style="3063" bestFit="1" customWidth="1"/>
    <col min="443" max="443" width="7.875" style="3063"/>
    <col min="444" max="444" width="9.875" style="3063" bestFit="1" customWidth="1"/>
    <col min="445" max="445" width="11.125" style="3063" bestFit="1" customWidth="1"/>
    <col min="446" max="446" width="9.125" style="3063" bestFit="1" customWidth="1"/>
    <col min="447" max="447" width="9.875" style="3063" bestFit="1" customWidth="1"/>
    <col min="448" max="448" width="11.125" style="3063" bestFit="1" customWidth="1"/>
    <col min="449" max="449" width="7.875" style="3063"/>
    <col min="450" max="450" width="9" style="3063" customWidth="1"/>
    <col min="451" max="451" width="8.625" style="3063" customWidth="1"/>
    <col min="452" max="512" width="7.875" style="3063"/>
    <col min="513" max="513" width="3.875" style="3063" customWidth="1"/>
    <col min="514" max="514" width="10.375" style="3063" customWidth="1"/>
    <col min="515" max="515" width="10.75" style="3063" customWidth="1"/>
    <col min="516" max="516" width="11.625" style="3063" customWidth="1"/>
    <col min="517" max="517" width="10" style="3063" customWidth="1"/>
    <col min="518" max="518" width="9.375" style="3063" customWidth="1"/>
    <col min="519" max="519" width="10.5" style="3063" customWidth="1"/>
    <col min="520" max="520" width="12.5" style="3063" customWidth="1"/>
    <col min="521" max="521" width="11.75" style="3063" customWidth="1"/>
    <col min="522" max="522" width="10.5" style="3063" customWidth="1"/>
    <col min="523" max="523" width="12.125" style="3063" customWidth="1"/>
    <col min="524" max="524" width="9.75" style="3063" customWidth="1"/>
    <col min="525" max="525" width="10" style="3063" customWidth="1"/>
    <col min="526" max="526" width="12.25" style="3063" customWidth="1"/>
    <col min="527" max="527" width="9.75" style="3063" customWidth="1"/>
    <col min="528" max="528" width="8.625" style="3063" customWidth="1"/>
    <col min="529" max="529" width="11.25" style="3063" customWidth="1"/>
    <col min="530" max="530" width="11.125" style="3063" customWidth="1"/>
    <col min="531" max="531" width="10.625" style="3063" customWidth="1"/>
    <col min="532" max="532" width="11.125" style="3063" customWidth="1"/>
    <col min="533" max="533" width="10.125" style="3063" customWidth="1"/>
    <col min="534" max="534" width="12.125" style="3063" customWidth="1"/>
    <col min="535" max="535" width="7.75" style="3063" customWidth="1"/>
    <col min="536" max="536" width="8.125" style="3063" customWidth="1"/>
    <col min="537" max="539" width="10.875" style="3063" bestFit="1" customWidth="1"/>
    <col min="540" max="542" width="11.5" style="3063" customWidth="1"/>
    <col min="543" max="543" width="11.75" style="3063" customWidth="1"/>
    <col min="544" max="544" width="7.75" style="3063" bestFit="1" customWidth="1"/>
    <col min="545" max="545" width="11.5" style="3063" bestFit="1" customWidth="1"/>
    <col min="546" max="546" width="7.75" style="3063" bestFit="1" customWidth="1"/>
    <col min="547" max="547" width="8.75" style="3063" customWidth="1"/>
    <col min="548" max="548" width="9.875" style="3063" bestFit="1" customWidth="1"/>
    <col min="549" max="549" width="8" style="3063" customWidth="1"/>
    <col min="550" max="553" width="7.75" style="3063" bestFit="1" customWidth="1"/>
    <col min="554" max="555" width="12.25" style="3063" customWidth="1"/>
    <col min="556" max="556" width="10.25" style="3063" customWidth="1"/>
    <col min="557" max="557" width="9.25" style="3063" customWidth="1"/>
    <col min="558" max="558" width="11" style="3063" customWidth="1"/>
    <col min="559" max="559" width="8.375" style="3063" customWidth="1"/>
    <col min="560" max="560" width="9.5" style="3063" customWidth="1"/>
    <col min="561" max="561" width="13.25" style="3063" customWidth="1"/>
    <col min="562" max="562" width="13" style="3063" customWidth="1"/>
    <col min="563" max="565" width="10.875" style="3063" customWidth="1"/>
    <col min="566" max="566" width="10.5" style="3063" customWidth="1"/>
    <col min="567" max="567" width="6.375" style="3063" customWidth="1"/>
    <col min="568" max="568" width="6.25" style="3063" customWidth="1"/>
    <col min="569" max="569" width="9.875" style="3063" customWidth="1"/>
    <col min="570" max="570" width="10.75" style="3063" customWidth="1"/>
    <col min="571" max="571" width="9.5" style="3063" customWidth="1"/>
    <col min="572" max="575" width="11" style="3063" customWidth="1"/>
    <col min="576" max="576" width="10.625" style="3063" customWidth="1"/>
    <col min="577" max="577" width="11.875" style="3063" bestFit="1" customWidth="1"/>
    <col min="578" max="578" width="9.75" style="3063" bestFit="1" customWidth="1"/>
    <col min="579" max="579" width="11.875" style="3063" bestFit="1" customWidth="1"/>
    <col min="580" max="580" width="9.75" style="3063" bestFit="1" customWidth="1"/>
    <col min="581" max="581" width="11.875" style="3063" bestFit="1" customWidth="1"/>
    <col min="582" max="582" width="9.75" style="3063" bestFit="1" customWidth="1"/>
    <col min="583" max="583" width="11.375" style="3063" bestFit="1" customWidth="1"/>
    <col min="584" max="584" width="9.75" style="3063" bestFit="1" customWidth="1"/>
    <col min="585" max="585" width="11.375" style="3063" bestFit="1" customWidth="1"/>
    <col min="586" max="586" width="9.75" style="3063" bestFit="1" customWidth="1"/>
    <col min="587" max="587" width="11.375" style="3063" bestFit="1" customWidth="1"/>
    <col min="588" max="588" width="9.75" style="3063" bestFit="1" customWidth="1"/>
    <col min="589" max="589" width="11.375" style="3063" bestFit="1" customWidth="1"/>
    <col min="590" max="590" width="9.75" style="3063" bestFit="1" customWidth="1"/>
    <col min="591" max="591" width="11.375" style="3063" bestFit="1" customWidth="1"/>
    <col min="592" max="592" width="9.75" style="3063" bestFit="1" customWidth="1"/>
    <col min="593" max="593" width="10.25" style="3063" bestFit="1" customWidth="1"/>
    <col min="594" max="594" width="9.625" style="3063" customWidth="1"/>
    <col min="595" max="595" width="10.375" style="3063" customWidth="1"/>
    <col min="596" max="596" width="9.25" style="3063" customWidth="1"/>
    <col min="597" max="597" width="10" style="3063" customWidth="1"/>
    <col min="598" max="598" width="9.75" style="3063" customWidth="1"/>
    <col min="599" max="599" width="9.125" style="3063" customWidth="1"/>
    <col min="600" max="624" width="9.5" style="3063" customWidth="1"/>
    <col min="625" max="625" width="15.5" style="3063" bestFit="1" customWidth="1"/>
    <col min="626" max="626" width="13.25" style="3063" bestFit="1" customWidth="1"/>
    <col min="627" max="627" width="13.5" style="3063" customWidth="1"/>
    <col min="628" max="628" width="12.5" style="3063" bestFit="1" customWidth="1"/>
    <col min="629" max="629" width="10.625" style="3063" bestFit="1" customWidth="1"/>
    <col min="630" max="630" width="11.375" style="3063" bestFit="1" customWidth="1"/>
    <col min="631" max="631" width="11.75" style="3063" bestFit="1" customWidth="1"/>
    <col min="632" max="632" width="11.375" style="3063" bestFit="1" customWidth="1"/>
    <col min="633" max="633" width="9.375" style="3063" bestFit="1" customWidth="1"/>
    <col min="634" max="634" width="11.375" style="3063" bestFit="1" customWidth="1"/>
    <col min="635" max="635" width="10.25" style="3063" bestFit="1" customWidth="1"/>
    <col min="636" max="636" width="9.375" style="3063" bestFit="1" customWidth="1"/>
    <col min="637" max="637" width="11.375" style="3063" bestFit="1" customWidth="1"/>
    <col min="638" max="638" width="10.25" style="3063" bestFit="1" customWidth="1"/>
    <col min="639" max="639" width="10.125" style="3063" bestFit="1" customWidth="1"/>
    <col min="640" max="640" width="10.375" style="3063" bestFit="1" customWidth="1"/>
    <col min="641" max="641" width="8.375" style="3063" bestFit="1" customWidth="1"/>
    <col min="642" max="642" width="9.125" style="3063" bestFit="1" customWidth="1"/>
    <col min="643" max="643" width="10" style="3063" customWidth="1"/>
    <col min="644" max="644" width="8.375" style="3063" bestFit="1" customWidth="1"/>
    <col min="645" max="645" width="7.875" style="3063"/>
    <col min="646" max="646" width="9.25" style="3063" customWidth="1"/>
    <col min="647" max="647" width="8.375" style="3063" bestFit="1" customWidth="1"/>
    <col min="648" max="648" width="7.875" style="3063"/>
    <col min="649" max="649" width="8.625" style="3063" customWidth="1"/>
    <col min="650" max="650" width="10.125" style="3063" bestFit="1" customWidth="1"/>
    <col min="651" max="651" width="7.875" style="3063"/>
    <col min="652" max="652" width="10.125" style="3063" bestFit="1" customWidth="1"/>
    <col min="653" max="653" width="8.25" style="3063" bestFit="1" customWidth="1"/>
    <col min="654" max="654" width="7.875" style="3063"/>
    <col min="655" max="655" width="10.125" style="3063" bestFit="1" customWidth="1"/>
    <col min="656" max="656" width="8.25" style="3063" bestFit="1" customWidth="1"/>
    <col min="657" max="657" width="7.875" style="3063"/>
    <col min="658" max="658" width="10.125" style="3063" bestFit="1" customWidth="1"/>
    <col min="659" max="659" width="8.25" style="3063" bestFit="1" customWidth="1"/>
    <col min="660" max="660" width="7.875" style="3063"/>
    <col min="661" max="661" width="10.125" style="3063" bestFit="1" customWidth="1"/>
    <col min="662" max="663" width="8.25" style="3063" bestFit="1" customWidth="1"/>
    <col min="664" max="664" width="10.125" style="3063" bestFit="1" customWidth="1"/>
    <col min="665" max="665" width="8.25" style="3063" bestFit="1" customWidth="1"/>
    <col min="666" max="666" width="7.875" style="3063"/>
    <col min="667" max="667" width="10.125" style="3063" bestFit="1" customWidth="1"/>
    <col min="668" max="668" width="9.125" style="3063" bestFit="1" customWidth="1"/>
    <col min="669" max="669" width="7.875" style="3063"/>
    <col min="670" max="670" width="10.125" style="3063" bestFit="1" customWidth="1"/>
    <col min="671" max="671" width="9.125" style="3063" bestFit="1" customWidth="1"/>
    <col min="672" max="672" width="7.875" style="3063"/>
    <col min="673" max="673" width="10.125" style="3063" bestFit="1" customWidth="1"/>
    <col min="674" max="674" width="9.125" style="3063" bestFit="1" customWidth="1"/>
    <col min="675" max="675" width="7.875" style="3063"/>
    <col min="676" max="676" width="10.125" style="3063" bestFit="1" customWidth="1"/>
    <col min="677" max="677" width="9.125" style="3063" bestFit="1" customWidth="1"/>
    <col min="678" max="678" width="7.875" style="3063"/>
    <col min="679" max="679" width="10.125" style="3063" bestFit="1" customWidth="1"/>
    <col min="680" max="680" width="9.125" style="3063" bestFit="1" customWidth="1"/>
    <col min="681" max="681" width="7.875" style="3063"/>
    <col min="682" max="682" width="10.125" style="3063" bestFit="1" customWidth="1"/>
    <col min="683" max="684" width="8.25" style="3063" bestFit="1" customWidth="1"/>
    <col min="685" max="685" width="9.125" style="3063" bestFit="1" customWidth="1"/>
    <col min="686" max="686" width="8.25" style="3063" bestFit="1" customWidth="1"/>
    <col min="687" max="687" width="7.875" style="3063"/>
    <col min="688" max="688" width="9.125" style="3063" bestFit="1" customWidth="1"/>
    <col min="689" max="689" width="8.25" style="3063" bestFit="1" customWidth="1"/>
    <col min="690" max="690" width="7.875" style="3063"/>
    <col min="691" max="691" width="9.125" style="3063" bestFit="1" customWidth="1"/>
    <col min="692" max="692" width="8.25" style="3063" bestFit="1" customWidth="1"/>
    <col min="693" max="693" width="7.875" style="3063"/>
    <col min="694" max="695" width="8.25" style="3063" bestFit="1" customWidth="1"/>
    <col min="696" max="696" width="7.875" style="3063"/>
    <col min="697" max="698" width="8.25" style="3063" bestFit="1" customWidth="1"/>
    <col min="699" max="699" width="7.875" style="3063"/>
    <col min="700" max="700" width="9.875" style="3063" bestFit="1" customWidth="1"/>
    <col min="701" max="701" width="11.125" style="3063" bestFit="1" customWidth="1"/>
    <col min="702" max="702" width="9.125" style="3063" bestFit="1" customWidth="1"/>
    <col min="703" max="703" width="9.875" style="3063" bestFit="1" customWidth="1"/>
    <col min="704" max="704" width="11.125" style="3063" bestFit="1" customWidth="1"/>
    <col min="705" max="705" width="7.875" style="3063"/>
    <col min="706" max="706" width="9" style="3063" customWidth="1"/>
    <col min="707" max="707" width="8.625" style="3063" customWidth="1"/>
    <col min="708" max="768" width="7.875" style="3063"/>
    <col min="769" max="769" width="3.875" style="3063" customWidth="1"/>
    <col min="770" max="770" width="10.375" style="3063" customWidth="1"/>
    <col min="771" max="771" width="10.75" style="3063" customWidth="1"/>
    <col min="772" max="772" width="11.625" style="3063" customWidth="1"/>
    <col min="773" max="773" width="10" style="3063" customWidth="1"/>
    <col min="774" max="774" width="9.375" style="3063" customWidth="1"/>
    <col min="775" max="775" width="10.5" style="3063" customWidth="1"/>
    <col min="776" max="776" width="12.5" style="3063" customWidth="1"/>
    <col min="777" max="777" width="11.75" style="3063" customWidth="1"/>
    <col min="778" max="778" width="10.5" style="3063" customWidth="1"/>
    <col min="779" max="779" width="12.125" style="3063" customWidth="1"/>
    <col min="780" max="780" width="9.75" style="3063" customWidth="1"/>
    <col min="781" max="781" width="10" style="3063" customWidth="1"/>
    <col min="782" max="782" width="12.25" style="3063" customWidth="1"/>
    <col min="783" max="783" width="9.75" style="3063" customWidth="1"/>
    <col min="784" max="784" width="8.625" style="3063" customWidth="1"/>
    <col min="785" max="785" width="11.25" style="3063" customWidth="1"/>
    <col min="786" max="786" width="11.125" style="3063" customWidth="1"/>
    <col min="787" max="787" width="10.625" style="3063" customWidth="1"/>
    <col min="788" max="788" width="11.125" style="3063" customWidth="1"/>
    <col min="789" max="789" width="10.125" style="3063" customWidth="1"/>
    <col min="790" max="790" width="12.125" style="3063" customWidth="1"/>
    <col min="791" max="791" width="7.75" style="3063" customWidth="1"/>
    <col min="792" max="792" width="8.125" style="3063" customWidth="1"/>
    <col min="793" max="795" width="10.875" style="3063" bestFit="1" customWidth="1"/>
    <col min="796" max="798" width="11.5" style="3063" customWidth="1"/>
    <col min="799" max="799" width="11.75" style="3063" customWidth="1"/>
    <col min="800" max="800" width="7.75" style="3063" bestFit="1" customWidth="1"/>
    <col min="801" max="801" width="11.5" style="3063" bestFit="1" customWidth="1"/>
    <col min="802" max="802" width="7.75" style="3063" bestFit="1" customWidth="1"/>
    <col min="803" max="803" width="8.75" style="3063" customWidth="1"/>
    <col min="804" max="804" width="9.875" style="3063" bestFit="1" customWidth="1"/>
    <col min="805" max="805" width="8" style="3063" customWidth="1"/>
    <col min="806" max="809" width="7.75" style="3063" bestFit="1" customWidth="1"/>
    <col min="810" max="811" width="12.25" style="3063" customWidth="1"/>
    <col min="812" max="812" width="10.25" style="3063" customWidth="1"/>
    <col min="813" max="813" width="9.25" style="3063" customWidth="1"/>
    <col min="814" max="814" width="11" style="3063" customWidth="1"/>
    <col min="815" max="815" width="8.375" style="3063" customWidth="1"/>
    <col min="816" max="816" width="9.5" style="3063" customWidth="1"/>
    <col min="817" max="817" width="13.25" style="3063" customWidth="1"/>
    <col min="818" max="818" width="13" style="3063" customWidth="1"/>
    <col min="819" max="821" width="10.875" style="3063" customWidth="1"/>
    <col min="822" max="822" width="10.5" style="3063" customWidth="1"/>
    <col min="823" max="823" width="6.375" style="3063" customWidth="1"/>
    <col min="824" max="824" width="6.25" style="3063" customWidth="1"/>
    <col min="825" max="825" width="9.875" style="3063" customWidth="1"/>
    <col min="826" max="826" width="10.75" style="3063" customWidth="1"/>
    <col min="827" max="827" width="9.5" style="3063" customWidth="1"/>
    <col min="828" max="831" width="11" style="3063" customWidth="1"/>
    <col min="832" max="832" width="10.625" style="3063" customWidth="1"/>
    <col min="833" max="833" width="11.875" style="3063" bestFit="1" customWidth="1"/>
    <col min="834" max="834" width="9.75" style="3063" bestFit="1" customWidth="1"/>
    <col min="835" max="835" width="11.875" style="3063" bestFit="1" customWidth="1"/>
    <col min="836" max="836" width="9.75" style="3063" bestFit="1" customWidth="1"/>
    <col min="837" max="837" width="11.875" style="3063" bestFit="1" customWidth="1"/>
    <col min="838" max="838" width="9.75" style="3063" bestFit="1" customWidth="1"/>
    <col min="839" max="839" width="11.375" style="3063" bestFit="1" customWidth="1"/>
    <col min="840" max="840" width="9.75" style="3063" bestFit="1" customWidth="1"/>
    <col min="841" max="841" width="11.375" style="3063" bestFit="1" customWidth="1"/>
    <col min="842" max="842" width="9.75" style="3063" bestFit="1" customWidth="1"/>
    <col min="843" max="843" width="11.375" style="3063" bestFit="1" customWidth="1"/>
    <col min="844" max="844" width="9.75" style="3063" bestFit="1" customWidth="1"/>
    <col min="845" max="845" width="11.375" style="3063" bestFit="1" customWidth="1"/>
    <col min="846" max="846" width="9.75" style="3063" bestFit="1" customWidth="1"/>
    <col min="847" max="847" width="11.375" style="3063" bestFit="1" customWidth="1"/>
    <col min="848" max="848" width="9.75" style="3063" bestFit="1" customWidth="1"/>
    <col min="849" max="849" width="10.25" style="3063" bestFit="1" customWidth="1"/>
    <col min="850" max="850" width="9.625" style="3063" customWidth="1"/>
    <col min="851" max="851" width="10.375" style="3063" customWidth="1"/>
    <col min="852" max="852" width="9.25" style="3063" customWidth="1"/>
    <col min="853" max="853" width="10" style="3063" customWidth="1"/>
    <col min="854" max="854" width="9.75" style="3063" customWidth="1"/>
    <col min="855" max="855" width="9.125" style="3063" customWidth="1"/>
    <col min="856" max="880" width="9.5" style="3063" customWidth="1"/>
    <col min="881" max="881" width="15.5" style="3063" bestFit="1" customWidth="1"/>
    <col min="882" max="882" width="13.25" style="3063" bestFit="1" customWidth="1"/>
    <col min="883" max="883" width="13.5" style="3063" customWidth="1"/>
    <col min="884" max="884" width="12.5" style="3063" bestFit="1" customWidth="1"/>
    <col min="885" max="885" width="10.625" style="3063" bestFit="1" customWidth="1"/>
    <col min="886" max="886" width="11.375" style="3063" bestFit="1" customWidth="1"/>
    <col min="887" max="887" width="11.75" style="3063" bestFit="1" customWidth="1"/>
    <col min="888" max="888" width="11.375" style="3063" bestFit="1" customWidth="1"/>
    <col min="889" max="889" width="9.375" style="3063" bestFit="1" customWidth="1"/>
    <col min="890" max="890" width="11.375" style="3063" bestFit="1" customWidth="1"/>
    <col min="891" max="891" width="10.25" style="3063" bestFit="1" customWidth="1"/>
    <col min="892" max="892" width="9.375" style="3063" bestFit="1" customWidth="1"/>
    <col min="893" max="893" width="11.375" style="3063" bestFit="1" customWidth="1"/>
    <col min="894" max="894" width="10.25" style="3063" bestFit="1" customWidth="1"/>
    <col min="895" max="895" width="10.125" style="3063" bestFit="1" customWidth="1"/>
    <col min="896" max="896" width="10.375" style="3063" bestFit="1" customWidth="1"/>
    <col min="897" max="897" width="8.375" style="3063" bestFit="1" customWidth="1"/>
    <col min="898" max="898" width="9.125" style="3063" bestFit="1" customWidth="1"/>
    <col min="899" max="899" width="10" style="3063" customWidth="1"/>
    <col min="900" max="900" width="8.375" style="3063" bestFit="1" customWidth="1"/>
    <col min="901" max="901" width="7.875" style="3063"/>
    <col min="902" max="902" width="9.25" style="3063" customWidth="1"/>
    <col min="903" max="903" width="8.375" style="3063" bestFit="1" customWidth="1"/>
    <col min="904" max="904" width="7.875" style="3063"/>
    <col min="905" max="905" width="8.625" style="3063" customWidth="1"/>
    <col min="906" max="906" width="10.125" style="3063" bestFit="1" customWidth="1"/>
    <col min="907" max="907" width="7.875" style="3063"/>
    <col min="908" max="908" width="10.125" style="3063" bestFit="1" customWidth="1"/>
    <col min="909" max="909" width="8.25" style="3063" bestFit="1" customWidth="1"/>
    <col min="910" max="910" width="7.875" style="3063"/>
    <col min="911" max="911" width="10.125" style="3063" bestFit="1" customWidth="1"/>
    <col min="912" max="912" width="8.25" style="3063" bestFit="1" customWidth="1"/>
    <col min="913" max="913" width="7.875" style="3063"/>
    <col min="914" max="914" width="10.125" style="3063" bestFit="1" customWidth="1"/>
    <col min="915" max="915" width="8.25" style="3063" bestFit="1" customWidth="1"/>
    <col min="916" max="916" width="7.875" style="3063"/>
    <col min="917" max="917" width="10.125" style="3063" bestFit="1" customWidth="1"/>
    <col min="918" max="919" width="8.25" style="3063" bestFit="1" customWidth="1"/>
    <col min="920" max="920" width="10.125" style="3063" bestFit="1" customWidth="1"/>
    <col min="921" max="921" width="8.25" style="3063" bestFit="1" customWidth="1"/>
    <col min="922" max="922" width="7.875" style="3063"/>
    <col min="923" max="923" width="10.125" style="3063" bestFit="1" customWidth="1"/>
    <col min="924" max="924" width="9.125" style="3063" bestFit="1" customWidth="1"/>
    <col min="925" max="925" width="7.875" style="3063"/>
    <col min="926" max="926" width="10.125" style="3063" bestFit="1" customWidth="1"/>
    <col min="927" max="927" width="9.125" style="3063" bestFit="1" customWidth="1"/>
    <col min="928" max="928" width="7.875" style="3063"/>
    <col min="929" max="929" width="10.125" style="3063" bestFit="1" customWidth="1"/>
    <col min="930" max="930" width="9.125" style="3063" bestFit="1" customWidth="1"/>
    <col min="931" max="931" width="7.875" style="3063"/>
    <col min="932" max="932" width="10.125" style="3063" bestFit="1" customWidth="1"/>
    <col min="933" max="933" width="9.125" style="3063" bestFit="1" customWidth="1"/>
    <col min="934" max="934" width="7.875" style="3063"/>
    <col min="935" max="935" width="10.125" style="3063" bestFit="1" customWidth="1"/>
    <col min="936" max="936" width="9.125" style="3063" bestFit="1" customWidth="1"/>
    <col min="937" max="937" width="7.875" style="3063"/>
    <col min="938" max="938" width="10.125" style="3063" bestFit="1" customWidth="1"/>
    <col min="939" max="940" width="8.25" style="3063" bestFit="1" customWidth="1"/>
    <col min="941" max="941" width="9.125" style="3063" bestFit="1" customWidth="1"/>
    <col min="942" max="942" width="8.25" style="3063" bestFit="1" customWidth="1"/>
    <col min="943" max="943" width="7.875" style="3063"/>
    <col min="944" max="944" width="9.125" style="3063" bestFit="1" customWidth="1"/>
    <col min="945" max="945" width="8.25" style="3063" bestFit="1" customWidth="1"/>
    <col min="946" max="946" width="7.875" style="3063"/>
    <col min="947" max="947" width="9.125" style="3063" bestFit="1" customWidth="1"/>
    <col min="948" max="948" width="8.25" style="3063" bestFit="1" customWidth="1"/>
    <col min="949" max="949" width="7.875" style="3063"/>
    <col min="950" max="951" width="8.25" style="3063" bestFit="1" customWidth="1"/>
    <col min="952" max="952" width="7.875" style="3063"/>
    <col min="953" max="954" width="8.25" style="3063" bestFit="1" customWidth="1"/>
    <col min="955" max="955" width="7.875" style="3063"/>
    <col min="956" max="956" width="9.875" style="3063" bestFit="1" customWidth="1"/>
    <col min="957" max="957" width="11.125" style="3063" bestFit="1" customWidth="1"/>
    <col min="958" max="958" width="9.125" style="3063" bestFit="1" customWidth="1"/>
    <col min="959" max="959" width="9.875" style="3063" bestFit="1" customWidth="1"/>
    <col min="960" max="960" width="11.125" style="3063" bestFit="1" customWidth="1"/>
    <col min="961" max="961" width="7.875" style="3063"/>
    <col min="962" max="962" width="9" style="3063" customWidth="1"/>
    <col min="963" max="963" width="8.625" style="3063" customWidth="1"/>
    <col min="964" max="1024" width="7.875" style="3063"/>
    <col min="1025" max="1025" width="3.875" style="3063" customWidth="1"/>
    <col min="1026" max="1026" width="10.375" style="3063" customWidth="1"/>
    <col min="1027" max="1027" width="10.75" style="3063" customWidth="1"/>
    <col min="1028" max="1028" width="11.625" style="3063" customWidth="1"/>
    <col min="1029" max="1029" width="10" style="3063" customWidth="1"/>
    <col min="1030" max="1030" width="9.375" style="3063" customWidth="1"/>
    <col min="1031" max="1031" width="10.5" style="3063" customWidth="1"/>
    <col min="1032" max="1032" width="12.5" style="3063" customWidth="1"/>
    <col min="1033" max="1033" width="11.75" style="3063" customWidth="1"/>
    <col min="1034" max="1034" width="10.5" style="3063" customWidth="1"/>
    <col min="1035" max="1035" width="12.125" style="3063" customWidth="1"/>
    <col min="1036" max="1036" width="9.75" style="3063" customWidth="1"/>
    <col min="1037" max="1037" width="10" style="3063" customWidth="1"/>
    <col min="1038" max="1038" width="12.25" style="3063" customWidth="1"/>
    <col min="1039" max="1039" width="9.75" style="3063" customWidth="1"/>
    <col min="1040" max="1040" width="8.625" style="3063" customWidth="1"/>
    <col min="1041" max="1041" width="11.25" style="3063" customWidth="1"/>
    <col min="1042" max="1042" width="11.125" style="3063" customWidth="1"/>
    <col min="1043" max="1043" width="10.625" style="3063" customWidth="1"/>
    <col min="1044" max="1044" width="11.125" style="3063" customWidth="1"/>
    <col min="1045" max="1045" width="10.125" style="3063" customWidth="1"/>
    <col min="1046" max="1046" width="12.125" style="3063" customWidth="1"/>
    <col min="1047" max="1047" width="7.75" style="3063" customWidth="1"/>
    <col min="1048" max="1048" width="8.125" style="3063" customWidth="1"/>
    <col min="1049" max="1051" width="10.875" style="3063" bestFit="1" customWidth="1"/>
    <col min="1052" max="1054" width="11.5" style="3063" customWidth="1"/>
    <col min="1055" max="1055" width="11.75" style="3063" customWidth="1"/>
    <col min="1056" max="1056" width="7.75" style="3063" bestFit="1" customWidth="1"/>
    <col min="1057" max="1057" width="11.5" style="3063" bestFit="1" customWidth="1"/>
    <col min="1058" max="1058" width="7.75" style="3063" bestFit="1" customWidth="1"/>
    <col min="1059" max="1059" width="8.75" style="3063" customWidth="1"/>
    <col min="1060" max="1060" width="9.875" style="3063" bestFit="1" customWidth="1"/>
    <col min="1061" max="1061" width="8" style="3063" customWidth="1"/>
    <col min="1062" max="1065" width="7.75" style="3063" bestFit="1" customWidth="1"/>
    <col min="1066" max="1067" width="12.25" style="3063" customWidth="1"/>
    <col min="1068" max="1068" width="10.25" style="3063" customWidth="1"/>
    <col min="1069" max="1069" width="9.25" style="3063" customWidth="1"/>
    <col min="1070" max="1070" width="11" style="3063" customWidth="1"/>
    <col min="1071" max="1071" width="8.375" style="3063" customWidth="1"/>
    <col min="1072" max="1072" width="9.5" style="3063" customWidth="1"/>
    <col min="1073" max="1073" width="13.25" style="3063" customWidth="1"/>
    <col min="1074" max="1074" width="13" style="3063" customWidth="1"/>
    <col min="1075" max="1077" width="10.875" style="3063" customWidth="1"/>
    <col min="1078" max="1078" width="10.5" style="3063" customWidth="1"/>
    <col min="1079" max="1079" width="6.375" style="3063" customWidth="1"/>
    <col min="1080" max="1080" width="6.25" style="3063" customWidth="1"/>
    <col min="1081" max="1081" width="9.875" style="3063" customWidth="1"/>
    <col min="1082" max="1082" width="10.75" style="3063" customWidth="1"/>
    <col min="1083" max="1083" width="9.5" style="3063" customWidth="1"/>
    <col min="1084" max="1087" width="11" style="3063" customWidth="1"/>
    <col min="1088" max="1088" width="10.625" style="3063" customWidth="1"/>
    <col min="1089" max="1089" width="11.875" style="3063" bestFit="1" customWidth="1"/>
    <col min="1090" max="1090" width="9.75" style="3063" bestFit="1" customWidth="1"/>
    <col min="1091" max="1091" width="11.875" style="3063" bestFit="1" customWidth="1"/>
    <col min="1092" max="1092" width="9.75" style="3063" bestFit="1" customWidth="1"/>
    <col min="1093" max="1093" width="11.875" style="3063" bestFit="1" customWidth="1"/>
    <col min="1094" max="1094" width="9.75" style="3063" bestFit="1" customWidth="1"/>
    <col min="1095" max="1095" width="11.375" style="3063" bestFit="1" customWidth="1"/>
    <col min="1096" max="1096" width="9.75" style="3063" bestFit="1" customWidth="1"/>
    <col min="1097" max="1097" width="11.375" style="3063" bestFit="1" customWidth="1"/>
    <col min="1098" max="1098" width="9.75" style="3063" bestFit="1" customWidth="1"/>
    <col min="1099" max="1099" width="11.375" style="3063" bestFit="1" customWidth="1"/>
    <col min="1100" max="1100" width="9.75" style="3063" bestFit="1" customWidth="1"/>
    <col min="1101" max="1101" width="11.375" style="3063" bestFit="1" customWidth="1"/>
    <col min="1102" max="1102" width="9.75" style="3063" bestFit="1" customWidth="1"/>
    <col min="1103" max="1103" width="11.375" style="3063" bestFit="1" customWidth="1"/>
    <col min="1104" max="1104" width="9.75" style="3063" bestFit="1" customWidth="1"/>
    <col min="1105" max="1105" width="10.25" style="3063" bestFit="1" customWidth="1"/>
    <col min="1106" max="1106" width="9.625" style="3063" customWidth="1"/>
    <col min="1107" max="1107" width="10.375" style="3063" customWidth="1"/>
    <col min="1108" max="1108" width="9.25" style="3063" customWidth="1"/>
    <col min="1109" max="1109" width="10" style="3063" customWidth="1"/>
    <col min="1110" max="1110" width="9.75" style="3063" customWidth="1"/>
    <col min="1111" max="1111" width="9.125" style="3063" customWidth="1"/>
    <col min="1112" max="1136" width="9.5" style="3063" customWidth="1"/>
    <col min="1137" max="1137" width="15.5" style="3063" bestFit="1" customWidth="1"/>
    <col min="1138" max="1138" width="13.25" style="3063" bestFit="1" customWidth="1"/>
    <col min="1139" max="1139" width="13.5" style="3063" customWidth="1"/>
    <col min="1140" max="1140" width="12.5" style="3063" bestFit="1" customWidth="1"/>
    <col min="1141" max="1141" width="10.625" style="3063" bestFit="1" customWidth="1"/>
    <col min="1142" max="1142" width="11.375" style="3063" bestFit="1" customWidth="1"/>
    <col min="1143" max="1143" width="11.75" style="3063" bestFit="1" customWidth="1"/>
    <col min="1144" max="1144" width="11.375" style="3063" bestFit="1" customWidth="1"/>
    <col min="1145" max="1145" width="9.375" style="3063" bestFit="1" customWidth="1"/>
    <col min="1146" max="1146" width="11.375" style="3063" bestFit="1" customWidth="1"/>
    <col min="1147" max="1147" width="10.25" style="3063" bestFit="1" customWidth="1"/>
    <col min="1148" max="1148" width="9.375" style="3063" bestFit="1" customWidth="1"/>
    <col min="1149" max="1149" width="11.375" style="3063" bestFit="1" customWidth="1"/>
    <col min="1150" max="1150" width="10.25" style="3063" bestFit="1" customWidth="1"/>
    <col min="1151" max="1151" width="10.125" style="3063" bestFit="1" customWidth="1"/>
    <col min="1152" max="1152" width="10.375" style="3063" bestFit="1" customWidth="1"/>
    <col min="1153" max="1153" width="8.375" style="3063" bestFit="1" customWidth="1"/>
    <col min="1154" max="1154" width="9.125" style="3063" bestFit="1" customWidth="1"/>
    <col min="1155" max="1155" width="10" style="3063" customWidth="1"/>
    <col min="1156" max="1156" width="8.375" style="3063" bestFit="1" customWidth="1"/>
    <col min="1157" max="1157" width="7.875" style="3063"/>
    <col min="1158" max="1158" width="9.25" style="3063" customWidth="1"/>
    <col min="1159" max="1159" width="8.375" style="3063" bestFit="1" customWidth="1"/>
    <col min="1160" max="1160" width="7.875" style="3063"/>
    <col min="1161" max="1161" width="8.625" style="3063" customWidth="1"/>
    <col min="1162" max="1162" width="10.125" style="3063" bestFit="1" customWidth="1"/>
    <col min="1163" max="1163" width="7.875" style="3063"/>
    <col min="1164" max="1164" width="10.125" style="3063" bestFit="1" customWidth="1"/>
    <col min="1165" max="1165" width="8.25" style="3063" bestFit="1" customWidth="1"/>
    <col min="1166" max="1166" width="7.875" style="3063"/>
    <col min="1167" max="1167" width="10.125" style="3063" bestFit="1" customWidth="1"/>
    <col min="1168" max="1168" width="8.25" style="3063" bestFit="1" customWidth="1"/>
    <col min="1169" max="1169" width="7.875" style="3063"/>
    <col min="1170" max="1170" width="10.125" style="3063" bestFit="1" customWidth="1"/>
    <col min="1171" max="1171" width="8.25" style="3063" bestFit="1" customWidth="1"/>
    <col min="1172" max="1172" width="7.875" style="3063"/>
    <col min="1173" max="1173" width="10.125" style="3063" bestFit="1" customWidth="1"/>
    <col min="1174" max="1175" width="8.25" style="3063" bestFit="1" customWidth="1"/>
    <col min="1176" max="1176" width="10.125" style="3063" bestFit="1" customWidth="1"/>
    <col min="1177" max="1177" width="8.25" style="3063" bestFit="1" customWidth="1"/>
    <col min="1178" max="1178" width="7.875" style="3063"/>
    <col min="1179" max="1179" width="10.125" style="3063" bestFit="1" customWidth="1"/>
    <col min="1180" max="1180" width="9.125" style="3063" bestFit="1" customWidth="1"/>
    <col min="1181" max="1181" width="7.875" style="3063"/>
    <col min="1182" max="1182" width="10.125" style="3063" bestFit="1" customWidth="1"/>
    <col min="1183" max="1183" width="9.125" style="3063" bestFit="1" customWidth="1"/>
    <col min="1184" max="1184" width="7.875" style="3063"/>
    <col min="1185" max="1185" width="10.125" style="3063" bestFit="1" customWidth="1"/>
    <col min="1186" max="1186" width="9.125" style="3063" bestFit="1" customWidth="1"/>
    <col min="1187" max="1187" width="7.875" style="3063"/>
    <col min="1188" max="1188" width="10.125" style="3063" bestFit="1" customWidth="1"/>
    <col min="1189" max="1189" width="9.125" style="3063" bestFit="1" customWidth="1"/>
    <col min="1190" max="1190" width="7.875" style="3063"/>
    <col min="1191" max="1191" width="10.125" style="3063" bestFit="1" customWidth="1"/>
    <col min="1192" max="1192" width="9.125" style="3063" bestFit="1" customWidth="1"/>
    <col min="1193" max="1193" width="7.875" style="3063"/>
    <col min="1194" max="1194" width="10.125" style="3063" bestFit="1" customWidth="1"/>
    <col min="1195" max="1196" width="8.25" style="3063" bestFit="1" customWidth="1"/>
    <col min="1197" max="1197" width="9.125" style="3063" bestFit="1" customWidth="1"/>
    <col min="1198" max="1198" width="8.25" style="3063" bestFit="1" customWidth="1"/>
    <col min="1199" max="1199" width="7.875" style="3063"/>
    <col min="1200" max="1200" width="9.125" style="3063" bestFit="1" customWidth="1"/>
    <col min="1201" max="1201" width="8.25" style="3063" bestFit="1" customWidth="1"/>
    <col min="1202" max="1202" width="7.875" style="3063"/>
    <col min="1203" max="1203" width="9.125" style="3063" bestFit="1" customWidth="1"/>
    <col min="1204" max="1204" width="8.25" style="3063" bestFit="1" customWidth="1"/>
    <col min="1205" max="1205" width="7.875" style="3063"/>
    <col min="1206" max="1207" width="8.25" style="3063" bestFit="1" customWidth="1"/>
    <col min="1208" max="1208" width="7.875" style="3063"/>
    <col min="1209" max="1210" width="8.25" style="3063" bestFit="1" customWidth="1"/>
    <col min="1211" max="1211" width="7.875" style="3063"/>
    <col min="1212" max="1212" width="9.875" style="3063" bestFit="1" customWidth="1"/>
    <col min="1213" max="1213" width="11.125" style="3063" bestFit="1" customWidth="1"/>
    <col min="1214" max="1214" width="9.125" style="3063" bestFit="1" customWidth="1"/>
    <col min="1215" max="1215" width="9.875" style="3063" bestFit="1" customWidth="1"/>
    <col min="1216" max="1216" width="11.125" style="3063" bestFit="1" customWidth="1"/>
    <col min="1217" max="1217" width="7.875" style="3063"/>
    <col min="1218" max="1218" width="9" style="3063" customWidth="1"/>
    <col min="1219" max="1219" width="8.625" style="3063" customWidth="1"/>
    <col min="1220" max="1280" width="7.875" style="3063"/>
    <col min="1281" max="1281" width="3.875" style="3063" customWidth="1"/>
    <col min="1282" max="1282" width="10.375" style="3063" customWidth="1"/>
    <col min="1283" max="1283" width="10.75" style="3063" customWidth="1"/>
    <col min="1284" max="1284" width="11.625" style="3063" customWidth="1"/>
    <col min="1285" max="1285" width="10" style="3063" customWidth="1"/>
    <col min="1286" max="1286" width="9.375" style="3063" customWidth="1"/>
    <col min="1287" max="1287" width="10.5" style="3063" customWidth="1"/>
    <col min="1288" max="1288" width="12.5" style="3063" customWidth="1"/>
    <col min="1289" max="1289" width="11.75" style="3063" customWidth="1"/>
    <col min="1290" max="1290" width="10.5" style="3063" customWidth="1"/>
    <col min="1291" max="1291" width="12.125" style="3063" customWidth="1"/>
    <col min="1292" max="1292" width="9.75" style="3063" customWidth="1"/>
    <col min="1293" max="1293" width="10" style="3063" customWidth="1"/>
    <col min="1294" max="1294" width="12.25" style="3063" customWidth="1"/>
    <col min="1295" max="1295" width="9.75" style="3063" customWidth="1"/>
    <col min="1296" max="1296" width="8.625" style="3063" customWidth="1"/>
    <col min="1297" max="1297" width="11.25" style="3063" customWidth="1"/>
    <col min="1298" max="1298" width="11.125" style="3063" customWidth="1"/>
    <col min="1299" max="1299" width="10.625" style="3063" customWidth="1"/>
    <col min="1300" max="1300" width="11.125" style="3063" customWidth="1"/>
    <col min="1301" max="1301" width="10.125" style="3063" customWidth="1"/>
    <col min="1302" max="1302" width="12.125" style="3063" customWidth="1"/>
    <col min="1303" max="1303" width="7.75" style="3063" customWidth="1"/>
    <col min="1304" max="1304" width="8.125" style="3063" customWidth="1"/>
    <col min="1305" max="1307" width="10.875" style="3063" bestFit="1" customWidth="1"/>
    <col min="1308" max="1310" width="11.5" style="3063" customWidth="1"/>
    <col min="1311" max="1311" width="11.75" style="3063" customWidth="1"/>
    <col min="1312" max="1312" width="7.75" style="3063" bestFit="1" customWidth="1"/>
    <col min="1313" max="1313" width="11.5" style="3063" bestFit="1" customWidth="1"/>
    <col min="1314" max="1314" width="7.75" style="3063" bestFit="1" customWidth="1"/>
    <col min="1315" max="1315" width="8.75" style="3063" customWidth="1"/>
    <col min="1316" max="1316" width="9.875" style="3063" bestFit="1" customWidth="1"/>
    <col min="1317" max="1317" width="8" style="3063" customWidth="1"/>
    <col min="1318" max="1321" width="7.75" style="3063" bestFit="1" customWidth="1"/>
    <col min="1322" max="1323" width="12.25" style="3063" customWidth="1"/>
    <col min="1324" max="1324" width="10.25" style="3063" customWidth="1"/>
    <col min="1325" max="1325" width="9.25" style="3063" customWidth="1"/>
    <col min="1326" max="1326" width="11" style="3063" customWidth="1"/>
    <col min="1327" max="1327" width="8.375" style="3063" customWidth="1"/>
    <col min="1328" max="1328" width="9.5" style="3063" customWidth="1"/>
    <col min="1329" max="1329" width="13.25" style="3063" customWidth="1"/>
    <col min="1330" max="1330" width="13" style="3063" customWidth="1"/>
    <col min="1331" max="1333" width="10.875" style="3063" customWidth="1"/>
    <col min="1334" max="1334" width="10.5" style="3063" customWidth="1"/>
    <col min="1335" max="1335" width="6.375" style="3063" customWidth="1"/>
    <col min="1336" max="1336" width="6.25" style="3063" customWidth="1"/>
    <col min="1337" max="1337" width="9.875" style="3063" customWidth="1"/>
    <col min="1338" max="1338" width="10.75" style="3063" customWidth="1"/>
    <col min="1339" max="1339" width="9.5" style="3063" customWidth="1"/>
    <col min="1340" max="1343" width="11" style="3063" customWidth="1"/>
    <col min="1344" max="1344" width="10.625" style="3063" customWidth="1"/>
    <col min="1345" max="1345" width="11.875" style="3063" bestFit="1" customWidth="1"/>
    <col min="1346" max="1346" width="9.75" style="3063" bestFit="1" customWidth="1"/>
    <col min="1347" max="1347" width="11.875" style="3063" bestFit="1" customWidth="1"/>
    <col min="1348" max="1348" width="9.75" style="3063" bestFit="1" customWidth="1"/>
    <col min="1349" max="1349" width="11.875" style="3063" bestFit="1" customWidth="1"/>
    <col min="1350" max="1350" width="9.75" style="3063" bestFit="1" customWidth="1"/>
    <col min="1351" max="1351" width="11.375" style="3063" bestFit="1" customWidth="1"/>
    <col min="1352" max="1352" width="9.75" style="3063" bestFit="1" customWidth="1"/>
    <col min="1353" max="1353" width="11.375" style="3063" bestFit="1" customWidth="1"/>
    <col min="1354" max="1354" width="9.75" style="3063" bestFit="1" customWidth="1"/>
    <col min="1355" max="1355" width="11.375" style="3063" bestFit="1" customWidth="1"/>
    <col min="1356" max="1356" width="9.75" style="3063" bestFit="1" customWidth="1"/>
    <col min="1357" max="1357" width="11.375" style="3063" bestFit="1" customWidth="1"/>
    <col min="1358" max="1358" width="9.75" style="3063" bestFit="1" customWidth="1"/>
    <col min="1359" max="1359" width="11.375" style="3063" bestFit="1" customWidth="1"/>
    <col min="1360" max="1360" width="9.75" style="3063" bestFit="1" customWidth="1"/>
    <col min="1361" max="1361" width="10.25" style="3063" bestFit="1" customWidth="1"/>
    <col min="1362" max="1362" width="9.625" style="3063" customWidth="1"/>
    <col min="1363" max="1363" width="10.375" style="3063" customWidth="1"/>
    <col min="1364" max="1364" width="9.25" style="3063" customWidth="1"/>
    <col min="1365" max="1365" width="10" style="3063" customWidth="1"/>
    <col min="1366" max="1366" width="9.75" style="3063" customWidth="1"/>
    <col min="1367" max="1367" width="9.125" style="3063" customWidth="1"/>
    <col min="1368" max="1392" width="9.5" style="3063" customWidth="1"/>
    <col min="1393" max="1393" width="15.5" style="3063" bestFit="1" customWidth="1"/>
    <col min="1394" max="1394" width="13.25" style="3063" bestFit="1" customWidth="1"/>
    <col min="1395" max="1395" width="13.5" style="3063" customWidth="1"/>
    <col min="1396" max="1396" width="12.5" style="3063" bestFit="1" customWidth="1"/>
    <col min="1397" max="1397" width="10.625" style="3063" bestFit="1" customWidth="1"/>
    <col min="1398" max="1398" width="11.375" style="3063" bestFit="1" customWidth="1"/>
    <col min="1399" max="1399" width="11.75" style="3063" bestFit="1" customWidth="1"/>
    <col min="1400" max="1400" width="11.375" style="3063" bestFit="1" customWidth="1"/>
    <col min="1401" max="1401" width="9.375" style="3063" bestFit="1" customWidth="1"/>
    <col min="1402" max="1402" width="11.375" style="3063" bestFit="1" customWidth="1"/>
    <col min="1403" max="1403" width="10.25" style="3063" bestFit="1" customWidth="1"/>
    <col min="1404" max="1404" width="9.375" style="3063" bestFit="1" customWidth="1"/>
    <col min="1405" max="1405" width="11.375" style="3063" bestFit="1" customWidth="1"/>
    <col min="1406" max="1406" width="10.25" style="3063" bestFit="1" customWidth="1"/>
    <col min="1407" max="1407" width="10.125" style="3063" bestFit="1" customWidth="1"/>
    <col min="1408" max="1408" width="10.375" style="3063" bestFit="1" customWidth="1"/>
    <col min="1409" max="1409" width="8.375" style="3063" bestFit="1" customWidth="1"/>
    <col min="1410" max="1410" width="9.125" style="3063" bestFit="1" customWidth="1"/>
    <col min="1411" max="1411" width="10" style="3063" customWidth="1"/>
    <col min="1412" max="1412" width="8.375" style="3063" bestFit="1" customWidth="1"/>
    <col min="1413" max="1413" width="7.875" style="3063"/>
    <col min="1414" max="1414" width="9.25" style="3063" customWidth="1"/>
    <col min="1415" max="1415" width="8.375" style="3063" bestFit="1" customWidth="1"/>
    <col min="1416" max="1416" width="7.875" style="3063"/>
    <col min="1417" max="1417" width="8.625" style="3063" customWidth="1"/>
    <col min="1418" max="1418" width="10.125" style="3063" bestFit="1" customWidth="1"/>
    <col min="1419" max="1419" width="7.875" style="3063"/>
    <col min="1420" max="1420" width="10.125" style="3063" bestFit="1" customWidth="1"/>
    <col min="1421" max="1421" width="8.25" style="3063" bestFit="1" customWidth="1"/>
    <col min="1422" max="1422" width="7.875" style="3063"/>
    <col min="1423" max="1423" width="10.125" style="3063" bestFit="1" customWidth="1"/>
    <col min="1424" max="1424" width="8.25" style="3063" bestFit="1" customWidth="1"/>
    <col min="1425" max="1425" width="7.875" style="3063"/>
    <col min="1426" max="1426" width="10.125" style="3063" bestFit="1" customWidth="1"/>
    <col min="1427" max="1427" width="8.25" style="3063" bestFit="1" customWidth="1"/>
    <col min="1428" max="1428" width="7.875" style="3063"/>
    <col min="1429" max="1429" width="10.125" style="3063" bestFit="1" customWidth="1"/>
    <col min="1430" max="1431" width="8.25" style="3063" bestFit="1" customWidth="1"/>
    <col min="1432" max="1432" width="10.125" style="3063" bestFit="1" customWidth="1"/>
    <col min="1433" max="1433" width="8.25" style="3063" bestFit="1" customWidth="1"/>
    <col min="1434" max="1434" width="7.875" style="3063"/>
    <col min="1435" max="1435" width="10.125" style="3063" bestFit="1" customWidth="1"/>
    <col min="1436" max="1436" width="9.125" style="3063" bestFit="1" customWidth="1"/>
    <col min="1437" max="1437" width="7.875" style="3063"/>
    <col min="1438" max="1438" width="10.125" style="3063" bestFit="1" customWidth="1"/>
    <col min="1439" max="1439" width="9.125" style="3063" bestFit="1" customWidth="1"/>
    <col min="1440" max="1440" width="7.875" style="3063"/>
    <col min="1441" max="1441" width="10.125" style="3063" bestFit="1" customWidth="1"/>
    <col min="1442" max="1442" width="9.125" style="3063" bestFit="1" customWidth="1"/>
    <col min="1443" max="1443" width="7.875" style="3063"/>
    <col min="1444" max="1444" width="10.125" style="3063" bestFit="1" customWidth="1"/>
    <col min="1445" max="1445" width="9.125" style="3063" bestFit="1" customWidth="1"/>
    <col min="1446" max="1446" width="7.875" style="3063"/>
    <col min="1447" max="1447" width="10.125" style="3063" bestFit="1" customWidth="1"/>
    <col min="1448" max="1448" width="9.125" style="3063" bestFit="1" customWidth="1"/>
    <col min="1449" max="1449" width="7.875" style="3063"/>
    <col min="1450" max="1450" width="10.125" style="3063" bestFit="1" customWidth="1"/>
    <col min="1451" max="1452" width="8.25" style="3063" bestFit="1" customWidth="1"/>
    <col min="1453" max="1453" width="9.125" style="3063" bestFit="1" customWidth="1"/>
    <col min="1454" max="1454" width="8.25" style="3063" bestFit="1" customWidth="1"/>
    <col min="1455" max="1455" width="7.875" style="3063"/>
    <col min="1456" max="1456" width="9.125" style="3063" bestFit="1" customWidth="1"/>
    <col min="1457" max="1457" width="8.25" style="3063" bestFit="1" customWidth="1"/>
    <col min="1458" max="1458" width="7.875" style="3063"/>
    <col min="1459" max="1459" width="9.125" style="3063" bestFit="1" customWidth="1"/>
    <col min="1460" max="1460" width="8.25" style="3063" bestFit="1" customWidth="1"/>
    <col min="1461" max="1461" width="7.875" style="3063"/>
    <col min="1462" max="1463" width="8.25" style="3063" bestFit="1" customWidth="1"/>
    <col min="1464" max="1464" width="7.875" style="3063"/>
    <col min="1465" max="1466" width="8.25" style="3063" bestFit="1" customWidth="1"/>
    <col min="1467" max="1467" width="7.875" style="3063"/>
    <col min="1468" max="1468" width="9.875" style="3063" bestFit="1" customWidth="1"/>
    <col min="1469" max="1469" width="11.125" style="3063" bestFit="1" customWidth="1"/>
    <col min="1470" max="1470" width="9.125" style="3063" bestFit="1" customWidth="1"/>
    <col min="1471" max="1471" width="9.875" style="3063" bestFit="1" customWidth="1"/>
    <col min="1472" max="1472" width="11.125" style="3063" bestFit="1" customWidth="1"/>
    <col min="1473" max="1473" width="7.875" style="3063"/>
    <col min="1474" max="1474" width="9" style="3063" customWidth="1"/>
    <col min="1475" max="1475" width="8.625" style="3063" customWidth="1"/>
    <col min="1476" max="1536" width="7.875" style="3063"/>
    <col min="1537" max="1537" width="3.875" style="3063" customWidth="1"/>
    <col min="1538" max="1538" width="10.375" style="3063" customWidth="1"/>
    <col min="1539" max="1539" width="10.75" style="3063" customWidth="1"/>
    <col min="1540" max="1540" width="11.625" style="3063" customWidth="1"/>
    <col min="1541" max="1541" width="10" style="3063" customWidth="1"/>
    <col min="1542" max="1542" width="9.375" style="3063" customWidth="1"/>
    <col min="1543" max="1543" width="10.5" style="3063" customWidth="1"/>
    <col min="1544" max="1544" width="12.5" style="3063" customWidth="1"/>
    <col min="1545" max="1545" width="11.75" style="3063" customWidth="1"/>
    <col min="1546" max="1546" width="10.5" style="3063" customWidth="1"/>
    <col min="1547" max="1547" width="12.125" style="3063" customWidth="1"/>
    <col min="1548" max="1548" width="9.75" style="3063" customWidth="1"/>
    <col min="1549" max="1549" width="10" style="3063" customWidth="1"/>
    <col min="1550" max="1550" width="12.25" style="3063" customWidth="1"/>
    <col min="1551" max="1551" width="9.75" style="3063" customWidth="1"/>
    <col min="1552" max="1552" width="8.625" style="3063" customWidth="1"/>
    <col min="1553" max="1553" width="11.25" style="3063" customWidth="1"/>
    <col min="1554" max="1554" width="11.125" style="3063" customWidth="1"/>
    <col min="1555" max="1555" width="10.625" style="3063" customWidth="1"/>
    <col min="1556" max="1556" width="11.125" style="3063" customWidth="1"/>
    <col min="1557" max="1557" width="10.125" style="3063" customWidth="1"/>
    <col min="1558" max="1558" width="12.125" style="3063" customWidth="1"/>
    <col min="1559" max="1559" width="7.75" style="3063" customWidth="1"/>
    <col min="1560" max="1560" width="8.125" style="3063" customWidth="1"/>
    <col min="1561" max="1563" width="10.875" style="3063" bestFit="1" customWidth="1"/>
    <col min="1564" max="1566" width="11.5" style="3063" customWidth="1"/>
    <col min="1567" max="1567" width="11.75" style="3063" customWidth="1"/>
    <col min="1568" max="1568" width="7.75" style="3063" bestFit="1" customWidth="1"/>
    <col min="1569" max="1569" width="11.5" style="3063" bestFit="1" customWidth="1"/>
    <col min="1570" max="1570" width="7.75" style="3063" bestFit="1" customWidth="1"/>
    <col min="1571" max="1571" width="8.75" style="3063" customWidth="1"/>
    <col min="1572" max="1572" width="9.875" style="3063" bestFit="1" customWidth="1"/>
    <col min="1573" max="1573" width="8" style="3063" customWidth="1"/>
    <col min="1574" max="1577" width="7.75" style="3063" bestFit="1" customWidth="1"/>
    <col min="1578" max="1579" width="12.25" style="3063" customWidth="1"/>
    <col min="1580" max="1580" width="10.25" style="3063" customWidth="1"/>
    <col min="1581" max="1581" width="9.25" style="3063" customWidth="1"/>
    <col min="1582" max="1582" width="11" style="3063" customWidth="1"/>
    <col min="1583" max="1583" width="8.375" style="3063" customWidth="1"/>
    <col min="1584" max="1584" width="9.5" style="3063" customWidth="1"/>
    <col min="1585" max="1585" width="13.25" style="3063" customWidth="1"/>
    <col min="1586" max="1586" width="13" style="3063" customWidth="1"/>
    <col min="1587" max="1589" width="10.875" style="3063" customWidth="1"/>
    <col min="1590" max="1590" width="10.5" style="3063" customWidth="1"/>
    <col min="1591" max="1591" width="6.375" style="3063" customWidth="1"/>
    <col min="1592" max="1592" width="6.25" style="3063" customWidth="1"/>
    <col min="1593" max="1593" width="9.875" style="3063" customWidth="1"/>
    <col min="1594" max="1594" width="10.75" style="3063" customWidth="1"/>
    <col min="1595" max="1595" width="9.5" style="3063" customWidth="1"/>
    <col min="1596" max="1599" width="11" style="3063" customWidth="1"/>
    <col min="1600" max="1600" width="10.625" style="3063" customWidth="1"/>
    <col min="1601" max="1601" width="11.875" style="3063" bestFit="1" customWidth="1"/>
    <col min="1602" max="1602" width="9.75" style="3063" bestFit="1" customWidth="1"/>
    <col min="1603" max="1603" width="11.875" style="3063" bestFit="1" customWidth="1"/>
    <col min="1604" max="1604" width="9.75" style="3063" bestFit="1" customWidth="1"/>
    <col min="1605" max="1605" width="11.875" style="3063" bestFit="1" customWidth="1"/>
    <col min="1606" max="1606" width="9.75" style="3063" bestFit="1" customWidth="1"/>
    <col min="1607" max="1607" width="11.375" style="3063" bestFit="1" customWidth="1"/>
    <col min="1608" max="1608" width="9.75" style="3063" bestFit="1" customWidth="1"/>
    <col min="1609" max="1609" width="11.375" style="3063" bestFit="1" customWidth="1"/>
    <col min="1610" max="1610" width="9.75" style="3063" bestFit="1" customWidth="1"/>
    <col min="1611" max="1611" width="11.375" style="3063" bestFit="1" customWidth="1"/>
    <col min="1612" max="1612" width="9.75" style="3063" bestFit="1" customWidth="1"/>
    <col min="1613" max="1613" width="11.375" style="3063" bestFit="1" customWidth="1"/>
    <col min="1614" max="1614" width="9.75" style="3063" bestFit="1" customWidth="1"/>
    <col min="1615" max="1615" width="11.375" style="3063" bestFit="1" customWidth="1"/>
    <col min="1616" max="1616" width="9.75" style="3063" bestFit="1" customWidth="1"/>
    <col min="1617" max="1617" width="10.25" style="3063" bestFit="1" customWidth="1"/>
    <col min="1618" max="1618" width="9.625" style="3063" customWidth="1"/>
    <col min="1619" max="1619" width="10.375" style="3063" customWidth="1"/>
    <col min="1620" max="1620" width="9.25" style="3063" customWidth="1"/>
    <col min="1621" max="1621" width="10" style="3063" customWidth="1"/>
    <col min="1622" max="1622" width="9.75" style="3063" customWidth="1"/>
    <col min="1623" max="1623" width="9.125" style="3063" customWidth="1"/>
    <col min="1624" max="1648" width="9.5" style="3063" customWidth="1"/>
    <col min="1649" max="1649" width="15.5" style="3063" bestFit="1" customWidth="1"/>
    <col min="1650" max="1650" width="13.25" style="3063" bestFit="1" customWidth="1"/>
    <col min="1651" max="1651" width="13.5" style="3063" customWidth="1"/>
    <col min="1652" max="1652" width="12.5" style="3063" bestFit="1" customWidth="1"/>
    <col min="1653" max="1653" width="10.625" style="3063" bestFit="1" customWidth="1"/>
    <col min="1654" max="1654" width="11.375" style="3063" bestFit="1" customWidth="1"/>
    <col min="1655" max="1655" width="11.75" style="3063" bestFit="1" customWidth="1"/>
    <col min="1656" max="1656" width="11.375" style="3063" bestFit="1" customWidth="1"/>
    <col min="1657" max="1657" width="9.375" style="3063" bestFit="1" customWidth="1"/>
    <col min="1658" max="1658" width="11.375" style="3063" bestFit="1" customWidth="1"/>
    <col min="1659" max="1659" width="10.25" style="3063" bestFit="1" customWidth="1"/>
    <col min="1660" max="1660" width="9.375" style="3063" bestFit="1" customWidth="1"/>
    <col min="1661" max="1661" width="11.375" style="3063" bestFit="1" customWidth="1"/>
    <col min="1662" max="1662" width="10.25" style="3063" bestFit="1" customWidth="1"/>
    <col min="1663" max="1663" width="10.125" style="3063" bestFit="1" customWidth="1"/>
    <col min="1664" max="1664" width="10.375" style="3063" bestFit="1" customWidth="1"/>
    <col min="1665" max="1665" width="8.375" style="3063" bestFit="1" customWidth="1"/>
    <col min="1666" max="1666" width="9.125" style="3063" bestFit="1" customWidth="1"/>
    <col min="1667" max="1667" width="10" style="3063" customWidth="1"/>
    <col min="1668" max="1668" width="8.375" style="3063" bestFit="1" customWidth="1"/>
    <col min="1669" max="1669" width="7.875" style="3063"/>
    <col min="1670" max="1670" width="9.25" style="3063" customWidth="1"/>
    <col min="1671" max="1671" width="8.375" style="3063" bestFit="1" customWidth="1"/>
    <col min="1672" max="1672" width="7.875" style="3063"/>
    <col min="1673" max="1673" width="8.625" style="3063" customWidth="1"/>
    <col min="1674" max="1674" width="10.125" style="3063" bestFit="1" customWidth="1"/>
    <col min="1675" max="1675" width="7.875" style="3063"/>
    <col min="1676" max="1676" width="10.125" style="3063" bestFit="1" customWidth="1"/>
    <col min="1677" max="1677" width="8.25" style="3063" bestFit="1" customWidth="1"/>
    <col min="1678" max="1678" width="7.875" style="3063"/>
    <col min="1679" max="1679" width="10.125" style="3063" bestFit="1" customWidth="1"/>
    <col min="1680" max="1680" width="8.25" style="3063" bestFit="1" customWidth="1"/>
    <col min="1681" max="1681" width="7.875" style="3063"/>
    <col min="1682" max="1682" width="10.125" style="3063" bestFit="1" customWidth="1"/>
    <col min="1683" max="1683" width="8.25" style="3063" bestFit="1" customWidth="1"/>
    <col min="1684" max="1684" width="7.875" style="3063"/>
    <col min="1685" max="1685" width="10.125" style="3063" bestFit="1" customWidth="1"/>
    <col min="1686" max="1687" width="8.25" style="3063" bestFit="1" customWidth="1"/>
    <col min="1688" max="1688" width="10.125" style="3063" bestFit="1" customWidth="1"/>
    <col min="1689" max="1689" width="8.25" style="3063" bestFit="1" customWidth="1"/>
    <col min="1690" max="1690" width="7.875" style="3063"/>
    <col min="1691" max="1691" width="10.125" style="3063" bestFit="1" customWidth="1"/>
    <col min="1692" max="1692" width="9.125" style="3063" bestFit="1" customWidth="1"/>
    <col min="1693" max="1693" width="7.875" style="3063"/>
    <col min="1694" max="1694" width="10.125" style="3063" bestFit="1" customWidth="1"/>
    <col min="1695" max="1695" width="9.125" style="3063" bestFit="1" customWidth="1"/>
    <col min="1696" max="1696" width="7.875" style="3063"/>
    <col min="1697" max="1697" width="10.125" style="3063" bestFit="1" customWidth="1"/>
    <col min="1698" max="1698" width="9.125" style="3063" bestFit="1" customWidth="1"/>
    <col min="1699" max="1699" width="7.875" style="3063"/>
    <col min="1700" max="1700" width="10.125" style="3063" bestFit="1" customWidth="1"/>
    <col min="1701" max="1701" width="9.125" style="3063" bestFit="1" customWidth="1"/>
    <col min="1702" max="1702" width="7.875" style="3063"/>
    <col min="1703" max="1703" width="10.125" style="3063" bestFit="1" customWidth="1"/>
    <col min="1704" max="1704" width="9.125" style="3063" bestFit="1" customWidth="1"/>
    <col min="1705" max="1705" width="7.875" style="3063"/>
    <col min="1706" max="1706" width="10.125" style="3063" bestFit="1" customWidth="1"/>
    <col min="1707" max="1708" width="8.25" style="3063" bestFit="1" customWidth="1"/>
    <col min="1709" max="1709" width="9.125" style="3063" bestFit="1" customWidth="1"/>
    <col min="1710" max="1710" width="8.25" style="3063" bestFit="1" customWidth="1"/>
    <col min="1711" max="1711" width="7.875" style="3063"/>
    <col min="1712" max="1712" width="9.125" style="3063" bestFit="1" customWidth="1"/>
    <col min="1713" max="1713" width="8.25" style="3063" bestFit="1" customWidth="1"/>
    <col min="1714" max="1714" width="7.875" style="3063"/>
    <col min="1715" max="1715" width="9.125" style="3063" bestFit="1" customWidth="1"/>
    <col min="1716" max="1716" width="8.25" style="3063" bestFit="1" customWidth="1"/>
    <col min="1717" max="1717" width="7.875" style="3063"/>
    <col min="1718" max="1719" width="8.25" style="3063" bestFit="1" customWidth="1"/>
    <col min="1720" max="1720" width="7.875" style="3063"/>
    <col min="1721" max="1722" width="8.25" style="3063" bestFit="1" customWidth="1"/>
    <col min="1723" max="1723" width="7.875" style="3063"/>
    <col min="1724" max="1724" width="9.875" style="3063" bestFit="1" customWidth="1"/>
    <col min="1725" max="1725" width="11.125" style="3063" bestFit="1" customWidth="1"/>
    <col min="1726" max="1726" width="9.125" style="3063" bestFit="1" customWidth="1"/>
    <col min="1727" max="1727" width="9.875" style="3063" bestFit="1" customWidth="1"/>
    <col min="1728" max="1728" width="11.125" style="3063" bestFit="1" customWidth="1"/>
    <col min="1729" max="1729" width="7.875" style="3063"/>
    <col min="1730" max="1730" width="9" style="3063" customWidth="1"/>
    <col min="1731" max="1731" width="8.625" style="3063" customWidth="1"/>
    <col min="1732" max="1792" width="7.875" style="3063"/>
    <col min="1793" max="1793" width="3.875" style="3063" customWidth="1"/>
    <col min="1794" max="1794" width="10.375" style="3063" customWidth="1"/>
    <col min="1795" max="1795" width="10.75" style="3063" customWidth="1"/>
    <col min="1796" max="1796" width="11.625" style="3063" customWidth="1"/>
    <col min="1797" max="1797" width="10" style="3063" customWidth="1"/>
    <col min="1798" max="1798" width="9.375" style="3063" customWidth="1"/>
    <col min="1799" max="1799" width="10.5" style="3063" customWidth="1"/>
    <col min="1800" max="1800" width="12.5" style="3063" customWidth="1"/>
    <col min="1801" max="1801" width="11.75" style="3063" customWidth="1"/>
    <col min="1802" max="1802" width="10.5" style="3063" customWidth="1"/>
    <col min="1803" max="1803" width="12.125" style="3063" customWidth="1"/>
    <col min="1804" max="1804" width="9.75" style="3063" customWidth="1"/>
    <col min="1805" max="1805" width="10" style="3063" customWidth="1"/>
    <col min="1806" max="1806" width="12.25" style="3063" customWidth="1"/>
    <col min="1807" max="1807" width="9.75" style="3063" customWidth="1"/>
    <col min="1808" max="1808" width="8.625" style="3063" customWidth="1"/>
    <col min="1809" max="1809" width="11.25" style="3063" customWidth="1"/>
    <col min="1810" max="1810" width="11.125" style="3063" customWidth="1"/>
    <col min="1811" max="1811" width="10.625" style="3063" customWidth="1"/>
    <col min="1812" max="1812" width="11.125" style="3063" customWidth="1"/>
    <col min="1813" max="1813" width="10.125" style="3063" customWidth="1"/>
    <col min="1814" max="1814" width="12.125" style="3063" customWidth="1"/>
    <col min="1815" max="1815" width="7.75" style="3063" customWidth="1"/>
    <col min="1816" max="1816" width="8.125" style="3063" customWidth="1"/>
    <col min="1817" max="1819" width="10.875" style="3063" bestFit="1" customWidth="1"/>
    <col min="1820" max="1822" width="11.5" style="3063" customWidth="1"/>
    <col min="1823" max="1823" width="11.75" style="3063" customWidth="1"/>
    <col min="1824" max="1824" width="7.75" style="3063" bestFit="1" customWidth="1"/>
    <col min="1825" max="1825" width="11.5" style="3063" bestFit="1" customWidth="1"/>
    <col min="1826" max="1826" width="7.75" style="3063" bestFit="1" customWidth="1"/>
    <col min="1827" max="1827" width="8.75" style="3063" customWidth="1"/>
    <col min="1828" max="1828" width="9.875" style="3063" bestFit="1" customWidth="1"/>
    <col min="1829" max="1829" width="8" style="3063" customWidth="1"/>
    <col min="1830" max="1833" width="7.75" style="3063" bestFit="1" customWidth="1"/>
    <col min="1834" max="1835" width="12.25" style="3063" customWidth="1"/>
    <col min="1836" max="1836" width="10.25" style="3063" customWidth="1"/>
    <col min="1837" max="1837" width="9.25" style="3063" customWidth="1"/>
    <col min="1838" max="1838" width="11" style="3063" customWidth="1"/>
    <col min="1839" max="1839" width="8.375" style="3063" customWidth="1"/>
    <col min="1840" max="1840" width="9.5" style="3063" customWidth="1"/>
    <col min="1841" max="1841" width="13.25" style="3063" customWidth="1"/>
    <col min="1842" max="1842" width="13" style="3063" customWidth="1"/>
    <col min="1843" max="1845" width="10.875" style="3063" customWidth="1"/>
    <col min="1846" max="1846" width="10.5" style="3063" customWidth="1"/>
    <col min="1847" max="1847" width="6.375" style="3063" customWidth="1"/>
    <col min="1848" max="1848" width="6.25" style="3063" customWidth="1"/>
    <col min="1849" max="1849" width="9.875" style="3063" customWidth="1"/>
    <col min="1850" max="1850" width="10.75" style="3063" customWidth="1"/>
    <col min="1851" max="1851" width="9.5" style="3063" customWidth="1"/>
    <col min="1852" max="1855" width="11" style="3063" customWidth="1"/>
    <col min="1856" max="1856" width="10.625" style="3063" customWidth="1"/>
    <col min="1857" max="1857" width="11.875" style="3063" bestFit="1" customWidth="1"/>
    <col min="1858" max="1858" width="9.75" style="3063" bestFit="1" customWidth="1"/>
    <col min="1859" max="1859" width="11.875" style="3063" bestFit="1" customWidth="1"/>
    <col min="1860" max="1860" width="9.75" style="3063" bestFit="1" customWidth="1"/>
    <col min="1861" max="1861" width="11.875" style="3063" bestFit="1" customWidth="1"/>
    <col min="1862" max="1862" width="9.75" style="3063" bestFit="1" customWidth="1"/>
    <col min="1863" max="1863" width="11.375" style="3063" bestFit="1" customWidth="1"/>
    <col min="1864" max="1864" width="9.75" style="3063" bestFit="1" customWidth="1"/>
    <col min="1865" max="1865" width="11.375" style="3063" bestFit="1" customWidth="1"/>
    <col min="1866" max="1866" width="9.75" style="3063" bestFit="1" customWidth="1"/>
    <col min="1867" max="1867" width="11.375" style="3063" bestFit="1" customWidth="1"/>
    <col min="1868" max="1868" width="9.75" style="3063" bestFit="1" customWidth="1"/>
    <col min="1869" max="1869" width="11.375" style="3063" bestFit="1" customWidth="1"/>
    <col min="1870" max="1870" width="9.75" style="3063" bestFit="1" customWidth="1"/>
    <col min="1871" max="1871" width="11.375" style="3063" bestFit="1" customWidth="1"/>
    <col min="1872" max="1872" width="9.75" style="3063" bestFit="1" customWidth="1"/>
    <col min="1873" max="1873" width="10.25" style="3063" bestFit="1" customWidth="1"/>
    <col min="1874" max="1874" width="9.625" style="3063" customWidth="1"/>
    <col min="1875" max="1875" width="10.375" style="3063" customWidth="1"/>
    <col min="1876" max="1876" width="9.25" style="3063" customWidth="1"/>
    <col min="1877" max="1877" width="10" style="3063" customWidth="1"/>
    <col min="1878" max="1878" width="9.75" style="3063" customWidth="1"/>
    <col min="1879" max="1879" width="9.125" style="3063" customWidth="1"/>
    <col min="1880" max="1904" width="9.5" style="3063" customWidth="1"/>
    <col min="1905" max="1905" width="15.5" style="3063" bestFit="1" customWidth="1"/>
    <col min="1906" max="1906" width="13.25" style="3063" bestFit="1" customWidth="1"/>
    <col min="1907" max="1907" width="13.5" style="3063" customWidth="1"/>
    <col min="1908" max="1908" width="12.5" style="3063" bestFit="1" customWidth="1"/>
    <col min="1909" max="1909" width="10.625" style="3063" bestFit="1" customWidth="1"/>
    <col min="1910" max="1910" width="11.375" style="3063" bestFit="1" customWidth="1"/>
    <col min="1911" max="1911" width="11.75" style="3063" bestFit="1" customWidth="1"/>
    <col min="1912" max="1912" width="11.375" style="3063" bestFit="1" customWidth="1"/>
    <col min="1913" max="1913" width="9.375" style="3063" bestFit="1" customWidth="1"/>
    <col min="1914" max="1914" width="11.375" style="3063" bestFit="1" customWidth="1"/>
    <col min="1915" max="1915" width="10.25" style="3063" bestFit="1" customWidth="1"/>
    <col min="1916" max="1916" width="9.375" style="3063" bestFit="1" customWidth="1"/>
    <col min="1917" max="1917" width="11.375" style="3063" bestFit="1" customWidth="1"/>
    <col min="1918" max="1918" width="10.25" style="3063" bestFit="1" customWidth="1"/>
    <col min="1919" max="1919" width="10.125" style="3063" bestFit="1" customWidth="1"/>
    <col min="1920" max="1920" width="10.375" style="3063" bestFit="1" customWidth="1"/>
    <col min="1921" max="1921" width="8.375" style="3063" bestFit="1" customWidth="1"/>
    <col min="1922" max="1922" width="9.125" style="3063" bestFit="1" customWidth="1"/>
    <col min="1923" max="1923" width="10" style="3063" customWidth="1"/>
    <col min="1924" max="1924" width="8.375" style="3063" bestFit="1" customWidth="1"/>
    <col min="1925" max="1925" width="7.875" style="3063"/>
    <col min="1926" max="1926" width="9.25" style="3063" customWidth="1"/>
    <col min="1927" max="1927" width="8.375" style="3063" bestFit="1" customWidth="1"/>
    <col min="1928" max="1928" width="7.875" style="3063"/>
    <col min="1929" max="1929" width="8.625" style="3063" customWidth="1"/>
    <col min="1930" max="1930" width="10.125" style="3063" bestFit="1" customWidth="1"/>
    <col min="1931" max="1931" width="7.875" style="3063"/>
    <col min="1932" max="1932" width="10.125" style="3063" bestFit="1" customWidth="1"/>
    <col min="1933" max="1933" width="8.25" style="3063" bestFit="1" customWidth="1"/>
    <col min="1934" max="1934" width="7.875" style="3063"/>
    <col min="1935" max="1935" width="10.125" style="3063" bestFit="1" customWidth="1"/>
    <col min="1936" max="1936" width="8.25" style="3063" bestFit="1" customWidth="1"/>
    <col min="1937" max="1937" width="7.875" style="3063"/>
    <col min="1938" max="1938" width="10.125" style="3063" bestFit="1" customWidth="1"/>
    <col min="1939" max="1939" width="8.25" style="3063" bestFit="1" customWidth="1"/>
    <col min="1940" max="1940" width="7.875" style="3063"/>
    <col min="1941" max="1941" width="10.125" style="3063" bestFit="1" customWidth="1"/>
    <col min="1942" max="1943" width="8.25" style="3063" bestFit="1" customWidth="1"/>
    <col min="1944" max="1944" width="10.125" style="3063" bestFit="1" customWidth="1"/>
    <col min="1945" max="1945" width="8.25" style="3063" bestFit="1" customWidth="1"/>
    <col min="1946" max="1946" width="7.875" style="3063"/>
    <col min="1947" max="1947" width="10.125" style="3063" bestFit="1" customWidth="1"/>
    <col min="1948" max="1948" width="9.125" style="3063" bestFit="1" customWidth="1"/>
    <col min="1949" max="1949" width="7.875" style="3063"/>
    <col min="1950" max="1950" width="10.125" style="3063" bestFit="1" customWidth="1"/>
    <col min="1951" max="1951" width="9.125" style="3063" bestFit="1" customWidth="1"/>
    <col min="1952" max="1952" width="7.875" style="3063"/>
    <col min="1953" max="1953" width="10.125" style="3063" bestFit="1" customWidth="1"/>
    <col min="1954" max="1954" width="9.125" style="3063" bestFit="1" customWidth="1"/>
    <col min="1955" max="1955" width="7.875" style="3063"/>
    <col min="1956" max="1956" width="10.125" style="3063" bestFit="1" customWidth="1"/>
    <col min="1957" max="1957" width="9.125" style="3063" bestFit="1" customWidth="1"/>
    <col min="1958" max="1958" width="7.875" style="3063"/>
    <col min="1959" max="1959" width="10.125" style="3063" bestFit="1" customWidth="1"/>
    <col min="1960" max="1960" width="9.125" style="3063" bestFit="1" customWidth="1"/>
    <col min="1961" max="1961" width="7.875" style="3063"/>
    <col min="1962" max="1962" width="10.125" style="3063" bestFit="1" customWidth="1"/>
    <col min="1963" max="1964" width="8.25" style="3063" bestFit="1" customWidth="1"/>
    <col min="1965" max="1965" width="9.125" style="3063" bestFit="1" customWidth="1"/>
    <col min="1966" max="1966" width="8.25" style="3063" bestFit="1" customWidth="1"/>
    <col min="1967" max="1967" width="7.875" style="3063"/>
    <col min="1968" max="1968" width="9.125" style="3063" bestFit="1" customWidth="1"/>
    <col min="1969" max="1969" width="8.25" style="3063" bestFit="1" customWidth="1"/>
    <col min="1970" max="1970" width="7.875" style="3063"/>
    <col min="1971" max="1971" width="9.125" style="3063" bestFit="1" customWidth="1"/>
    <col min="1972" max="1972" width="8.25" style="3063" bestFit="1" customWidth="1"/>
    <col min="1973" max="1973" width="7.875" style="3063"/>
    <col min="1974" max="1975" width="8.25" style="3063" bestFit="1" customWidth="1"/>
    <col min="1976" max="1976" width="7.875" style="3063"/>
    <col min="1977" max="1978" width="8.25" style="3063" bestFit="1" customWidth="1"/>
    <col min="1979" max="1979" width="7.875" style="3063"/>
    <col min="1980" max="1980" width="9.875" style="3063" bestFit="1" customWidth="1"/>
    <col min="1981" max="1981" width="11.125" style="3063" bestFit="1" customWidth="1"/>
    <col min="1982" max="1982" width="9.125" style="3063" bestFit="1" customWidth="1"/>
    <col min="1983" max="1983" width="9.875" style="3063" bestFit="1" customWidth="1"/>
    <col min="1984" max="1984" width="11.125" style="3063" bestFit="1" customWidth="1"/>
    <col min="1985" max="1985" width="7.875" style="3063"/>
    <col min="1986" max="1986" width="9" style="3063" customWidth="1"/>
    <col min="1987" max="1987" width="8.625" style="3063" customWidth="1"/>
    <col min="1988" max="2048" width="7.875" style="3063"/>
    <col min="2049" max="2049" width="3.875" style="3063" customWidth="1"/>
    <col min="2050" max="2050" width="10.375" style="3063" customWidth="1"/>
    <col min="2051" max="2051" width="10.75" style="3063" customWidth="1"/>
    <col min="2052" max="2052" width="11.625" style="3063" customWidth="1"/>
    <col min="2053" max="2053" width="10" style="3063" customWidth="1"/>
    <col min="2054" max="2054" width="9.375" style="3063" customWidth="1"/>
    <col min="2055" max="2055" width="10.5" style="3063" customWidth="1"/>
    <col min="2056" max="2056" width="12.5" style="3063" customWidth="1"/>
    <col min="2057" max="2057" width="11.75" style="3063" customWidth="1"/>
    <col min="2058" max="2058" width="10.5" style="3063" customWidth="1"/>
    <col min="2059" max="2059" width="12.125" style="3063" customWidth="1"/>
    <col min="2060" max="2060" width="9.75" style="3063" customWidth="1"/>
    <col min="2061" max="2061" width="10" style="3063" customWidth="1"/>
    <col min="2062" max="2062" width="12.25" style="3063" customWidth="1"/>
    <col min="2063" max="2063" width="9.75" style="3063" customWidth="1"/>
    <col min="2064" max="2064" width="8.625" style="3063" customWidth="1"/>
    <col min="2065" max="2065" width="11.25" style="3063" customWidth="1"/>
    <col min="2066" max="2066" width="11.125" style="3063" customWidth="1"/>
    <col min="2067" max="2067" width="10.625" style="3063" customWidth="1"/>
    <col min="2068" max="2068" width="11.125" style="3063" customWidth="1"/>
    <col min="2069" max="2069" width="10.125" style="3063" customWidth="1"/>
    <col min="2070" max="2070" width="12.125" style="3063" customWidth="1"/>
    <col min="2071" max="2071" width="7.75" style="3063" customWidth="1"/>
    <col min="2072" max="2072" width="8.125" style="3063" customWidth="1"/>
    <col min="2073" max="2075" width="10.875" style="3063" bestFit="1" customWidth="1"/>
    <col min="2076" max="2078" width="11.5" style="3063" customWidth="1"/>
    <col min="2079" max="2079" width="11.75" style="3063" customWidth="1"/>
    <col min="2080" max="2080" width="7.75" style="3063" bestFit="1" customWidth="1"/>
    <col min="2081" max="2081" width="11.5" style="3063" bestFit="1" customWidth="1"/>
    <col min="2082" max="2082" width="7.75" style="3063" bestFit="1" customWidth="1"/>
    <col min="2083" max="2083" width="8.75" style="3063" customWidth="1"/>
    <col min="2084" max="2084" width="9.875" style="3063" bestFit="1" customWidth="1"/>
    <col min="2085" max="2085" width="8" style="3063" customWidth="1"/>
    <col min="2086" max="2089" width="7.75" style="3063" bestFit="1" customWidth="1"/>
    <col min="2090" max="2091" width="12.25" style="3063" customWidth="1"/>
    <col min="2092" max="2092" width="10.25" style="3063" customWidth="1"/>
    <col min="2093" max="2093" width="9.25" style="3063" customWidth="1"/>
    <col min="2094" max="2094" width="11" style="3063" customWidth="1"/>
    <col min="2095" max="2095" width="8.375" style="3063" customWidth="1"/>
    <col min="2096" max="2096" width="9.5" style="3063" customWidth="1"/>
    <col min="2097" max="2097" width="13.25" style="3063" customWidth="1"/>
    <col min="2098" max="2098" width="13" style="3063" customWidth="1"/>
    <col min="2099" max="2101" width="10.875" style="3063" customWidth="1"/>
    <col min="2102" max="2102" width="10.5" style="3063" customWidth="1"/>
    <col min="2103" max="2103" width="6.375" style="3063" customWidth="1"/>
    <col min="2104" max="2104" width="6.25" style="3063" customWidth="1"/>
    <col min="2105" max="2105" width="9.875" style="3063" customWidth="1"/>
    <col min="2106" max="2106" width="10.75" style="3063" customWidth="1"/>
    <col min="2107" max="2107" width="9.5" style="3063" customWidth="1"/>
    <col min="2108" max="2111" width="11" style="3063" customWidth="1"/>
    <col min="2112" max="2112" width="10.625" style="3063" customWidth="1"/>
    <col min="2113" max="2113" width="11.875" style="3063" bestFit="1" customWidth="1"/>
    <col min="2114" max="2114" width="9.75" style="3063" bestFit="1" customWidth="1"/>
    <col min="2115" max="2115" width="11.875" style="3063" bestFit="1" customWidth="1"/>
    <col min="2116" max="2116" width="9.75" style="3063" bestFit="1" customWidth="1"/>
    <col min="2117" max="2117" width="11.875" style="3063" bestFit="1" customWidth="1"/>
    <col min="2118" max="2118" width="9.75" style="3063" bestFit="1" customWidth="1"/>
    <col min="2119" max="2119" width="11.375" style="3063" bestFit="1" customWidth="1"/>
    <col min="2120" max="2120" width="9.75" style="3063" bestFit="1" customWidth="1"/>
    <col min="2121" max="2121" width="11.375" style="3063" bestFit="1" customWidth="1"/>
    <col min="2122" max="2122" width="9.75" style="3063" bestFit="1" customWidth="1"/>
    <col min="2123" max="2123" width="11.375" style="3063" bestFit="1" customWidth="1"/>
    <col min="2124" max="2124" width="9.75" style="3063" bestFit="1" customWidth="1"/>
    <col min="2125" max="2125" width="11.375" style="3063" bestFit="1" customWidth="1"/>
    <col min="2126" max="2126" width="9.75" style="3063" bestFit="1" customWidth="1"/>
    <col min="2127" max="2127" width="11.375" style="3063" bestFit="1" customWidth="1"/>
    <col min="2128" max="2128" width="9.75" style="3063" bestFit="1" customWidth="1"/>
    <col min="2129" max="2129" width="10.25" style="3063" bestFit="1" customWidth="1"/>
    <col min="2130" max="2130" width="9.625" style="3063" customWidth="1"/>
    <col min="2131" max="2131" width="10.375" style="3063" customWidth="1"/>
    <col min="2132" max="2132" width="9.25" style="3063" customWidth="1"/>
    <col min="2133" max="2133" width="10" style="3063" customWidth="1"/>
    <col min="2134" max="2134" width="9.75" style="3063" customWidth="1"/>
    <col min="2135" max="2135" width="9.125" style="3063" customWidth="1"/>
    <col min="2136" max="2160" width="9.5" style="3063" customWidth="1"/>
    <col min="2161" max="2161" width="15.5" style="3063" bestFit="1" customWidth="1"/>
    <col min="2162" max="2162" width="13.25" style="3063" bestFit="1" customWidth="1"/>
    <col min="2163" max="2163" width="13.5" style="3063" customWidth="1"/>
    <col min="2164" max="2164" width="12.5" style="3063" bestFit="1" customWidth="1"/>
    <col min="2165" max="2165" width="10.625" style="3063" bestFit="1" customWidth="1"/>
    <col min="2166" max="2166" width="11.375" style="3063" bestFit="1" customWidth="1"/>
    <col min="2167" max="2167" width="11.75" style="3063" bestFit="1" customWidth="1"/>
    <col min="2168" max="2168" width="11.375" style="3063" bestFit="1" customWidth="1"/>
    <col min="2169" max="2169" width="9.375" style="3063" bestFit="1" customWidth="1"/>
    <col min="2170" max="2170" width="11.375" style="3063" bestFit="1" customWidth="1"/>
    <col min="2171" max="2171" width="10.25" style="3063" bestFit="1" customWidth="1"/>
    <col min="2172" max="2172" width="9.375" style="3063" bestFit="1" customWidth="1"/>
    <col min="2173" max="2173" width="11.375" style="3063" bestFit="1" customWidth="1"/>
    <col min="2174" max="2174" width="10.25" style="3063" bestFit="1" customWidth="1"/>
    <col min="2175" max="2175" width="10.125" style="3063" bestFit="1" customWidth="1"/>
    <col min="2176" max="2176" width="10.375" style="3063" bestFit="1" customWidth="1"/>
    <col min="2177" max="2177" width="8.375" style="3063" bestFit="1" customWidth="1"/>
    <col min="2178" max="2178" width="9.125" style="3063" bestFit="1" customWidth="1"/>
    <col min="2179" max="2179" width="10" style="3063" customWidth="1"/>
    <col min="2180" max="2180" width="8.375" style="3063" bestFit="1" customWidth="1"/>
    <col min="2181" max="2181" width="7.875" style="3063"/>
    <col min="2182" max="2182" width="9.25" style="3063" customWidth="1"/>
    <col min="2183" max="2183" width="8.375" style="3063" bestFit="1" customWidth="1"/>
    <col min="2184" max="2184" width="7.875" style="3063"/>
    <col min="2185" max="2185" width="8.625" style="3063" customWidth="1"/>
    <col min="2186" max="2186" width="10.125" style="3063" bestFit="1" customWidth="1"/>
    <col min="2187" max="2187" width="7.875" style="3063"/>
    <col min="2188" max="2188" width="10.125" style="3063" bestFit="1" customWidth="1"/>
    <col min="2189" max="2189" width="8.25" style="3063" bestFit="1" customWidth="1"/>
    <col min="2190" max="2190" width="7.875" style="3063"/>
    <col min="2191" max="2191" width="10.125" style="3063" bestFit="1" customWidth="1"/>
    <col min="2192" max="2192" width="8.25" style="3063" bestFit="1" customWidth="1"/>
    <col min="2193" max="2193" width="7.875" style="3063"/>
    <col min="2194" max="2194" width="10.125" style="3063" bestFit="1" customWidth="1"/>
    <col min="2195" max="2195" width="8.25" style="3063" bestFit="1" customWidth="1"/>
    <col min="2196" max="2196" width="7.875" style="3063"/>
    <col min="2197" max="2197" width="10.125" style="3063" bestFit="1" customWidth="1"/>
    <col min="2198" max="2199" width="8.25" style="3063" bestFit="1" customWidth="1"/>
    <col min="2200" max="2200" width="10.125" style="3063" bestFit="1" customWidth="1"/>
    <col min="2201" max="2201" width="8.25" style="3063" bestFit="1" customWidth="1"/>
    <col min="2202" max="2202" width="7.875" style="3063"/>
    <col min="2203" max="2203" width="10.125" style="3063" bestFit="1" customWidth="1"/>
    <col min="2204" max="2204" width="9.125" style="3063" bestFit="1" customWidth="1"/>
    <col min="2205" max="2205" width="7.875" style="3063"/>
    <col min="2206" max="2206" width="10.125" style="3063" bestFit="1" customWidth="1"/>
    <col min="2207" max="2207" width="9.125" style="3063" bestFit="1" customWidth="1"/>
    <col min="2208" max="2208" width="7.875" style="3063"/>
    <col min="2209" max="2209" width="10.125" style="3063" bestFit="1" customWidth="1"/>
    <col min="2210" max="2210" width="9.125" style="3063" bestFit="1" customWidth="1"/>
    <col min="2211" max="2211" width="7.875" style="3063"/>
    <col min="2212" max="2212" width="10.125" style="3063" bestFit="1" customWidth="1"/>
    <col min="2213" max="2213" width="9.125" style="3063" bestFit="1" customWidth="1"/>
    <col min="2214" max="2214" width="7.875" style="3063"/>
    <col min="2215" max="2215" width="10.125" style="3063" bestFit="1" customWidth="1"/>
    <col min="2216" max="2216" width="9.125" style="3063" bestFit="1" customWidth="1"/>
    <col min="2217" max="2217" width="7.875" style="3063"/>
    <col min="2218" max="2218" width="10.125" style="3063" bestFit="1" customWidth="1"/>
    <col min="2219" max="2220" width="8.25" style="3063" bestFit="1" customWidth="1"/>
    <col min="2221" max="2221" width="9.125" style="3063" bestFit="1" customWidth="1"/>
    <col min="2222" max="2222" width="8.25" style="3063" bestFit="1" customWidth="1"/>
    <col min="2223" max="2223" width="7.875" style="3063"/>
    <col min="2224" max="2224" width="9.125" style="3063" bestFit="1" customWidth="1"/>
    <col min="2225" max="2225" width="8.25" style="3063" bestFit="1" customWidth="1"/>
    <col min="2226" max="2226" width="7.875" style="3063"/>
    <col min="2227" max="2227" width="9.125" style="3063" bestFit="1" customWidth="1"/>
    <col min="2228" max="2228" width="8.25" style="3063" bestFit="1" customWidth="1"/>
    <col min="2229" max="2229" width="7.875" style="3063"/>
    <col min="2230" max="2231" width="8.25" style="3063" bestFit="1" customWidth="1"/>
    <col min="2232" max="2232" width="7.875" style="3063"/>
    <col min="2233" max="2234" width="8.25" style="3063" bestFit="1" customWidth="1"/>
    <col min="2235" max="2235" width="7.875" style="3063"/>
    <col min="2236" max="2236" width="9.875" style="3063" bestFit="1" customWidth="1"/>
    <col min="2237" max="2237" width="11.125" style="3063" bestFit="1" customWidth="1"/>
    <col min="2238" max="2238" width="9.125" style="3063" bestFit="1" customWidth="1"/>
    <col min="2239" max="2239" width="9.875" style="3063" bestFit="1" customWidth="1"/>
    <col min="2240" max="2240" width="11.125" style="3063" bestFit="1" customWidth="1"/>
    <col min="2241" max="2241" width="7.875" style="3063"/>
    <col min="2242" max="2242" width="9" style="3063" customWidth="1"/>
    <col min="2243" max="2243" width="8.625" style="3063" customWidth="1"/>
    <col min="2244" max="2304" width="7.875" style="3063"/>
    <col min="2305" max="2305" width="3.875" style="3063" customWidth="1"/>
    <col min="2306" max="2306" width="10.375" style="3063" customWidth="1"/>
    <col min="2307" max="2307" width="10.75" style="3063" customWidth="1"/>
    <col min="2308" max="2308" width="11.625" style="3063" customWidth="1"/>
    <col min="2309" max="2309" width="10" style="3063" customWidth="1"/>
    <col min="2310" max="2310" width="9.375" style="3063" customWidth="1"/>
    <col min="2311" max="2311" width="10.5" style="3063" customWidth="1"/>
    <col min="2312" max="2312" width="12.5" style="3063" customWidth="1"/>
    <col min="2313" max="2313" width="11.75" style="3063" customWidth="1"/>
    <col min="2314" max="2314" width="10.5" style="3063" customWidth="1"/>
    <col min="2315" max="2315" width="12.125" style="3063" customWidth="1"/>
    <col min="2316" max="2316" width="9.75" style="3063" customWidth="1"/>
    <col min="2317" max="2317" width="10" style="3063" customWidth="1"/>
    <col min="2318" max="2318" width="12.25" style="3063" customWidth="1"/>
    <col min="2319" max="2319" width="9.75" style="3063" customWidth="1"/>
    <col min="2320" max="2320" width="8.625" style="3063" customWidth="1"/>
    <col min="2321" max="2321" width="11.25" style="3063" customWidth="1"/>
    <col min="2322" max="2322" width="11.125" style="3063" customWidth="1"/>
    <col min="2323" max="2323" width="10.625" style="3063" customWidth="1"/>
    <col min="2324" max="2324" width="11.125" style="3063" customWidth="1"/>
    <col min="2325" max="2325" width="10.125" style="3063" customWidth="1"/>
    <col min="2326" max="2326" width="12.125" style="3063" customWidth="1"/>
    <col min="2327" max="2327" width="7.75" style="3063" customWidth="1"/>
    <col min="2328" max="2328" width="8.125" style="3063" customWidth="1"/>
    <col min="2329" max="2331" width="10.875" style="3063" bestFit="1" customWidth="1"/>
    <col min="2332" max="2334" width="11.5" style="3063" customWidth="1"/>
    <col min="2335" max="2335" width="11.75" style="3063" customWidth="1"/>
    <col min="2336" max="2336" width="7.75" style="3063" bestFit="1" customWidth="1"/>
    <col min="2337" max="2337" width="11.5" style="3063" bestFit="1" customWidth="1"/>
    <col min="2338" max="2338" width="7.75" style="3063" bestFit="1" customWidth="1"/>
    <col min="2339" max="2339" width="8.75" style="3063" customWidth="1"/>
    <col min="2340" max="2340" width="9.875" style="3063" bestFit="1" customWidth="1"/>
    <col min="2341" max="2341" width="8" style="3063" customWidth="1"/>
    <col min="2342" max="2345" width="7.75" style="3063" bestFit="1" customWidth="1"/>
    <col min="2346" max="2347" width="12.25" style="3063" customWidth="1"/>
    <col min="2348" max="2348" width="10.25" style="3063" customWidth="1"/>
    <col min="2349" max="2349" width="9.25" style="3063" customWidth="1"/>
    <col min="2350" max="2350" width="11" style="3063" customWidth="1"/>
    <col min="2351" max="2351" width="8.375" style="3063" customWidth="1"/>
    <col min="2352" max="2352" width="9.5" style="3063" customWidth="1"/>
    <col min="2353" max="2353" width="13.25" style="3063" customWidth="1"/>
    <col min="2354" max="2354" width="13" style="3063" customWidth="1"/>
    <col min="2355" max="2357" width="10.875" style="3063" customWidth="1"/>
    <col min="2358" max="2358" width="10.5" style="3063" customWidth="1"/>
    <col min="2359" max="2359" width="6.375" style="3063" customWidth="1"/>
    <col min="2360" max="2360" width="6.25" style="3063" customWidth="1"/>
    <col min="2361" max="2361" width="9.875" style="3063" customWidth="1"/>
    <col min="2362" max="2362" width="10.75" style="3063" customWidth="1"/>
    <col min="2363" max="2363" width="9.5" style="3063" customWidth="1"/>
    <col min="2364" max="2367" width="11" style="3063" customWidth="1"/>
    <col min="2368" max="2368" width="10.625" style="3063" customWidth="1"/>
    <col min="2369" max="2369" width="11.875" style="3063" bestFit="1" customWidth="1"/>
    <col min="2370" max="2370" width="9.75" style="3063" bestFit="1" customWidth="1"/>
    <col min="2371" max="2371" width="11.875" style="3063" bestFit="1" customWidth="1"/>
    <col min="2372" max="2372" width="9.75" style="3063" bestFit="1" customWidth="1"/>
    <col min="2373" max="2373" width="11.875" style="3063" bestFit="1" customWidth="1"/>
    <col min="2374" max="2374" width="9.75" style="3063" bestFit="1" customWidth="1"/>
    <col min="2375" max="2375" width="11.375" style="3063" bestFit="1" customWidth="1"/>
    <col min="2376" max="2376" width="9.75" style="3063" bestFit="1" customWidth="1"/>
    <col min="2377" max="2377" width="11.375" style="3063" bestFit="1" customWidth="1"/>
    <col min="2378" max="2378" width="9.75" style="3063" bestFit="1" customWidth="1"/>
    <col min="2379" max="2379" width="11.375" style="3063" bestFit="1" customWidth="1"/>
    <col min="2380" max="2380" width="9.75" style="3063" bestFit="1" customWidth="1"/>
    <col min="2381" max="2381" width="11.375" style="3063" bestFit="1" customWidth="1"/>
    <col min="2382" max="2382" width="9.75" style="3063" bestFit="1" customWidth="1"/>
    <col min="2383" max="2383" width="11.375" style="3063" bestFit="1" customWidth="1"/>
    <col min="2384" max="2384" width="9.75" style="3063" bestFit="1" customWidth="1"/>
    <col min="2385" max="2385" width="10.25" style="3063" bestFit="1" customWidth="1"/>
    <col min="2386" max="2386" width="9.625" style="3063" customWidth="1"/>
    <col min="2387" max="2387" width="10.375" style="3063" customWidth="1"/>
    <col min="2388" max="2388" width="9.25" style="3063" customWidth="1"/>
    <col min="2389" max="2389" width="10" style="3063" customWidth="1"/>
    <col min="2390" max="2390" width="9.75" style="3063" customWidth="1"/>
    <col min="2391" max="2391" width="9.125" style="3063" customWidth="1"/>
    <col min="2392" max="2416" width="9.5" style="3063" customWidth="1"/>
    <col min="2417" max="2417" width="15.5" style="3063" bestFit="1" customWidth="1"/>
    <col min="2418" max="2418" width="13.25" style="3063" bestFit="1" customWidth="1"/>
    <col min="2419" max="2419" width="13.5" style="3063" customWidth="1"/>
    <col min="2420" max="2420" width="12.5" style="3063" bestFit="1" customWidth="1"/>
    <col min="2421" max="2421" width="10.625" style="3063" bestFit="1" customWidth="1"/>
    <col min="2422" max="2422" width="11.375" style="3063" bestFit="1" customWidth="1"/>
    <col min="2423" max="2423" width="11.75" style="3063" bestFit="1" customWidth="1"/>
    <col min="2424" max="2424" width="11.375" style="3063" bestFit="1" customWidth="1"/>
    <col min="2425" max="2425" width="9.375" style="3063" bestFit="1" customWidth="1"/>
    <col min="2426" max="2426" width="11.375" style="3063" bestFit="1" customWidth="1"/>
    <col min="2427" max="2427" width="10.25" style="3063" bestFit="1" customWidth="1"/>
    <col min="2428" max="2428" width="9.375" style="3063" bestFit="1" customWidth="1"/>
    <col min="2429" max="2429" width="11.375" style="3063" bestFit="1" customWidth="1"/>
    <col min="2430" max="2430" width="10.25" style="3063" bestFit="1" customWidth="1"/>
    <col min="2431" max="2431" width="10.125" style="3063" bestFit="1" customWidth="1"/>
    <col min="2432" max="2432" width="10.375" style="3063" bestFit="1" customWidth="1"/>
    <col min="2433" max="2433" width="8.375" style="3063" bestFit="1" customWidth="1"/>
    <col min="2434" max="2434" width="9.125" style="3063" bestFit="1" customWidth="1"/>
    <col min="2435" max="2435" width="10" style="3063" customWidth="1"/>
    <col min="2436" max="2436" width="8.375" style="3063" bestFit="1" customWidth="1"/>
    <col min="2437" max="2437" width="7.875" style="3063"/>
    <col min="2438" max="2438" width="9.25" style="3063" customWidth="1"/>
    <col min="2439" max="2439" width="8.375" style="3063" bestFit="1" customWidth="1"/>
    <col min="2440" max="2440" width="7.875" style="3063"/>
    <col min="2441" max="2441" width="8.625" style="3063" customWidth="1"/>
    <col min="2442" max="2442" width="10.125" style="3063" bestFit="1" customWidth="1"/>
    <col min="2443" max="2443" width="7.875" style="3063"/>
    <col min="2444" max="2444" width="10.125" style="3063" bestFit="1" customWidth="1"/>
    <col min="2445" max="2445" width="8.25" style="3063" bestFit="1" customWidth="1"/>
    <col min="2446" max="2446" width="7.875" style="3063"/>
    <col min="2447" max="2447" width="10.125" style="3063" bestFit="1" customWidth="1"/>
    <col min="2448" max="2448" width="8.25" style="3063" bestFit="1" customWidth="1"/>
    <col min="2449" max="2449" width="7.875" style="3063"/>
    <col min="2450" max="2450" width="10.125" style="3063" bestFit="1" customWidth="1"/>
    <col min="2451" max="2451" width="8.25" style="3063" bestFit="1" customWidth="1"/>
    <col min="2452" max="2452" width="7.875" style="3063"/>
    <col min="2453" max="2453" width="10.125" style="3063" bestFit="1" customWidth="1"/>
    <col min="2454" max="2455" width="8.25" style="3063" bestFit="1" customWidth="1"/>
    <col min="2456" max="2456" width="10.125" style="3063" bestFit="1" customWidth="1"/>
    <col min="2457" max="2457" width="8.25" style="3063" bestFit="1" customWidth="1"/>
    <col min="2458" max="2458" width="7.875" style="3063"/>
    <col min="2459" max="2459" width="10.125" style="3063" bestFit="1" customWidth="1"/>
    <col min="2460" max="2460" width="9.125" style="3063" bestFit="1" customWidth="1"/>
    <col min="2461" max="2461" width="7.875" style="3063"/>
    <col min="2462" max="2462" width="10.125" style="3063" bestFit="1" customWidth="1"/>
    <col min="2463" max="2463" width="9.125" style="3063" bestFit="1" customWidth="1"/>
    <col min="2464" max="2464" width="7.875" style="3063"/>
    <col min="2465" max="2465" width="10.125" style="3063" bestFit="1" customWidth="1"/>
    <col min="2466" max="2466" width="9.125" style="3063" bestFit="1" customWidth="1"/>
    <col min="2467" max="2467" width="7.875" style="3063"/>
    <col min="2468" max="2468" width="10.125" style="3063" bestFit="1" customWidth="1"/>
    <col min="2469" max="2469" width="9.125" style="3063" bestFit="1" customWidth="1"/>
    <col min="2470" max="2470" width="7.875" style="3063"/>
    <col min="2471" max="2471" width="10.125" style="3063" bestFit="1" customWidth="1"/>
    <col min="2472" max="2472" width="9.125" style="3063" bestFit="1" customWidth="1"/>
    <col min="2473" max="2473" width="7.875" style="3063"/>
    <col min="2474" max="2474" width="10.125" style="3063" bestFit="1" customWidth="1"/>
    <col min="2475" max="2476" width="8.25" style="3063" bestFit="1" customWidth="1"/>
    <col min="2477" max="2477" width="9.125" style="3063" bestFit="1" customWidth="1"/>
    <col min="2478" max="2478" width="8.25" style="3063" bestFit="1" customWidth="1"/>
    <col min="2479" max="2479" width="7.875" style="3063"/>
    <col min="2480" max="2480" width="9.125" style="3063" bestFit="1" customWidth="1"/>
    <col min="2481" max="2481" width="8.25" style="3063" bestFit="1" customWidth="1"/>
    <col min="2482" max="2482" width="7.875" style="3063"/>
    <col min="2483" max="2483" width="9.125" style="3063" bestFit="1" customWidth="1"/>
    <col min="2484" max="2484" width="8.25" style="3063" bestFit="1" customWidth="1"/>
    <col min="2485" max="2485" width="7.875" style="3063"/>
    <col min="2486" max="2487" width="8.25" style="3063" bestFit="1" customWidth="1"/>
    <col min="2488" max="2488" width="7.875" style="3063"/>
    <col min="2489" max="2490" width="8.25" style="3063" bestFit="1" customWidth="1"/>
    <col min="2491" max="2491" width="7.875" style="3063"/>
    <col min="2492" max="2492" width="9.875" style="3063" bestFit="1" customWidth="1"/>
    <col min="2493" max="2493" width="11.125" style="3063" bestFit="1" customWidth="1"/>
    <col min="2494" max="2494" width="9.125" style="3063" bestFit="1" customWidth="1"/>
    <col min="2495" max="2495" width="9.875" style="3063" bestFit="1" customWidth="1"/>
    <col min="2496" max="2496" width="11.125" style="3063" bestFit="1" customWidth="1"/>
    <col min="2497" max="2497" width="7.875" style="3063"/>
    <col min="2498" max="2498" width="9" style="3063" customWidth="1"/>
    <col min="2499" max="2499" width="8.625" style="3063" customWidth="1"/>
    <col min="2500" max="2560" width="7.875" style="3063"/>
    <col min="2561" max="2561" width="3.875" style="3063" customWidth="1"/>
    <col min="2562" max="2562" width="10.375" style="3063" customWidth="1"/>
    <col min="2563" max="2563" width="10.75" style="3063" customWidth="1"/>
    <col min="2564" max="2564" width="11.625" style="3063" customWidth="1"/>
    <col min="2565" max="2565" width="10" style="3063" customWidth="1"/>
    <col min="2566" max="2566" width="9.375" style="3063" customWidth="1"/>
    <col min="2567" max="2567" width="10.5" style="3063" customWidth="1"/>
    <col min="2568" max="2568" width="12.5" style="3063" customWidth="1"/>
    <col min="2569" max="2569" width="11.75" style="3063" customWidth="1"/>
    <col min="2570" max="2570" width="10.5" style="3063" customWidth="1"/>
    <col min="2571" max="2571" width="12.125" style="3063" customWidth="1"/>
    <col min="2572" max="2572" width="9.75" style="3063" customWidth="1"/>
    <col min="2573" max="2573" width="10" style="3063" customWidth="1"/>
    <col min="2574" max="2574" width="12.25" style="3063" customWidth="1"/>
    <col min="2575" max="2575" width="9.75" style="3063" customWidth="1"/>
    <col min="2576" max="2576" width="8.625" style="3063" customWidth="1"/>
    <col min="2577" max="2577" width="11.25" style="3063" customWidth="1"/>
    <col min="2578" max="2578" width="11.125" style="3063" customWidth="1"/>
    <col min="2579" max="2579" width="10.625" style="3063" customWidth="1"/>
    <col min="2580" max="2580" width="11.125" style="3063" customWidth="1"/>
    <col min="2581" max="2581" width="10.125" style="3063" customWidth="1"/>
    <col min="2582" max="2582" width="12.125" style="3063" customWidth="1"/>
    <col min="2583" max="2583" width="7.75" style="3063" customWidth="1"/>
    <col min="2584" max="2584" width="8.125" style="3063" customWidth="1"/>
    <col min="2585" max="2587" width="10.875" style="3063" bestFit="1" customWidth="1"/>
    <col min="2588" max="2590" width="11.5" style="3063" customWidth="1"/>
    <col min="2591" max="2591" width="11.75" style="3063" customWidth="1"/>
    <col min="2592" max="2592" width="7.75" style="3063" bestFit="1" customWidth="1"/>
    <col min="2593" max="2593" width="11.5" style="3063" bestFit="1" customWidth="1"/>
    <col min="2594" max="2594" width="7.75" style="3063" bestFit="1" customWidth="1"/>
    <col min="2595" max="2595" width="8.75" style="3063" customWidth="1"/>
    <col min="2596" max="2596" width="9.875" style="3063" bestFit="1" customWidth="1"/>
    <col min="2597" max="2597" width="8" style="3063" customWidth="1"/>
    <col min="2598" max="2601" width="7.75" style="3063" bestFit="1" customWidth="1"/>
    <col min="2602" max="2603" width="12.25" style="3063" customWidth="1"/>
    <col min="2604" max="2604" width="10.25" style="3063" customWidth="1"/>
    <col min="2605" max="2605" width="9.25" style="3063" customWidth="1"/>
    <col min="2606" max="2606" width="11" style="3063" customWidth="1"/>
    <col min="2607" max="2607" width="8.375" style="3063" customWidth="1"/>
    <col min="2608" max="2608" width="9.5" style="3063" customWidth="1"/>
    <col min="2609" max="2609" width="13.25" style="3063" customWidth="1"/>
    <col min="2610" max="2610" width="13" style="3063" customWidth="1"/>
    <col min="2611" max="2613" width="10.875" style="3063" customWidth="1"/>
    <col min="2614" max="2614" width="10.5" style="3063" customWidth="1"/>
    <col min="2615" max="2615" width="6.375" style="3063" customWidth="1"/>
    <col min="2616" max="2616" width="6.25" style="3063" customWidth="1"/>
    <col min="2617" max="2617" width="9.875" style="3063" customWidth="1"/>
    <col min="2618" max="2618" width="10.75" style="3063" customWidth="1"/>
    <col min="2619" max="2619" width="9.5" style="3063" customWidth="1"/>
    <col min="2620" max="2623" width="11" style="3063" customWidth="1"/>
    <col min="2624" max="2624" width="10.625" style="3063" customWidth="1"/>
    <col min="2625" max="2625" width="11.875" style="3063" bestFit="1" customWidth="1"/>
    <col min="2626" max="2626" width="9.75" style="3063" bestFit="1" customWidth="1"/>
    <col min="2627" max="2627" width="11.875" style="3063" bestFit="1" customWidth="1"/>
    <col min="2628" max="2628" width="9.75" style="3063" bestFit="1" customWidth="1"/>
    <col min="2629" max="2629" width="11.875" style="3063" bestFit="1" customWidth="1"/>
    <col min="2630" max="2630" width="9.75" style="3063" bestFit="1" customWidth="1"/>
    <col min="2631" max="2631" width="11.375" style="3063" bestFit="1" customWidth="1"/>
    <col min="2632" max="2632" width="9.75" style="3063" bestFit="1" customWidth="1"/>
    <col min="2633" max="2633" width="11.375" style="3063" bestFit="1" customWidth="1"/>
    <col min="2634" max="2634" width="9.75" style="3063" bestFit="1" customWidth="1"/>
    <col min="2635" max="2635" width="11.375" style="3063" bestFit="1" customWidth="1"/>
    <col min="2636" max="2636" width="9.75" style="3063" bestFit="1" customWidth="1"/>
    <col min="2637" max="2637" width="11.375" style="3063" bestFit="1" customWidth="1"/>
    <col min="2638" max="2638" width="9.75" style="3063" bestFit="1" customWidth="1"/>
    <col min="2639" max="2639" width="11.375" style="3063" bestFit="1" customWidth="1"/>
    <col min="2640" max="2640" width="9.75" style="3063" bestFit="1" customWidth="1"/>
    <col min="2641" max="2641" width="10.25" style="3063" bestFit="1" customWidth="1"/>
    <col min="2642" max="2642" width="9.625" style="3063" customWidth="1"/>
    <col min="2643" max="2643" width="10.375" style="3063" customWidth="1"/>
    <col min="2644" max="2644" width="9.25" style="3063" customWidth="1"/>
    <col min="2645" max="2645" width="10" style="3063" customWidth="1"/>
    <col min="2646" max="2646" width="9.75" style="3063" customWidth="1"/>
    <col min="2647" max="2647" width="9.125" style="3063" customWidth="1"/>
    <col min="2648" max="2672" width="9.5" style="3063" customWidth="1"/>
    <col min="2673" max="2673" width="15.5" style="3063" bestFit="1" customWidth="1"/>
    <col min="2674" max="2674" width="13.25" style="3063" bestFit="1" customWidth="1"/>
    <col min="2675" max="2675" width="13.5" style="3063" customWidth="1"/>
    <col min="2676" max="2676" width="12.5" style="3063" bestFit="1" customWidth="1"/>
    <col min="2677" max="2677" width="10.625" style="3063" bestFit="1" customWidth="1"/>
    <col min="2678" max="2678" width="11.375" style="3063" bestFit="1" customWidth="1"/>
    <col min="2679" max="2679" width="11.75" style="3063" bestFit="1" customWidth="1"/>
    <col min="2680" max="2680" width="11.375" style="3063" bestFit="1" customWidth="1"/>
    <col min="2681" max="2681" width="9.375" style="3063" bestFit="1" customWidth="1"/>
    <col min="2682" max="2682" width="11.375" style="3063" bestFit="1" customWidth="1"/>
    <col min="2683" max="2683" width="10.25" style="3063" bestFit="1" customWidth="1"/>
    <col min="2684" max="2684" width="9.375" style="3063" bestFit="1" customWidth="1"/>
    <col min="2685" max="2685" width="11.375" style="3063" bestFit="1" customWidth="1"/>
    <col min="2686" max="2686" width="10.25" style="3063" bestFit="1" customWidth="1"/>
    <col min="2687" max="2687" width="10.125" style="3063" bestFit="1" customWidth="1"/>
    <col min="2688" max="2688" width="10.375" style="3063" bestFit="1" customWidth="1"/>
    <col min="2689" max="2689" width="8.375" style="3063" bestFit="1" customWidth="1"/>
    <col min="2690" max="2690" width="9.125" style="3063" bestFit="1" customWidth="1"/>
    <col min="2691" max="2691" width="10" style="3063" customWidth="1"/>
    <col min="2692" max="2692" width="8.375" style="3063" bestFit="1" customWidth="1"/>
    <col min="2693" max="2693" width="7.875" style="3063"/>
    <col min="2694" max="2694" width="9.25" style="3063" customWidth="1"/>
    <col min="2695" max="2695" width="8.375" style="3063" bestFit="1" customWidth="1"/>
    <col min="2696" max="2696" width="7.875" style="3063"/>
    <col min="2697" max="2697" width="8.625" style="3063" customWidth="1"/>
    <col min="2698" max="2698" width="10.125" style="3063" bestFit="1" customWidth="1"/>
    <col min="2699" max="2699" width="7.875" style="3063"/>
    <col min="2700" max="2700" width="10.125" style="3063" bestFit="1" customWidth="1"/>
    <col min="2701" max="2701" width="8.25" style="3063" bestFit="1" customWidth="1"/>
    <col min="2702" max="2702" width="7.875" style="3063"/>
    <col min="2703" max="2703" width="10.125" style="3063" bestFit="1" customWidth="1"/>
    <col min="2704" max="2704" width="8.25" style="3063" bestFit="1" customWidth="1"/>
    <col min="2705" max="2705" width="7.875" style="3063"/>
    <col min="2706" max="2706" width="10.125" style="3063" bestFit="1" customWidth="1"/>
    <col min="2707" max="2707" width="8.25" style="3063" bestFit="1" customWidth="1"/>
    <col min="2708" max="2708" width="7.875" style="3063"/>
    <col min="2709" max="2709" width="10.125" style="3063" bestFit="1" customWidth="1"/>
    <col min="2710" max="2711" width="8.25" style="3063" bestFit="1" customWidth="1"/>
    <col min="2712" max="2712" width="10.125" style="3063" bestFit="1" customWidth="1"/>
    <col min="2713" max="2713" width="8.25" style="3063" bestFit="1" customWidth="1"/>
    <col min="2714" max="2714" width="7.875" style="3063"/>
    <col min="2715" max="2715" width="10.125" style="3063" bestFit="1" customWidth="1"/>
    <col min="2716" max="2716" width="9.125" style="3063" bestFit="1" customWidth="1"/>
    <col min="2717" max="2717" width="7.875" style="3063"/>
    <col min="2718" max="2718" width="10.125" style="3063" bestFit="1" customWidth="1"/>
    <col min="2719" max="2719" width="9.125" style="3063" bestFit="1" customWidth="1"/>
    <col min="2720" max="2720" width="7.875" style="3063"/>
    <col min="2721" max="2721" width="10.125" style="3063" bestFit="1" customWidth="1"/>
    <col min="2722" max="2722" width="9.125" style="3063" bestFit="1" customWidth="1"/>
    <col min="2723" max="2723" width="7.875" style="3063"/>
    <col min="2724" max="2724" width="10.125" style="3063" bestFit="1" customWidth="1"/>
    <col min="2725" max="2725" width="9.125" style="3063" bestFit="1" customWidth="1"/>
    <col min="2726" max="2726" width="7.875" style="3063"/>
    <col min="2727" max="2727" width="10.125" style="3063" bestFit="1" customWidth="1"/>
    <col min="2728" max="2728" width="9.125" style="3063" bestFit="1" customWidth="1"/>
    <col min="2729" max="2729" width="7.875" style="3063"/>
    <col min="2730" max="2730" width="10.125" style="3063" bestFit="1" customWidth="1"/>
    <col min="2731" max="2732" width="8.25" style="3063" bestFit="1" customWidth="1"/>
    <col min="2733" max="2733" width="9.125" style="3063" bestFit="1" customWidth="1"/>
    <col min="2734" max="2734" width="8.25" style="3063" bestFit="1" customWidth="1"/>
    <col min="2735" max="2735" width="7.875" style="3063"/>
    <col min="2736" max="2736" width="9.125" style="3063" bestFit="1" customWidth="1"/>
    <col min="2737" max="2737" width="8.25" style="3063" bestFit="1" customWidth="1"/>
    <col min="2738" max="2738" width="7.875" style="3063"/>
    <col min="2739" max="2739" width="9.125" style="3063" bestFit="1" customWidth="1"/>
    <col min="2740" max="2740" width="8.25" style="3063" bestFit="1" customWidth="1"/>
    <col min="2741" max="2741" width="7.875" style="3063"/>
    <col min="2742" max="2743" width="8.25" style="3063" bestFit="1" customWidth="1"/>
    <col min="2744" max="2744" width="7.875" style="3063"/>
    <col min="2745" max="2746" width="8.25" style="3063" bestFit="1" customWidth="1"/>
    <col min="2747" max="2747" width="7.875" style="3063"/>
    <col min="2748" max="2748" width="9.875" style="3063" bestFit="1" customWidth="1"/>
    <col min="2749" max="2749" width="11.125" style="3063" bestFit="1" customWidth="1"/>
    <col min="2750" max="2750" width="9.125" style="3063" bestFit="1" customWidth="1"/>
    <col min="2751" max="2751" width="9.875" style="3063" bestFit="1" customWidth="1"/>
    <col min="2752" max="2752" width="11.125" style="3063" bestFit="1" customWidth="1"/>
    <col min="2753" max="2753" width="7.875" style="3063"/>
    <col min="2754" max="2754" width="9" style="3063" customWidth="1"/>
    <col min="2755" max="2755" width="8.625" style="3063" customWidth="1"/>
    <col min="2756" max="2816" width="7.875" style="3063"/>
    <col min="2817" max="2817" width="3.875" style="3063" customWidth="1"/>
    <col min="2818" max="2818" width="10.375" style="3063" customWidth="1"/>
    <col min="2819" max="2819" width="10.75" style="3063" customWidth="1"/>
    <col min="2820" max="2820" width="11.625" style="3063" customWidth="1"/>
    <col min="2821" max="2821" width="10" style="3063" customWidth="1"/>
    <col min="2822" max="2822" width="9.375" style="3063" customWidth="1"/>
    <col min="2823" max="2823" width="10.5" style="3063" customWidth="1"/>
    <col min="2824" max="2824" width="12.5" style="3063" customWidth="1"/>
    <col min="2825" max="2825" width="11.75" style="3063" customWidth="1"/>
    <col min="2826" max="2826" width="10.5" style="3063" customWidth="1"/>
    <col min="2827" max="2827" width="12.125" style="3063" customWidth="1"/>
    <col min="2828" max="2828" width="9.75" style="3063" customWidth="1"/>
    <col min="2829" max="2829" width="10" style="3063" customWidth="1"/>
    <col min="2830" max="2830" width="12.25" style="3063" customWidth="1"/>
    <col min="2831" max="2831" width="9.75" style="3063" customWidth="1"/>
    <col min="2832" max="2832" width="8.625" style="3063" customWidth="1"/>
    <col min="2833" max="2833" width="11.25" style="3063" customWidth="1"/>
    <col min="2834" max="2834" width="11.125" style="3063" customWidth="1"/>
    <col min="2835" max="2835" width="10.625" style="3063" customWidth="1"/>
    <col min="2836" max="2836" width="11.125" style="3063" customWidth="1"/>
    <col min="2837" max="2837" width="10.125" style="3063" customWidth="1"/>
    <col min="2838" max="2838" width="12.125" style="3063" customWidth="1"/>
    <col min="2839" max="2839" width="7.75" style="3063" customWidth="1"/>
    <col min="2840" max="2840" width="8.125" style="3063" customWidth="1"/>
    <col min="2841" max="2843" width="10.875" style="3063" bestFit="1" customWidth="1"/>
    <col min="2844" max="2846" width="11.5" style="3063" customWidth="1"/>
    <col min="2847" max="2847" width="11.75" style="3063" customWidth="1"/>
    <col min="2848" max="2848" width="7.75" style="3063" bestFit="1" customWidth="1"/>
    <col min="2849" max="2849" width="11.5" style="3063" bestFit="1" customWidth="1"/>
    <col min="2850" max="2850" width="7.75" style="3063" bestFit="1" customWidth="1"/>
    <col min="2851" max="2851" width="8.75" style="3063" customWidth="1"/>
    <col min="2852" max="2852" width="9.875" style="3063" bestFit="1" customWidth="1"/>
    <col min="2853" max="2853" width="8" style="3063" customWidth="1"/>
    <col min="2854" max="2857" width="7.75" style="3063" bestFit="1" customWidth="1"/>
    <col min="2858" max="2859" width="12.25" style="3063" customWidth="1"/>
    <col min="2860" max="2860" width="10.25" style="3063" customWidth="1"/>
    <col min="2861" max="2861" width="9.25" style="3063" customWidth="1"/>
    <col min="2862" max="2862" width="11" style="3063" customWidth="1"/>
    <col min="2863" max="2863" width="8.375" style="3063" customWidth="1"/>
    <col min="2864" max="2864" width="9.5" style="3063" customWidth="1"/>
    <col min="2865" max="2865" width="13.25" style="3063" customWidth="1"/>
    <col min="2866" max="2866" width="13" style="3063" customWidth="1"/>
    <col min="2867" max="2869" width="10.875" style="3063" customWidth="1"/>
    <col min="2870" max="2870" width="10.5" style="3063" customWidth="1"/>
    <col min="2871" max="2871" width="6.375" style="3063" customWidth="1"/>
    <col min="2872" max="2872" width="6.25" style="3063" customWidth="1"/>
    <col min="2873" max="2873" width="9.875" style="3063" customWidth="1"/>
    <col min="2874" max="2874" width="10.75" style="3063" customWidth="1"/>
    <col min="2875" max="2875" width="9.5" style="3063" customWidth="1"/>
    <col min="2876" max="2879" width="11" style="3063" customWidth="1"/>
    <col min="2880" max="2880" width="10.625" style="3063" customWidth="1"/>
    <col min="2881" max="2881" width="11.875" style="3063" bestFit="1" customWidth="1"/>
    <col min="2882" max="2882" width="9.75" style="3063" bestFit="1" customWidth="1"/>
    <col min="2883" max="2883" width="11.875" style="3063" bestFit="1" customWidth="1"/>
    <col min="2884" max="2884" width="9.75" style="3063" bestFit="1" customWidth="1"/>
    <col min="2885" max="2885" width="11.875" style="3063" bestFit="1" customWidth="1"/>
    <col min="2886" max="2886" width="9.75" style="3063" bestFit="1" customWidth="1"/>
    <col min="2887" max="2887" width="11.375" style="3063" bestFit="1" customWidth="1"/>
    <col min="2888" max="2888" width="9.75" style="3063" bestFit="1" customWidth="1"/>
    <col min="2889" max="2889" width="11.375" style="3063" bestFit="1" customWidth="1"/>
    <col min="2890" max="2890" width="9.75" style="3063" bestFit="1" customWidth="1"/>
    <col min="2891" max="2891" width="11.375" style="3063" bestFit="1" customWidth="1"/>
    <col min="2892" max="2892" width="9.75" style="3063" bestFit="1" customWidth="1"/>
    <col min="2893" max="2893" width="11.375" style="3063" bestFit="1" customWidth="1"/>
    <col min="2894" max="2894" width="9.75" style="3063" bestFit="1" customWidth="1"/>
    <col min="2895" max="2895" width="11.375" style="3063" bestFit="1" customWidth="1"/>
    <col min="2896" max="2896" width="9.75" style="3063" bestFit="1" customWidth="1"/>
    <col min="2897" max="2897" width="10.25" style="3063" bestFit="1" customWidth="1"/>
    <col min="2898" max="2898" width="9.625" style="3063" customWidth="1"/>
    <col min="2899" max="2899" width="10.375" style="3063" customWidth="1"/>
    <col min="2900" max="2900" width="9.25" style="3063" customWidth="1"/>
    <col min="2901" max="2901" width="10" style="3063" customWidth="1"/>
    <col min="2902" max="2902" width="9.75" style="3063" customWidth="1"/>
    <col min="2903" max="2903" width="9.125" style="3063" customWidth="1"/>
    <col min="2904" max="2928" width="9.5" style="3063" customWidth="1"/>
    <col min="2929" max="2929" width="15.5" style="3063" bestFit="1" customWidth="1"/>
    <col min="2930" max="2930" width="13.25" style="3063" bestFit="1" customWidth="1"/>
    <col min="2931" max="2931" width="13.5" style="3063" customWidth="1"/>
    <col min="2932" max="2932" width="12.5" style="3063" bestFit="1" customWidth="1"/>
    <col min="2933" max="2933" width="10.625" style="3063" bestFit="1" customWidth="1"/>
    <col min="2934" max="2934" width="11.375" style="3063" bestFit="1" customWidth="1"/>
    <col min="2935" max="2935" width="11.75" style="3063" bestFit="1" customWidth="1"/>
    <col min="2936" max="2936" width="11.375" style="3063" bestFit="1" customWidth="1"/>
    <col min="2937" max="2937" width="9.375" style="3063" bestFit="1" customWidth="1"/>
    <col min="2938" max="2938" width="11.375" style="3063" bestFit="1" customWidth="1"/>
    <col min="2939" max="2939" width="10.25" style="3063" bestFit="1" customWidth="1"/>
    <col min="2940" max="2940" width="9.375" style="3063" bestFit="1" customWidth="1"/>
    <col min="2941" max="2941" width="11.375" style="3063" bestFit="1" customWidth="1"/>
    <col min="2942" max="2942" width="10.25" style="3063" bestFit="1" customWidth="1"/>
    <col min="2943" max="2943" width="10.125" style="3063" bestFit="1" customWidth="1"/>
    <col min="2944" max="2944" width="10.375" style="3063" bestFit="1" customWidth="1"/>
    <col min="2945" max="2945" width="8.375" style="3063" bestFit="1" customWidth="1"/>
    <col min="2946" max="2946" width="9.125" style="3063" bestFit="1" customWidth="1"/>
    <col min="2947" max="2947" width="10" style="3063" customWidth="1"/>
    <col min="2948" max="2948" width="8.375" style="3063" bestFit="1" customWidth="1"/>
    <col min="2949" max="2949" width="7.875" style="3063"/>
    <col min="2950" max="2950" width="9.25" style="3063" customWidth="1"/>
    <col min="2951" max="2951" width="8.375" style="3063" bestFit="1" customWidth="1"/>
    <col min="2952" max="2952" width="7.875" style="3063"/>
    <col min="2953" max="2953" width="8.625" style="3063" customWidth="1"/>
    <col min="2954" max="2954" width="10.125" style="3063" bestFit="1" customWidth="1"/>
    <col min="2955" max="2955" width="7.875" style="3063"/>
    <col min="2956" max="2956" width="10.125" style="3063" bestFit="1" customWidth="1"/>
    <col min="2957" max="2957" width="8.25" style="3063" bestFit="1" customWidth="1"/>
    <col min="2958" max="2958" width="7.875" style="3063"/>
    <col min="2959" max="2959" width="10.125" style="3063" bestFit="1" customWidth="1"/>
    <col min="2960" max="2960" width="8.25" style="3063" bestFit="1" customWidth="1"/>
    <col min="2961" max="2961" width="7.875" style="3063"/>
    <col min="2962" max="2962" width="10.125" style="3063" bestFit="1" customWidth="1"/>
    <col min="2963" max="2963" width="8.25" style="3063" bestFit="1" customWidth="1"/>
    <col min="2964" max="2964" width="7.875" style="3063"/>
    <col min="2965" max="2965" width="10.125" style="3063" bestFit="1" customWidth="1"/>
    <col min="2966" max="2967" width="8.25" style="3063" bestFit="1" customWidth="1"/>
    <col min="2968" max="2968" width="10.125" style="3063" bestFit="1" customWidth="1"/>
    <col min="2969" max="2969" width="8.25" style="3063" bestFit="1" customWidth="1"/>
    <col min="2970" max="2970" width="7.875" style="3063"/>
    <col min="2971" max="2971" width="10.125" style="3063" bestFit="1" customWidth="1"/>
    <col min="2972" max="2972" width="9.125" style="3063" bestFit="1" customWidth="1"/>
    <col min="2973" max="2973" width="7.875" style="3063"/>
    <col min="2974" max="2974" width="10.125" style="3063" bestFit="1" customWidth="1"/>
    <col min="2975" max="2975" width="9.125" style="3063" bestFit="1" customWidth="1"/>
    <col min="2976" max="2976" width="7.875" style="3063"/>
    <col min="2977" max="2977" width="10.125" style="3063" bestFit="1" customWidth="1"/>
    <col min="2978" max="2978" width="9.125" style="3063" bestFit="1" customWidth="1"/>
    <col min="2979" max="2979" width="7.875" style="3063"/>
    <col min="2980" max="2980" width="10.125" style="3063" bestFit="1" customWidth="1"/>
    <col min="2981" max="2981" width="9.125" style="3063" bestFit="1" customWidth="1"/>
    <col min="2982" max="2982" width="7.875" style="3063"/>
    <col min="2983" max="2983" width="10.125" style="3063" bestFit="1" customWidth="1"/>
    <col min="2984" max="2984" width="9.125" style="3063" bestFit="1" customWidth="1"/>
    <col min="2985" max="2985" width="7.875" style="3063"/>
    <col min="2986" max="2986" width="10.125" style="3063" bestFit="1" customWidth="1"/>
    <col min="2987" max="2988" width="8.25" style="3063" bestFit="1" customWidth="1"/>
    <col min="2989" max="2989" width="9.125" style="3063" bestFit="1" customWidth="1"/>
    <col min="2990" max="2990" width="8.25" style="3063" bestFit="1" customWidth="1"/>
    <col min="2991" max="2991" width="7.875" style="3063"/>
    <col min="2992" max="2992" width="9.125" style="3063" bestFit="1" customWidth="1"/>
    <col min="2993" max="2993" width="8.25" style="3063" bestFit="1" customWidth="1"/>
    <col min="2994" max="2994" width="7.875" style="3063"/>
    <col min="2995" max="2995" width="9.125" style="3063" bestFit="1" customWidth="1"/>
    <col min="2996" max="2996" width="8.25" style="3063" bestFit="1" customWidth="1"/>
    <col min="2997" max="2997" width="7.875" style="3063"/>
    <col min="2998" max="2999" width="8.25" style="3063" bestFit="1" customWidth="1"/>
    <col min="3000" max="3000" width="7.875" style="3063"/>
    <col min="3001" max="3002" width="8.25" style="3063" bestFit="1" customWidth="1"/>
    <col min="3003" max="3003" width="7.875" style="3063"/>
    <col min="3004" max="3004" width="9.875" style="3063" bestFit="1" customWidth="1"/>
    <col min="3005" max="3005" width="11.125" style="3063" bestFit="1" customWidth="1"/>
    <col min="3006" max="3006" width="9.125" style="3063" bestFit="1" customWidth="1"/>
    <col min="3007" max="3007" width="9.875" style="3063" bestFit="1" customWidth="1"/>
    <col min="3008" max="3008" width="11.125" style="3063" bestFit="1" customWidth="1"/>
    <col min="3009" max="3009" width="7.875" style="3063"/>
    <col min="3010" max="3010" width="9" style="3063" customWidth="1"/>
    <col min="3011" max="3011" width="8.625" style="3063" customWidth="1"/>
    <col min="3012" max="3072" width="7.875" style="3063"/>
    <col min="3073" max="3073" width="3.875" style="3063" customWidth="1"/>
    <col min="3074" max="3074" width="10.375" style="3063" customWidth="1"/>
    <col min="3075" max="3075" width="10.75" style="3063" customWidth="1"/>
    <col min="3076" max="3076" width="11.625" style="3063" customWidth="1"/>
    <col min="3077" max="3077" width="10" style="3063" customWidth="1"/>
    <col min="3078" max="3078" width="9.375" style="3063" customWidth="1"/>
    <col min="3079" max="3079" width="10.5" style="3063" customWidth="1"/>
    <col min="3080" max="3080" width="12.5" style="3063" customWidth="1"/>
    <col min="3081" max="3081" width="11.75" style="3063" customWidth="1"/>
    <col min="3082" max="3082" width="10.5" style="3063" customWidth="1"/>
    <col min="3083" max="3083" width="12.125" style="3063" customWidth="1"/>
    <col min="3084" max="3084" width="9.75" style="3063" customWidth="1"/>
    <col min="3085" max="3085" width="10" style="3063" customWidth="1"/>
    <col min="3086" max="3086" width="12.25" style="3063" customWidth="1"/>
    <col min="3087" max="3087" width="9.75" style="3063" customWidth="1"/>
    <col min="3088" max="3088" width="8.625" style="3063" customWidth="1"/>
    <col min="3089" max="3089" width="11.25" style="3063" customWidth="1"/>
    <col min="3090" max="3090" width="11.125" style="3063" customWidth="1"/>
    <col min="3091" max="3091" width="10.625" style="3063" customWidth="1"/>
    <col min="3092" max="3092" width="11.125" style="3063" customWidth="1"/>
    <col min="3093" max="3093" width="10.125" style="3063" customWidth="1"/>
    <col min="3094" max="3094" width="12.125" style="3063" customWidth="1"/>
    <col min="3095" max="3095" width="7.75" style="3063" customWidth="1"/>
    <col min="3096" max="3096" width="8.125" style="3063" customWidth="1"/>
    <col min="3097" max="3099" width="10.875" style="3063" bestFit="1" customWidth="1"/>
    <col min="3100" max="3102" width="11.5" style="3063" customWidth="1"/>
    <col min="3103" max="3103" width="11.75" style="3063" customWidth="1"/>
    <col min="3104" max="3104" width="7.75" style="3063" bestFit="1" customWidth="1"/>
    <col min="3105" max="3105" width="11.5" style="3063" bestFit="1" customWidth="1"/>
    <col min="3106" max="3106" width="7.75" style="3063" bestFit="1" customWidth="1"/>
    <col min="3107" max="3107" width="8.75" style="3063" customWidth="1"/>
    <col min="3108" max="3108" width="9.875" style="3063" bestFit="1" customWidth="1"/>
    <col min="3109" max="3109" width="8" style="3063" customWidth="1"/>
    <col min="3110" max="3113" width="7.75" style="3063" bestFit="1" customWidth="1"/>
    <col min="3114" max="3115" width="12.25" style="3063" customWidth="1"/>
    <col min="3116" max="3116" width="10.25" style="3063" customWidth="1"/>
    <col min="3117" max="3117" width="9.25" style="3063" customWidth="1"/>
    <col min="3118" max="3118" width="11" style="3063" customWidth="1"/>
    <col min="3119" max="3119" width="8.375" style="3063" customWidth="1"/>
    <col min="3120" max="3120" width="9.5" style="3063" customWidth="1"/>
    <col min="3121" max="3121" width="13.25" style="3063" customWidth="1"/>
    <col min="3122" max="3122" width="13" style="3063" customWidth="1"/>
    <col min="3123" max="3125" width="10.875" style="3063" customWidth="1"/>
    <col min="3126" max="3126" width="10.5" style="3063" customWidth="1"/>
    <col min="3127" max="3127" width="6.375" style="3063" customWidth="1"/>
    <col min="3128" max="3128" width="6.25" style="3063" customWidth="1"/>
    <col min="3129" max="3129" width="9.875" style="3063" customWidth="1"/>
    <col min="3130" max="3130" width="10.75" style="3063" customWidth="1"/>
    <col min="3131" max="3131" width="9.5" style="3063" customWidth="1"/>
    <col min="3132" max="3135" width="11" style="3063" customWidth="1"/>
    <col min="3136" max="3136" width="10.625" style="3063" customWidth="1"/>
    <col min="3137" max="3137" width="11.875" style="3063" bestFit="1" customWidth="1"/>
    <col min="3138" max="3138" width="9.75" style="3063" bestFit="1" customWidth="1"/>
    <col min="3139" max="3139" width="11.875" style="3063" bestFit="1" customWidth="1"/>
    <col min="3140" max="3140" width="9.75" style="3063" bestFit="1" customWidth="1"/>
    <col min="3141" max="3141" width="11.875" style="3063" bestFit="1" customWidth="1"/>
    <col min="3142" max="3142" width="9.75" style="3063" bestFit="1" customWidth="1"/>
    <col min="3143" max="3143" width="11.375" style="3063" bestFit="1" customWidth="1"/>
    <col min="3144" max="3144" width="9.75" style="3063" bestFit="1" customWidth="1"/>
    <col min="3145" max="3145" width="11.375" style="3063" bestFit="1" customWidth="1"/>
    <col min="3146" max="3146" width="9.75" style="3063" bestFit="1" customWidth="1"/>
    <col min="3147" max="3147" width="11.375" style="3063" bestFit="1" customWidth="1"/>
    <col min="3148" max="3148" width="9.75" style="3063" bestFit="1" customWidth="1"/>
    <col min="3149" max="3149" width="11.375" style="3063" bestFit="1" customWidth="1"/>
    <col min="3150" max="3150" width="9.75" style="3063" bestFit="1" customWidth="1"/>
    <col min="3151" max="3151" width="11.375" style="3063" bestFit="1" customWidth="1"/>
    <col min="3152" max="3152" width="9.75" style="3063" bestFit="1" customWidth="1"/>
    <col min="3153" max="3153" width="10.25" style="3063" bestFit="1" customWidth="1"/>
    <col min="3154" max="3154" width="9.625" style="3063" customWidth="1"/>
    <col min="3155" max="3155" width="10.375" style="3063" customWidth="1"/>
    <col min="3156" max="3156" width="9.25" style="3063" customWidth="1"/>
    <col min="3157" max="3157" width="10" style="3063" customWidth="1"/>
    <col min="3158" max="3158" width="9.75" style="3063" customWidth="1"/>
    <col min="3159" max="3159" width="9.125" style="3063" customWidth="1"/>
    <col min="3160" max="3184" width="9.5" style="3063" customWidth="1"/>
    <col min="3185" max="3185" width="15.5" style="3063" bestFit="1" customWidth="1"/>
    <col min="3186" max="3186" width="13.25" style="3063" bestFit="1" customWidth="1"/>
    <col min="3187" max="3187" width="13.5" style="3063" customWidth="1"/>
    <col min="3188" max="3188" width="12.5" style="3063" bestFit="1" customWidth="1"/>
    <col min="3189" max="3189" width="10.625" style="3063" bestFit="1" customWidth="1"/>
    <col min="3190" max="3190" width="11.375" style="3063" bestFit="1" customWidth="1"/>
    <col min="3191" max="3191" width="11.75" style="3063" bestFit="1" customWidth="1"/>
    <col min="3192" max="3192" width="11.375" style="3063" bestFit="1" customWidth="1"/>
    <col min="3193" max="3193" width="9.375" style="3063" bestFit="1" customWidth="1"/>
    <col min="3194" max="3194" width="11.375" style="3063" bestFit="1" customWidth="1"/>
    <col min="3195" max="3195" width="10.25" style="3063" bestFit="1" customWidth="1"/>
    <col min="3196" max="3196" width="9.375" style="3063" bestFit="1" customWidth="1"/>
    <col min="3197" max="3197" width="11.375" style="3063" bestFit="1" customWidth="1"/>
    <col min="3198" max="3198" width="10.25" style="3063" bestFit="1" customWidth="1"/>
    <col min="3199" max="3199" width="10.125" style="3063" bestFit="1" customWidth="1"/>
    <col min="3200" max="3200" width="10.375" style="3063" bestFit="1" customWidth="1"/>
    <col min="3201" max="3201" width="8.375" style="3063" bestFit="1" customWidth="1"/>
    <col min="3202" max="3202" width="9.125" style="3063" bestFit="1" customWidth="1"/>
    <col min="3203" max="3203" width="10" style="3063" customWidth="1"/>
    <col min="3204" max="3204" width="8.375" style="3063" bestFit="1" customWidth="1"/>
    <col min="3205" max="3205" width="7.875" style="3063"/>
    <col min="3206" max="3206" width="9.25" style="3063" customWidth="1"/>
    <col min="3207" max="3207" width="8.375" style="3063" bestFit="1" customWidth="1"/>
    <col min="3208" max="3208" width="7.875" style="3063"/>
    <col min="3209" max="3209" width="8.625" style="3063" customWidth="1"/>
    <col min="3210" max="3210" width="10.125" style="3063" bestFit="1" customWidth="1"/>
    <col min="3211" max="3211" width="7.875" style="3063"/>
    <col min="3212" max="3212" width="10.125" style="3063" bestFit="1" customWidth="1"/>
    <col min="3213" max="3213" width="8.25" style="3063" bestFit="1" customWidth="1"/>
    <col min="3214" max="3214" width="7.875" style="3063"/>
    <col min="3215" max="3215" width="10.125" style="3063" bestFit="1" customWidth="1"/>
    <col min="3216" max="3216" width="8.25" style="3063" bestFit="1" customWidth="1"/>
    <col min="3217" max="3217" width="7.875" style="3063"/>
    <col min="3218" max="3218" width="10.125" style="3063" bestFit="1" customWidth="1"/>
    <col min="3219" max="3219" width="8.25" style="3063" bestFit="1" customWidth="1"/>
    <col min="3220" max="3220" width="7.875" style="3063"/>
    <col min="3221" max="3221" width="10.125" style="3063" bestFit="1" customWidth="1"/>
    <col min="3222" max="3223" width="8.25" style="3063" bestFit="1" customWidth="1"/>
    <col min="3224" max="3224" width="10.125" style="3063" bestFit="1" customWidth="1"/>
    <col min="3225" max="3225" width="8.25" style="3063" bestFit="1" customWidth="1"/>
    <col min="3226" max="3226" width="7.875" style="3063"/>
    <col min="3227" max="3227" width="10.125" style="3063" bestFit="1" customWidth="1"/>
    <col min="3228" max="3228" width="9.125" style="3063" bestFit="1" customWidth="1"/>
    <col min="3229" max="3229" width="7.875" style="3063"/>
    <col min="3230" max="3230" width="10.125" style="3063" bestFit="1" customWidth="1"/>
    <col min="3231" max="3231" width="9.125" style="3063" bestFit="1" customWidth="1"/>
    <col min="3232" max="3232" width="7.875" style="3063"/>
    <col min="3233" max="3233" width="10.125" style="3063" bestFit="1" customWidth="1"/>
    <col min="3234" max="3234" width="9.125" style="3063" bestFit="1" customWidth="1"/>
    <col min="3235" max="3235" width="7.875" style="3063"/>
    <col min="3236" max="3236" width="10.125" style="3063" bestFit="1" customWidth="1"/>
    <col min="3237" max="3237" width="9.125" style="3063" bestFit="1" customWidth="1"/>
    <col min="3238" max="3238" width="7.875" style="3063"/>
    <col min="3239" max="3239" width="10.125" style="3063" bestFit="1" customWidth="1"/>
    <col min="3240" max="3240" width="9.125" style="3063" bestFit="1" customWidth="1"/>
    <col min="3241" max="3241" width="7.875" style="3063"/>
    <col min="3242" max="3242" width="10.125" style="3063" bestFit="1" customWidth="1"/>
    <col min="3243" max="3244" width="8.25" style="3063" bestFit="1" customWidth="1"/>
    <col min="3245" max="3245" width="9.125" style="3063" bestFit="1" customWidth="1"/>
    <col min="3246" max="3246" width="8.25" style="3063" bestFit="1" customWidth="1"/>
    <col min="3247" max="3247" width="7.875" style="3063"/>
    <col min="3248" max="3248" width="9.125" style="3063" bestFit="1" customWidth="1"/>
    <col min="3249" max="3249" width="8.25" style="3063" bestFit="1" customWidth="1"/>
    <col min="3250" max="3250" width="7.875" style="3063"/>
    <col min="3251" max="3251" width="9.125" style="3063" bestFit="1" customWidth="1"/>
    <col min="3252" max="3252" width="8.25" style="3063" bestFit="1" customWidth="1"/>
    <col min="3253" max="3253" width="7.875" style="3063"/>
    <col min="3254" max="3255" width="8.25" style="3063" bestFit="1" customWidth="1"/>
    <col min="3256" max="3256" width="7.875" style="3063"/>
    <col min="3257" max="3258" width="8.25" style="3063" bestFit="1" customWidth="1"/>
    <col min="3259" max="3259" width="7.875" style="3063"/>
    <col min="3260" max="3260" width="9.875" style="3063" bestFit="1" customWidth="1"/>
    <col min="3261" max="3261" width="11.125" style="3063" bestFit="1" customWidth="1"/>
    <col min="3262" max="3262" width="9.125" style="3063" bestFit="1" customWidth="1"/>
    <col min="3263" max="3263" width="9.875" style="3063" bestFit="1" customWidth="1"/>
    <col min="3264" max="3264" width="11.125" style="3063" bestFit="1" customWidth="1"/>
    <col min="3265" max="3265" width="7.875" style="3063"/>
    <col min="3266" max="3266" width="9" style="3063" customWidth="1"/>
    <col min="3267" max="3267" width="8.625" style="3063" customWidth="1"/>
    <col min="3268" max="3328" width="7.875" style="3063"/>
    <col min="3329" max="3329" width="3.875" style="3063" customWidth="1"/>
    <col min="3330" max="3330" width="10.375" style="3063" customWidth="1"/>
    <col min="3331" max="3331" width="10.75" style="3063" customWidth="1"/>
    <col min="3332" max="3332" width="11.625" style="3063" customWidth="1"/>
    <col min="3333" max="3333" width="10" style="3063" customWidth="1"/>
    <col min="3334" max="3334" width="9.375" style="3063" customWidth="1"/>
    <col min="3335" max="3335" width="10.5" style="3063" customWidth="1"/>
    <col min="3336" max="3336" width="12.5" style="3063" customWidth="1"/>
    <col min="3337" max="3337" width="11.75" style="3063" customWidth="1"/>
    <col min="3338" max="3338" width="10.5" style="3063" customWidth="1"/>
    <col min="3339" max="3339" width="12.125" style="3063" customWidth="1"/>
    <col min="3340" max="3340" width="9.75" style="3063" customWidth="1"/>
    <col min="3341" max="3341" width="10" style="3063" customWidth="1"/>
    <col min="3342" max="3342" width="12.25" style="3063" customWidth="1"/>
    <col min="3343" max="3343" width="9.75" style="3063" customWidth="1"/>
    <col min="3344" max="3344" width="8.625" style="3063" customWidth="1"/>
    <col min="3345" max="3345" width="11.25" style="3063" customWidth="1"/>
    <col min="3346" max="3346" width="11.125" style="3063" customWidth="1"/>
    <col min="3347" max="3347" width="10.625" style="3063" customWidth="1"/>
    <col min="3348" max="3348" width="11.125" style="3063" customWidth="1"/>
    <col min="3349" max="3349" width="10.125" style="3063" customWidth="1"/>
    <col min="3350" max="3350" width="12.125" style="3063" customWidth="1"/>
    <col min="3351" max="3351" width="7.75" style="3063" customWidth="1"/>
    <col min="3352" max="3352" width="8.125" style="3063" customWidth="1"/>
    <col min="3353" max="3355" width="10.875" style="3063" bestFit="1" customWidth="1"/>
    <col min="3356" max="3358" width="11.5" style="3063" customWidth="1"/>
    <col min="3359" max="3359" width="11.75" style="3063" customWidth="1"/>
    <col min="3360" max="3360" width="7.75" style="3063" bestFit="1" customWidth="1"/>
    <col min="3361" max="3361" width="11.5" style="3063" bestFit="1" customWidth="1"/>
    <col min="3362" max="3362" width="7.75" style="3063" bestFit="1" customWidth="1"/>
    <col min="3363" max="3363" width="8.75" style="3063" customWidth="1"/>
    <col min="3364" max="3364" width="9.875" style="3063" bestFit="1" customWidth="1"/>
    <col min="3365" max="3365" width="8" style="3063" customWidth="1"/>
    <col min="3366" max="3369" width="7.75" style="3063" bestFit="1" customWidth="1"/>
    <col min="3370" max="3371" width="12.25" style="3063" customWidth="1"/>
    <col min="3372" max="3372" width="10.25" style="3063" customWidth="1"/>
    <col min="3373" max="3373" width="9.25" style="3063" customWidth="1"/>
    <col min="3374" max="3374" width="11" style="3063" customWidth="1"/>
    <col min="3375" max="3375" width="8.375" style="3063" customWidth="1"/>
    <col min="3376" max="3376" width="9.5" style="3063" customWidth="1"/>
    <col min="3377" max="3377" width="13.25" style="3063" customWidth="1"/>
    <col min="3378" max="3378" width="13" style="3063" customWidth="1"/>
    <col min="3379" max="3381" width="10.875" style="3063" customWidth="1"/>
    <col min="3382" max="3382" width="10.5" style="3063" customWidth="1"/>
    <col min="3383" max="3383" width="6.375" style="3063" customWidth="1"/>
    <col min="3384" max="3384" width="6.25" style="3063" customWidth="1"/>
    <col min="3385" max="3385" width="9.875" style="3063" customWidth="1"/>
    <col min="3386" max="3386" width="10.75" style="3063" customWidth="1"/>
    <col min="3387" max="3387" width="9.5" style="3063" customWidth="1"/>
    <col min="3388" max="3391" width="11" style="3063" customWidth="1"/>
    <col min="3392" max="3392" width="10.625" style="3063" customWidth="1"/>
    <col min="3393" max="3393" width="11.875" style="3063" bestFit="1" customWidth="1"/>
    <col min="3394" max="3394" width="9.75" style="3063" bestFit="1" customWidth="1"/>
    <col min="3395" max="3395" width="11.875" style="3063" bestFit="1" customWidth="1"/>
    <col min="3396" max="3396" width="9.75" style="3063" bestFit="1" customWidth="1"/>
    <col min="3397" max="3397" width="11.875" style="3063" bestFit="1" customWidth="1"/>
    <col min="3398" max="3398" width="9.75" style="3063" bestFit="1" customWidth="1"/>
    <col min="3399" max="3399" width="11.375" style="3063" bestFit="1" customWidth="1"/>
    <col min="3400" max="3400" width="9.75" style="3063" bestFit="1" customWidth="1"/>
    <col min="3401" max="3401" width="11.375" style="3063" bestFit="1" customWidth="1"/>
    <col min="3402" max="3402" width="9.75" style="3063" bestFit="1" customWidth="1"/>
    <col min="3403" max="3403" width="11.375" style="3063" bestFit="1" customWidth="1"/>
    <col min="3404" max="3404" width="9.75" style="3063" bestFit="1" customWidth="1"/>
    <col min="3405" max="3405" width="11.375" style="3063" bestFit="1" customWidth="1"/>
    <col min="3406" max="3406" width="9.75" style="3063" bestFit="1" customWidth="1"/>
    <col min="3407" max="3407" width="11.375" style="3063" bestFit="1" customWidth="1"/>
    <col min="3408" max="3408" width="9.75" style="3063" bestFit="1" customWidth="1"/>
    <col min="3409" max="3409" width="10.25" style="3063" bestFit="1" customWidth="1"/>
    <col min="3410" max="3410" width="9.625" style="3063" customWidth="1"/>
    <col min="3411" max="3411" width="10.375" style="3063" customWidth="1"/>
    <col min="3412" max="3412" width="9.25" style="3063" customWidth="1"/>
    <col min="3413" max="3413" width="10" style="3063" customWidth="1"/>
    <col min="3414" max="3414" width="9.75" style="3063" customWidth="1"/>
    <col min="3415" max="3415" width="9.125" style="3063" customWidth="1"/>
    <col min="3416" max="3440" width="9.5" style="3063" customWidth="1"/>
    <col min="3441" max="3441" width="15.5" style="3063" bestFit="1" customWidth="1"/>
    <col min="3442" max="3442" width="13.25" style="3063" bestFit="1" customWidth="1"/>
    <col min="3443" max="3443" width="13.5" style="3063" customWidth="1"/>
    <col min="3444" max="3444" width="12.5" style="3063" bestFit="1" customWidth="1"/>
    <col min="3445" max="3445" width="10.625" style="3063" bestFit="1" customWidth="1"/>
    <col min="3446" max="3446" width="11.375" style="3063" bestFit="1" customWidth="1"/>
    <col min="3447" max="3447" width="11.75" style="3063" bestFit="1" customWidth="1"/>
    <col min="3448" max="3448" width="11.375" style="3063" bestFit="1" customWidth="1"/>
    <col min="3449" max="3449" width="9.375" style="3063" bestFit="1" customWidth="1"/>
    <col min="3450" max="3450" width="11.375" style="3063" bestFit="1" customWidth="1"/>
    <col min="3451" max="3451" width="10.25" style="3063" bestFit="1" customWidth="1"/>
    <col min="3452" max="3452" width="9.375" style="3063" bestFit="1" customWidth="1"/>
    <col min="3453" max="3453" width="11.375" style="3063" bestFit="1" customWidth="1"/>
    <col min="3454" max="3454" width="10.25" style="3063" bestFit="1" customWidth="1"/>
    <col min="3455" max="3455" width="10.125" style="3063" bestFit="1" customWidth="1"/>
    <col min="3456" max="3456" width="10.375" style="3063" bestFit="1" customWidth="1"/>
    <col min="3457" max="3457" width="8.375" style="3063" bestFit="1" customWidth="1"/>
    <col min="3458" max="3458" width="9.125" style="3063" bestFit="1" customWidth="1"/>
    <col min="3459" max="3459" width="10" style="3063" customWidth="1"/>
    <col min="3460" max="3460" width="8.375" style="3063" bestFit="1" customWidth="1"/>
    <col min="3461" max="3461" width="7.875" style="3063"/>
    <col min="3462" max="3462" width="9.25" style="3063" customWidth="1"/>
    <col min="3463" max="3463" width="8.375" style="3063" bestFit="1" customWidth="1"/>
    <col min="3464" max="3464" width="7.875" style="3063"/>
    <col min="3465" max="3465" width="8.625" style="3063" customWidth="1"/>
    <col min="3466" max="3466" width="10.125" style="3063" bestFit="1" customWidth="1"/>
    <col min="3467" max="3467" width="7.875" style="3063"/>
    <col min="3468" max="3468" width="10.125" style="3063" bestFit="1" customWidth="1"/>
    <col min="3469" max="3469" width="8.25" style="3063" bestFit="1" customWidth="1"/>
    <col min="3470" max="3470" width="7.875" style="3063"/>
    <col min="3471" max="3471" width="10.125" style="3063" bestFit="1" customWidth="1"/>
    <col min="3472" max="3472" width="8.25" style="3063" bestFit="1" customWidth="1"/>
    <col min="3473" max="3473" width="7.875" style="3063"/>
    <col min="3474" max="3474" width="10.125" style="3063" bestFit="1" customWidth="1"/>
    <col min="3475" max="3475" width="8.25" style="3063" bestFit="1" customWidth="1"/>
    <col min="3476" max="3476" width="7.875" style="3063"/>
    <col min="3477" max="3477" width="10.125" style="3063" bestFit="1" customWidth="1"/>
    <col min="3478" max="3479" width="8.25" style="3063" bestFit="1" customWidth="1"/>
    <col min="3480" max="3480" width="10.125" style="3063" bestFit="1" customWidth="1"/>
    <col min="3481" max="3481" width="8.25" style="3063" bestFit="1" customWidth="1"/>
    <col min="3482" max="3482" width="7.875" style="3063"/>
    <col min="3483" max="3483" width="10.125" style="3063" bestFit="1" customWidth="1"/>
    <col min="3484" max="3484" width="9.125" style="3063" bestFit="1" customWidth="1"/>
    <col min="3485" max="3485" width="7.875" style="3063"/>
    <col min="3486" max="3486" width="10.125" style="3063" bestFit="1" customWidth="1"/>
    <col min="3487" max="3487" width="9.125" style="3063" bestFit="1" customWidth="1"/>
    <col min="3488" max="3488" width="7.875" style="3063"/>
    <col min="3489" max="3489" width="10.125" style="3063" bestFit="1" customWidth="1"/>
    <col min="3490" max="3490" width="9.125" style="3063" bestFit="1" customWidth="1"/>
    <col min="3491" max="3491" width="7.875" style="3063"/>
    <col min="3492" max="3492" width="10.125" style="3063" bestFit="1" customWidth="1"/>
    <col min="3493" max="3493" width="9.125" style="3063" bestFit="1" customWidth="1"/>
    <col min="3494" max="3494" width="7.875" style="3063"/>
    <col min="3495" max="3495" width="10.125" style="3063" bestFit="1" customWidth="1"/>
    <col min="3496" max="3496" width="9.125" style="3063" bestFit="1" customWidth="1"/>
    <col min="3497" max="3497" width="7.875" style="3063"/>
    <col min="3498" max="3498" width="10.125" style="3063" bestFit="1" customWidth="1"/>
    <col min="3499" max="3500" width="8.25" style="3063" bestFit="1" customWidth="1"/>
    <col min="3501" max="3501" width="9.125" style="3063" bestFit="1" customWidth="1"/>
    <col min="3502" max="3502" width="8.25" style="3063" bestFit="1" customWidth="1"/>
    <col min="3503" max="3503" width="7.875" style="3063"/>
    <col min="3504" max="3504" width="9.125" style="3063" bestFit="1" customWidth="1"/>
    <col min="3505" max="3505" width="8.25" style="3063" bestFit="1" customWidth="1"/>
    <col min="3506" max="3506" width="7.875" style="3063"/>
    <col min="3507" max="3507" width="9.125" style="3063" bestFit="1" customWidth="1"/>
    <col min="3508" max="3508" width="8.25" style="3063" bestFit="1" customWidth="1"/>
    <col min="3509" max="3509" width="7.875" style="3063"/>
    <col min="3510" max="3511" width="8.25" style="3063" bestFit="1" customWidth="1"/>
    <col min="3512" max="3512" width="7.875" style="3063"/>
    <col min="3513" max="3514" width="8.25" style="3063" bestFit="1" customWidth="1"/>
    <col min="3515" max="3515" width="7.875" style="3063"/>
    <col min="3516" max="3516" width="9.875" style="3063" bestFit="1" customWidth="1"/>
    <col min="3517" max="3517" width="11.125" style="3063" bestFit="1" customWidth="1"/>
    <col min="3518" max="3518" width="9.125" style="3063" bestFit="1" customWidth="1"/>
    <col min="3519" max="3519" width="9.875" style="3063" bestFit="1" customWidth="1"/>
    <col min="3520" max="3520" width="11.125" style="3063" bestFit="1" customWidth="1"/>
    <col min="3521" max="3521" width="7.875" style="3063"/>
    <col min="3522" max="3522" width="9" style="3063" customWidth="1"/>
    <col min="3523" max="3523" width="8.625" style="3063" customWidth="1"/>
    <col min="3524" max="3584" width="7.875" style="3063"/>
    <col min="3585" max="3585" width="3.875" style="3063" customWidth="1"/>
    <col min="3586" max="3586" width="10.375" style="3063" customWidth="1"/>
    <col min="3587" max="3587" width="10.75" style="3063" customWidth="1"/>
    <col min="3588" max="3588" width="11.625" style="3063" customWidth="1"/>
    <col min="3589" max="3589" width="10" style="3063" customWidth="1"/>
    <col min="3590" max="3590" width="9.375" style="3063" customWidth="1"/>
    <col min="3591" max="3591" width="10.5" style="3063" customWidth="1"/>
    <col min="3592" max="3592" width="12.5" style="3063" customWidth="1"/>
    <col min="3593" max="3593" width="11.75" style="3063" customWidth="1"/>
    <col min="3594" max="3594" width="10.5" style="3063" customWidth="1"/>
    <col min="3595" max="3595" width="12.125" style="3063" customWidth="1"/>
    <col min="3596" max="3596" width="9.75" style="3063" customWidth="1"/>
    <col min="3597" max="3597" width="10" style="3063" customWidth="1"/>
    <col min="3598" max="3598" width="12.25" style="3063" customWidth="1"/>
    <col min="3599" max="3599" width="9.75" style="3063" customWidth="1"/>
    <col min="3600" max="3600" width="8.625" style="3063" customWidth="1"/>
    <col min="3601" max="3601" width="11.25" style="3063" customWidth="1"/>
    <col min="3602" max="3602" width="11.125" style="3063" customWidth="1"/>
    <col min="3603" max="3603" width="10.625" style="3063" customWidth="1"/>
    <col min="3604" max="3604" width="11.125" style="3063" customWidth="1"/>
    <col min="3605" max="3605" width="10.125" style="3063" customWidth="1"/>
    <col min="3606" max="3606" width="12.125" style="3063" customWidth="1"/>
    <col min="3607" max="3607" width="7.75" style="3063" customWidth="1"/>
    <col min="3608" max="3608" width="8.125" style="3063" customWidth="1"/>
    <col min="3609" max="3611" width="10.875" style="3063" bestFit="1" customWidth="1"/>
    <col min="3612" max="3614" width="11.5" style="3063" customWidth="1"/>
    <col min="3615" max="3615" width="11.75" style="3063" customWidth="1"/>
    <col min="3616" max="3616" width="7.75" style="3063" bestFit="1" customWidth="1"/>
    <col min="3617" max="3617" width="11.5" style="3063" bestFit="1" customWidth="1"/>
    <col min="3618" max="3618" width="7.75" style="3063" bestFit="1" customWidth="1"/>
    <col min="3619" max="3619" width="8.75" style="3063" customWidth="1"/>
    <col min="3620" max="3620" width="9.875" style="3063" bestFit="1" customWidth="1"/>
    <col min="3621" max="3621" width="8" style="3063" customWidth="1"/>
    <col min="3622" max="3625" width="7.75" style="3063" bestFit="1" customWidth="1"/>
    <col min="3626" max="3627" width="12.25" style="3063" customWidth="1"/>
    <col min="3628" max="3628" width="10.25" style="3063" customWidth="1"/>
    <col min="3629" max="3629" width="9.25" style="3063" customWidth="1"/>
    <col min="3630" max="3630" width="11" style="3063" customWidth="1"/>
    <col min="3631" max="3631" width="8.375" style="3063" customWidth="1"/>
    <col min="3632" max="3632" width="9.5" style="3063" customWidth="1"/>
    <col min="3633" max="3633" width="13.25" style="3063" customWidth="1"/>
    <col min="3634" max="3634" width="13" style="3063" customWidth="1"/>
    <col min="3635" max="3637" width="10.875" style="3063" customWidth="1"/>
    <col min="3638" max="3638" width="10.5" style="3063" customWidth="1"/>
    <col min="3639" max="3639" width="6.375" style="3063" customWidth="1"/>
    <col min="3640" max="3640" width="6.25" style="3063" customWidth="1"/>
    <col min="3641" max="3641" width="9.875" style="3063" customWidth="1"/>
    <col min="3642" max="3642" width="10.75" style="3063" customWidth="1"/>
    <col min="3643" max="3643" width="9.5" style="3063" customWidth="1"/>
    <col min="3644" max="3647" width="11" style="3063" customWidth="1"/>
    <col min="3648" max="3648" width="10.625" style="3063" customWidth="1"/>
    <col min="3649" max="3649" width="11.875" style="3063" bestFit="1" customWidth="1"/>
    <col min="3650" max="3650" width="9.75" style="3063" bestFit="1" customWidth="1"/>
    <col min="3651" max="3651" width="11.875" style="3063" bestFit="1" customWidth="1"/>
    <col min="3652" max="3652" width="9.75" style="3063" bestFit="1" customWidth="1"/>
    <col min="3653" max="3653" width="11.875" style="3063" bestFit="1" customWidth="1"/>
    <col min="3654" max="3654" width="9.75" style="3063" bestFit="1" customWidth="1"/>
    <col min="3655" max="3655" width="11.375" style="3063" bestFit="1" customWidth="1"/>
    <col min="3656" max="3656" width="9.75" style="3063" bestFit="1" customWidth="1"/>
    <col min="3657" max="3657" width="11.375" style="3063" bestFit="1" customWidth="1"/>
    <col min="3658" max="3658" width="9.75" style="3063" bestFit="1" customWidth="1"/>
    <col min="3659" max="3659" width="11.375" style="3063" bestFit="1" customWidth="1"/>
    <col min="3660" max="3660" width="9.75" style="3063" bestFit="1" customWidth="1"/>
    <col min="3661" max="3661" width="11.375" style="3063" bestFit="1" customWidth="1"/>
    <col min="3662" max="3662" width="9.75" style="3063" bestFit="1" customWidth="1"/>
    <col min="3663" max="3663" width="11.375" style="3063" bestFit="1" customWidth="1"/>
    <col min="3664" max="3664" width="9.75" style="3063" bestFit="1" customWidth="1"/>
    <col min="3665" max="3665" width="10.25" style="3063" bestFit="1" customWidth="1"/>
    <col min="3666" max="3666" width="9.625" style="3063" customWidth="1"/>
    <col min="3667" max="3667" width="10.375" style="3063" customWidth="1"/>
    <col min="3668" max="3668" width="9.25" style="3063" customWidth="1"/>
    <col min="3669" max="3669" width="10" style="3063" customWidth="1"/>
    <col min="3670" max="3670" width="9.75" style="3063" customWidth="1"/>
    <col min="3671" max="3671" width="9.125" style="3063" customWidth="1"/>
    <col min="3672" max="3696" width="9.5" style="3063" customWidth="1"/>
    <col min="3697" max="3697" width="15.5" style="3063" bestFit="1" customWidth="1"/>
    <col min="3698" max="3698" width="13.25" style="3063" bestFit="1" customWidth="1"/>
    <col min="3699" max="3699" width="13.5" style="3063" customWidth="1"/>
    <col min="3700" max="3700" width="12.5" style="3063" bestFit="1" customWidth="1"/>
    <col min="3701" max="3701" width="10.625" style="3063" bestFit="1" customWidth="1"/>
    <col min="3702" max="3702" width="11.375" style="3063" bestFit="1" customWidth="1"/>
    <col min="3703" max="3703" width="11.75" style="3063" bestFit="1" customWidth="1"/>
    <col min="3704" max="3704" width="11.375" style="3063" bestFit="1" customWidth="1"/>
    <col min="3705" max="3705" width="9.375" style="3063" bestFit="1" customWidth="1"/>
    <col min="3706" max="3706" width="11.375" style="3063" bestFit="1" customWidth="1"/>
    <col min="3707" max="3707" width="10.25" style="3063" bestFit="1" customWidth="1"/>
    <col min="3708" max="3708" width="9.375" style="3063" bestFit="1" customWidth="1"/>
    <col min="3709" max="3709" width="11.375" style="3063" bestFit="1" customWidth="1"/>
    <col min="3710" max="3710" width="10.25" style="3063" bestFit="1" customWidth="1"/>
    <col min="3711" max="3711" width="10.125" style="3063" bestFit="1" customWidth="1"/>
    <col min="3712" max="3712" width="10.375" style="3063" bestFit="1" customWidth="1"/>
    <col min="3713" max="3713" width="8.375" style="3063" bestFit="1" customWidth="1"/>
    <col min="3714" max="3714" width="9.125" style="3063" bestFit="1" customWidth="1"/>
    <col min="3715" max="3715" width="10" style="3063" customWidth="1"/>
    <col min="3716" max="3716" width="8.375" style="3063" bestFit="1" customWidth="1"/>
    <col min="3717" max="3717" width="7.875" style="3063"/>
    <col min="3718" max="3718" width="9.25" style="3063" customWidth="1"/>
    <col min="3719" max="3719" width="8.375" style="3063" bestFit="1" customWidth="1"/>
    <col min="3720" max="3720" width="7.875" style="3063"/>
    <col min="3721" max="3721" width="8.625" style="3063" customWidth="1"/>
    <col min="3722" max="3722" width="10.125" style="3063" bestFit="1" customWidth="1"/>
    <col min="3723" max="3723" width="7.875" style="3063"/>
    <col min="3724" max="3724" width="10.125" style="3063" bestFit="1" customWidth="1"/>
    <col min="3725" max="3725" width="8.25" style="3063" bestFit="1" customWidth="1"/>
    <col min="3726" max="3726" width="7.875" style="3063"/>
    <col min="3727" max="3727" width="10.125" style="3063" bestFit="1" customWidth="1"/>
    <col min="3728" max="3728" width="8.25" style="3063" bestFit="1" customWidth="1"/>
    <col min="3729" max="3729" width="7.875" style="3063"/>
    <col min="3730" max="3730" width="10.125" style="3063" bestFit="1" customWidth="1"/>
    <col min="3731" max="3731" width="8.25" style="3063" bestFit="1" customWidth="1"/>
    <col min="3732" max="3732" width="7.875" style="3063"/>
    <col min="3733" max="3733" width="10.125" style="3063" bestFit="1" customWidth="1"/>
    <col min="3734" max="3735" width="8.25" style="3063" bestFit="1" customWidth="1"/>
    <col min="3736" max="3736" width="10.125" style="3063" bestFit="1" customWidth="1"/>
    <col min="3737" max="3737" width="8.25" style="3063" bestFit="1" customWidth="1"/>
    <col min="3738" max="3738" width="7.875" style="3063"/>
    <col min="3739" max="3739" width="10.125" style="3063" bestFit="1" customWidth="1"/>
    <col min="3740" max="3740" width="9.125" style="3063" bestFit="1" customWidth="1"/>
    <col min="3741" max="3741" width="7.875" style="3063"/>
    <col min="3742" max="3742" width="10.125" style="3063" bestFit="1" customWidth="1"/>
    <col min="3743" max="3743" width="9.125" style="3063" bestFit="1" customWidth="1"/>
    <col min="3744" max="3744" width="7.875" style="3063"/>
    <col min="3745" max="3745" width="10.125" style="3063" bestFit="1" customWidth="1"/>
    <col min="3746" max="3746" width="9.125" style="3063" bestFit="1" customWidth="1"/>
    <col min="3747" max="3747" width="7.875" style="3063"/>
    <col min="3748" max="3748" width="10.125" style="3063" bestFit="1" customWidth="1"/>
    <col min="3749" max="3749" width="9.125" style="3063" bestFit="1" customWidth="1"/>
    <col min="3750" max="3750" width="7.875" style="3063"/>
    <col min="3751" max="3751" width="10.125" style="3063" bestFit="1" customWidth="1"/>
    <col min="3752" max="3752" width="9.125" style="3063" bestFit="1" customWidth="1"/>
    <col min="3753" max="3753" width="7.875" style="3063"/>
    <col min="3754" max="3754" width="10.125" style="3063" bestFit="1" customWidth="1"/>
    <col min="3755" max="3756" width="8.25" style="3063" bestFit="1" customWidth="1"/>
    <col min="3757" max="3757" width="9.125" style="3063" bestFit="1" customWidth="1"/>
    <col min="3758" max="3758" width="8.25" style="3063" bestFit="1" customWidth="1"/>
    <col min="3759" max="3759" width="7.875" style="3063"/>
    <col min="3760" max="3760" width="9.125" style="3063" bestFit="1" customWidth="1"/>
    <col min="3761" max="3761" width="8.25" style="3063" bestFit="1" customWidth="1"/>
    <col min="3762" max="3762" width="7.875" style="3063"/>
    <col min="3763" max="3763" width="9.125" style="3063" bestFit="1" customWidth="1"/>
    <col min="3764" max="3764" width="8.25" style="3063" bestFit="1" customWidth="1"/>
    <col min="3765" max="3765" width="7.875" style="3063"/>
    <col min="3766" max="3767" width="8.25" style="3063" bestFit="1" customWidth="1"/>
    <col min="3768" max="3768" width="7.875" style="3063"/>
    <col min="3769" max="3770" width="8.25" style="3063" bestFit="1" customWidth="1"/>
    <col min="3771" max="3771" width="7.875" style="3063"/>
    <col min="3772" max="3772" width="9.875" style="3063" bestFit="1" customWidth="1"/>
    <col min="3773" max="3773" width="11.125" style="3063" bestFit="1" customWidth="1"/>
    <col min="3774" max="3774" width="9.125" style="3063" bestFit="1" customWidth="1"/>
    <col min="3775" max="3775" width="9.875" style="3063" bestFit="1" customWidth="1"/>
    <col min="3776" max="3776" width="11.125" style="3063" bestFit="1" customWidth="1"/>
    <col min="3777" max="3777" width="7.875" style="3063"/>
    <col min="3778" max="3778" width="9" style="3063" customWidth="1"/>
    <col min="3779" max="3779" width="8.625" style="3063" customWidth="1"/>
    <col min="3780" max="3840" width="7.875" style="3063"/>
    <col min="3841" max="3841" width="3.875" style="3063" customWidth="1"/>
    <col min="3842" max="3842" width="10.375" style="3063" customWidth="1"/>
    <col min="3843" max="3843" width="10.75" style="3063" customWidth="1"/>
    <col min="3844" max="3844" width="11.625" style="3063" customWidth="1"/>
    <col min="3845" max="3845" width="10" style="3063" customWidth="1"/>
    <col min="3846" max="3846" width="9.375" style="3063" customWidth="1"/>
    <col min="3847" max="3847" width="10.5" style="3063" customWidth="1"/>
    <col min="3848" max="3848" width="12.5" style="3063" customWidth="1"/>
    <col min="3849" max="3849" width="11.75" style="3063" customWidth="1"/>
    <col min="3850" max="3850" width="10.5" style="3063" customWidth="1"/>
    <col min="3851" max="3851" width="12.125" style="3063" customWidth="1"/>
    <col min="3852" max="3852" width="9.75" style="3063" customWidth="1"/>
    <col min="3853" max="3853" width="10" style="3063" customWidth="1"/>
    <col min="3854" max="3854" width="12.25" style="3063" customWidth="1"/>
    <col min="3855" max="3855" width="9.75" style="3063" customWidth="1"/>
    <col min="3856" max="3856" width="8.625" style="3063" customWidth="1"/>
    <col min="3857" max="3857" width="11.25" style="3063" customWidth="1"/>
    <col min="3858" max="3858" width="11.125" style="3063" customWidth="1"/>
    <col min="3859" max="3859" width="10.625" style="3063" customWidth="1"/>
    <col min="3860" max="3860" width="11.125" style="3063" customWidth="1"/>
    <col min="3861" max="3861" width="10.125" style="3063" customWidth="1"/>
    <col min="3862" max="3862" width="12.125" style="3063" customWidth="1"/>
    <col min="3863" max="3863" width="7.75" style="3063" customWidth="1"/>
    <col min="3864" max="3864" width="8.125" style="3063" customWidth="1"/>
    <col min="3865" max="3867" width="10.875" style="3063" bestFit="1" customWidth="1"/>
    <col min="3868" max="3870" width="11.5" style="3063" customWidth="1"/>
    <col min="3871" max="3871" width="11.75" style="3063" customWidth="1"/>
    <col min="3872" max="3872" width="7.75" style="3063" bestFit="1" customWidth="1"/>
    <col min="3873" max="3873" width="11.5" style="3063" bestFit="1" customWidth="1"/>
    <col min="3874" max="3874" width="7.75" style="3063" bestFit="1" customWidth="1"/>
    <col min="3875" max="3875" width="8.75" style="3063" customWidth="1"/>
    <col min="3876" max="3876" width="9.875" style="3063" bestFit="1" customWidth="1"/>
    <col min="3877" max="3877" width="8" style="3063" customWidth="1"/>
    <col min="3878" max="3881" width="7.75" style="3063" bestFit="1" customWidth="1"/>
    <col min="3882" max="3883" width="12.25" style="3063" customWidth="1"/>
    <col min="3884" max="3884" width="10.25" style="3063" customWidth="1"/>
    <col min="3885" max="3885" width="9.25" style="3063" customWidth="1"/>
    <col min="3886" max="3886" width="11" style="3063" customWidth="1"/>
    <col min="3887" max="3887" width="8.375" style="3063" customWidth="1"/>
    <col min="3888" max="3888" width="9.5" style="3063" customWidth="1"/>
    <col min="3889" max="3889" width="13.25" style="3063" customWidth="1"/>
    <col min="3890" max="3890" width="13" style="3063" customWidth="1"/>
    <col min="3891" max="3893" width="10.875" style="3063" customWidth="1"/>
    <col min="3894" max="3894" width="10.5" style="3063" customWidth="1"/>
    <col min="3895" max="3895" width="6.375" style="3063" customWidth="1"/>
    <col min="3896" max="3896" width="6.25" style="3063" customWidth="1"/>
    <col min="3897" max="3897" width="9.875" style="3063" customWidth="1"/>
    <col min="3898" max="3898" width="10.75" style="3063" customWidth="1"/>
    <col min="3899" max="3899" width="9.5" style="3063" customWidth="1"/>
    <col min="3900" max="3903" width="11" style="3063" customWidth="1"/>
    <col min="3904" max="3904" width="10.625" style="3063" customWidth="1"/>
    <col min="3905" max="3905" width="11.875" style="3063" bestFit="1" customWidth="1"/>
    <col min="3906" max="3906" width="9.75" style="3063" bestFit="1" customWidth="1"/>
    <col min="3907" max="3907" width="11.875" style="3063" bestFit="1" customWidth="1"/>
    <col min="3908" max="3908" width="9.75" style="3063" bestFit="1" customWidth="1"/>
    <col min="3909" max="3909" width="11.875" style="3063" bestFit="1" customWidth="1"/>
    <col min="3910" max="3910" width="9.75" style="3063" bestFit="1" customWidth="1"/>
    <col min="3911" max="3911" width="11.375" style="3063" bestFit="1" customWidth="1"/>
    <col min="3912" max="3912" width="9.75" style="3063" bestFit="1" customWidth="1"/>
    <col min="3913" max="3913" width="11.375" style="3063" bestFit="1" customWidth="1"/>
    <col min="3914" max="3914" width="9.75" style="3063" bestFit="1" customWidth="1"/>
    <col min="3915" max="3915" width="11.375" style="3063" bestFit="1" customWidth="1"/>
    <col min="3916" max="3916" width="9.75" style="3063" bestFit="1" customWidth="1"/>
    <col min="3917" max="3917" width="11.375" style="3063" bestFit="1" customWidth="1"/>
    <col min="3918" max="3918" width="9.75" style="3063" bestFit="1" customWidth="1"/>
    <col min="3919" max="3919" width="11.375" style="3063" bestFit="1" customWidth="1"/>
    <col min="3920" max="3920" width="9.75" style="3063" bestFit="1" customWidth="1"/>
    <col min="3921" max="3921" width="10.25" style="3063" bestFit="1" customWidth="1"/>
    <col min="3922" max="3922" width="9.625" style="3063" customWidth="1"/>
    <col min="3923" max="3923" width="10.375" style="3063" customWidth="1"/>
    <col min="3924" max="3924" width="9.25" style="3063" customWidth="1"/>
    <col min="3925" max="3925" width="10" style="3063" customWidth="1"/>
    <col min="3926" max="3926" width="9.75" style="3063" customWidth="1"/>
    <col min="3927" max="3927" width="9.125" style="3063" customWidth="1"/>
    <col min="3928" max="3952" width="9.5" style="3063" customWidth="1"/>
    <col min="3953" max="3953" width="15.5" style="3063" bestFit="1" customWidth="1"/>
    <col min="3954" max="3954" width="13.25" style="3063" bestFit="1" customWidth="1"/>
    <col min="3955" max="3955" width="13.5" style="3063" customWidth="1"/>
    <col min="3956" max="3956" width="12.5" style="3063" bestFit="1" customWidth="1"/>
    <col min="3957" max="3957" width="10.625" style="3063" bestFit="1" customWidth="1"/>
    <col min="3958" max="3958" width="11.375" style="3063" bestFit="1" customWidth="1"/>
    <col min="3959" max="3959" width="11.75" style="3063" bestFit="1" customWidth="1"/>
    <col min="3960" max="3960" width="11.375" style="3063" bestFit="1" customWidth="1"/>
    <col min="3961" max="3961" width="9.375" style="3063" bestFit="1" customWidth="1"/>
    <col min="3962" max="3962" width="11.375" style="3063" bestFit="1" customWidth="1"/>
    <col min="3963" max="3963" width="10.25" style="3063" bestFit="1" customWidth="1"/>
    <col min="3964" max="3964" width="9.375" style="3063" bestFit="1" customWidth="1"/>
    <col min="3965" max="3965" width="11.375" style="3063" bestFit="1" customWidth="1"/>
    <col min="3966" max="3966" width="10.25" style="3063" bestFit="1" customWidth="1"/>
    <col min="3967" max="3967" width="10.125" style="3063" bestFit="1" customWidth="1"/>
    <col min="3968" max="3968" width="10.375" style="3063" bestFit="1" customWidth="1"/>
    <col min="3969" max="3969" width="8.375" style="3063" bestFit="1" customWidth="1"/>
    <col min="3970" max="3970" width="9.125" style="3063" bestFit="1" customWidth="1"/>
    <col min="3971" max="3971" width="10" style="3063" customWidth="1"/>
    <col min="3972" max="3972" width="8.375" style="3063" bestFit="1" customWidth="1"/>
    <col min="3973" max="3973" width="7.875" style="3063"/>
    <col min="3974" max="3974" width="9.25" style="3063" customWidth="1"/>
    <col min="3975" max="3975" width="8.375" style="3063" bestFit="1" customWidth="1"/>
    <col min="3976" max="3976" width="7.875" style="3063"/>
    <col min="3977" max="3977" width="8.625" style="3063" customWidth="1"/>
    <col min="3978" max="3978" width="10.125" style="3063" bestFit="1" customWidth="1"/>
    <col min="3979" max="3979" width="7.875" style="3063"/>
    <col min="3980" max="3980" width="10.125" style="3063" bestFit="1" customWidth="1"/>
    <col min="3981" max="3981" width="8.25" style="3063" bestFit="1" customWidth="1"/>
    <col min="3982" max="3982" width="7.875" style="3063"/>
    <col min="3983" max="3983" width="10.125" style="3063" bestFit="1" customWidth="1"/>
    <col min="3984" max="3984" width="8.25" style="3063" bestFit="1" customWidth="1"/>
    <col min="3985" max="3985" width="7.875" style="3063"/>
    <col min="3986" max="3986" width="10.125" style="3063" bestFit="1" customWidth="1"/>
    <col min="3987" max="3987" width="8.25" style="3063" bestFit="1" customWidth="1"/>
    <col min="3988" max="3988" width="7.875" style="3063"/>
    <col min="3989" max="3989" width="10.125" style="3063" bestFit="1" customWidth="1"/>
    <col min="3990" max="3991" width="8.25" style="3063" bestFit="1" customWidth="1"/>
    <col min="3992" max="3992" width="10.125" style="3063" bestFit="1" customWidth="1"/>
    <col min="3993" max="3993" width="8.25" style="3063" bestFit="1" customWidth="1"/>
    <col min="3994" max="3994" width="7.875" style="3063"/>
    <col min="3995" max="3995" width="10.125" style="3063" bestFit="1" customWidth="1"/>
    <col min="3996" max="3996" width="9.125" style="3063" bestFit="1" customWidth="1"/>
    <col min="3997" max="3997" width="7.875" style="3063"/>
    <col min="3998" max="3998" width="10.125" style="3063" bestFit="1" customWidth="1"/>
    <col min="3999" max="3999" width="9.125" style="3063" bestFit="1" customWidth="1"/>
    <col min="4000" max="4000" width="7.875" style="3063"/>
    <col min="4001" max="4001" width="10.125" style="3063" bestFit="1" customWidth="1"/>
    <col min="4002" max="4002" width="9.125" style="3063" bestFit="1" customWidth="1"/>
    <col min="4003" max="4003" width="7.875" style="3063"/>
    <col min="4004" max="4004" width="10.125" style="3063" bestFit="1" customWidth="1"/>
    <col min="4005" max="4005" width="9.125" style="3063" bestFit="1" customWidth="1"/>
    <col min="4006" max="4006" width="7.875" style="3063"/>
    <col min="4007" max="4007" width="10.125" style="3063" bestFit="1" customWidth="1"/>
    <col min="4008" max="4008" width="9.125" style="3063" bestFit="1" customWidth="1"/>
    <col min="4009" max="4009" width="7.875" style="3063"/>
    <col min="4010" max="4010" width="10.125" style="3063" bestFit="1" customWidth="1"/>
    <col min="4011" max="4012" width="8.25" style="3063" bestFit="1" customWidth="1"/>
    <col min="4013" max="4013" width="9.125" style="3063" bestFit="1" customWidth="1"/>
    <col min="4014" max="4014" width="8.25" style="3063" bestFit="1" customWidth="1"/>
    <col min="4015" max="4015" width="7.875" style="3063"/>
    <col min="4016" max="4016" width="9.125" style="3063" bestFit="1" customWidth="1"/>
    <col min="4017" max="4017" width="8.25" style="3063" bestFit="1" customWidth="1"/>
    <col min="4018" max="4018" width="7.875" style="3063"/>
    <col min="4019" max="4019" width="9.125" style="3063" bestFit="1" customWidth="1"/>
    <col min="4020" max="4020" width="8.25" style="3063" bestFit="1" customWidth="1"/>
    <col min="4021" max="4021" width="7.875" style="3063"/>
    <col min="4022" max="4023" width="8.25" style="3063" bestFit="1" customWidth="1"/>
    <col min="4024" max="4024" width="7.875" style="3063"/>
    <col min="4025" max="4026" width="8.25" style="3063" bestFit="1" customWidth="1"/>
    <col min="4027" max="4027" width="7.875" style="3063"/>
    <col min="4028" max="4028" width="9.875" style="3063" bestFit="1" customWidth="1"/>
    <col min="4029" max="4029" width="11.125" style="3063" bestFit="1" customWidth="1"/>
    <col min="4030" max="4030" width="9.125" style="3063" bestFit="1" customWidth="1"/>
    <col min="4031" max="4031" width="9.875" style="3063" bestFit="1" customWidth="1"/>
    <col min="4032" max="4032" width="11.125" style="3063" bestFit="1" customWidth="1"/>
    <col min="4033" max="4033" width="7.875" style="3063"/>
    <col min="4034" max="4034" width="9" style="3063" customWidth="1"/>
    <col min="4035" max="4035" width="8.625" style="3063" customWidth="1"/>
    <col min="4036" max="4096" width="7.875" style="3063"/>
    <col min="4097" max="4097" width="3.875" style="3063" customWidth="1"/>
    <col min="4098" max="4098" width="10.375" style="3063" customWidth="1"/>
    <col min="4099" max="4099" width="10.75" style="3063" customWidth="1"/>
    <col min="4100" max="4100" width="11.625" style="3063" customWidth="1"/>
    <col min="4101" max="4101" width="10" style="3063" customWidth="1"/>
    <col min="4102" max="4102" width="9.375" style="3063" customWidth="1"/>
    <col min="4103" max="4103" width="10.5" style="3063" customWidth="1"/>
    <col min="4104" max="4104" width="12.5" style="3063" customWidth="1"/>
    <col min="4105" max="4105" width="11.75" style="3063" customWidth="1"/>
    <col min="4106" max="4106" width="10.5" style="3063" customWidth="1"/>
    <col min="4107" max="4107" width="12.125" style="3063" customWidth="1"/>
    <col min="4108" max="4108" width="9.75" style="3063" customWidth="1"/>
    <col min="4109" max="4109" width="10" style="3063" customWidth="1"/>
    <col min="4110" max="4110" width="12.25" style="3063" customWidth="1"/>
    <col min="4111" max="4111" width="9.75" style="3063" customWidth="1"/>
    <col min="4112" max="4112" width="8.625" style="3063" customWidth="1"/>
    <col min="4113" max="4113" width="11.25" style="3063" customWidth="1"/>
    <col min="4114" max="4114" width="11.125" style="3063" customWidth="1"/>
    <col min="4115" max="4115" width="10.625" style="3063" customWidth="1"/>
    <col min="4116" max="4116" width="11.125" style="3063" customWidth="1"/>
    <col min="4117" max="4117" width="10.125" style="3063" customWidth="1"/>
    <col min="4118" max="4118" width="12.125" style="3063" customWidth="1"/>
    <col min="4119" max="4119" width="7.75" style="3063" customWidth="1"/>
    <col min="4120" max="4120" width="8.125" style="3063" customWidth="1"/>
    <col min="4121" max="4123" width="10.875" style="3063" bestFit="1" customWidth="1"/>
    <col min="4124" max="4126" width="11.5" style="3063" customWidth="1"/>
    <col min="4127" max="4127" width="11.75" style="3063" customWidth="1"/>
    <col min="4128" max="4128" width="7.75" style="3063" bestFit="1" customWidth="1"/>
    <col min="4129" max="4129" width="11.5" style="3063" bestFit="1" customWidth="1"/>
    <col min="4130" max="4130" width="7.75" style="3063" bestFit="1" customWidth="1"/>
    <col min="4131" max="4131" width="8.75" style="3063" customWidth="1"/>
    <col min="4132" max="4132" width="9.875" style="3063" bestFit="1" customWidth="1"/>
    <col min="4133" max="4133" width="8" style="3063" customWidth="1"/>
    <col min="4134" max="4137" width="7.75" style="3063" bestFit="1" customWidth="1"/>
    <col min="4138" max="4139" width="12.25" style="3063" customWidth="1"/>
    <col min="4140" max="4140" width="10.25" style="3063" customWidth="1"/>
    <col min="4141" max="4141" width="9.25" style="3063" customWidth="1"/>
    <col min="4142" max="4142" width="11" style="3063" customWidth="1"/>
    <col min="4143" max="4143" width="8.375" style="3063" customWidth="1"/>
    <col min="4144" max="4144" width="9.5" style="3063" customWidth="1"/>
    <col min="4145" max="4145" width="13.25" style="3063" customWidth="1"/>
    <col min="4146" max="4146" width="13" style="3063" customWidth="1"/>
    <col min="4147" max="4149" width="10.875" style="3063" customWidth="1"/>
    <col min="4150" max="4150" width="10.5" style="3063" customWidth="1"/>
    <col min="4151" max="4151" width="6.375" style="3063" customWidth="1"/>
    <col min="4152" max="4152" width="6.25" style="3063" customWidth="1"/>
    <col min="4153" max="4153" width="9.875" style="3063" customWidth="1"/>
    <col min="4154" max="4154" width="10.75" style="3063" customWidth="1"/>
    <col min="4155" max="4155" width="9.5" style="3063" customWidth="1"/>
    <col min="4156" max="4159" width="11" style="3063" customWidth="1"/>
    <col min="4160" max="4160" width="10.625" style="3063" customWidth="1"/>
    <col min="4161" max="4161" width="11.875" style="3063" bestFit="1" customWidth="1"/>
    <col min="4162" max="4162" width="9.75" style="3063" bestFit="1" customWidth="1"/>
    <col min="4163" max="4163" width="11.875" style="3063" bestFit="1" customWidth="1"/>
    <col min="4164" max="4164" width="9.75" style="3063" bestFit="1" customWidth="1"/>
    <col min="4165" max="4165" width="11.875" style="3063" bestFit="1" customWidth="1"/>
    <col min="4166" max="4166" width="9.75" style="3063" bestFit="1" customWidth="1"/>
    <col min="4167" max="4167" width="11.375" style="3063" bestFit="1" customWidth="1"/>
    <col min="4168" max="4168" width="9.75" style="3063" bestFit="1" customWidth="1"/>
    <col min="4169" max="4169" width="11.375" style="3063" bestFit="1" customWidth="1"/>
    <col min="4170" max="4170" width="9.75" style="3063" bestFit="1" customWidth="1"/>
    <col min="4171" max="4171" width="11.375" style="3063" bestFit="1" customWidth="1"/>
    <col min="4172" max="4172" width="9.75" style="3063" bestFit="1" customWidth="1"/>
    <col min="4173" max="4173" width="11.375" style="3063" bestFit="1" customWidth="1"/>
    <col min="4174" max="4174" width="9.75" style="3063" bestFit="1" customWidth="1"/>
    <col min="4175" max="4175" width="11.375" style="3063" bestFit="1" customWidth="1"/>
    <col min="4176" max="4176" width="9.75" style="3063" bestFit="1" customWidth="1"/>
    <col min="4177" max="4177" width="10.25" style="3063" bestFit="1" customWidth="1"/>
    <col min="4178" max="4178" width="9.625" style="3063" customWidth="1"/>
    <col min="4179" max="4179" width="10.375" style="3063" customWidth="1"/>
    <col min="4180" max="4180" width="9.25" style="3063" customWidth="1"/>
    <col min="4181" max="4181" width="10" style="3063" customWidth="1"/>
    <col min="4182" max="4182" width="9.75" style="3063" customWidth="1"/>
    <col min="4183" max="4183" width="9.125" style="3063" customWidth="1"/>
    <col min="4184" max="4208" width="9.5" style="3063" customWidth="1"/>
    <col min="4209" max="4209" width="15.5" style="3063" bestFit="1" customWidth="1"/>
    <col min="4210" max="4210" width="13.25" style="3063" bestFit="1" customWidth="1"/>
    <col min="4211" max="4211" width="13.5" style="3063" customWidth="1"/>
    <col min="4212" max="4212" width="12.5" style="3063" bestFit="1" customWidth="1"/>
    <col min="4213" max="4213" width="10.625" style="3063" bestFit="1" customWidth="1"/>
    <col min="4214" max="4214" width="11.375" style="3063" bestFit="1" customWidth="1"/>
    <col min="4215" max="4215" width="11.75" style="3063" bestFit="1" customWidth="1"/>
    <col min="4216" max="4216" width="11.375" style="3063" bestFit="1" customWidth="1"/>
    <col min="4217" max="4217" width="9.375" style="3063" bestFit="1" customWidth="1"/>
    <col min="4218" max="4218" width="11.375" style="3063" bestFit="1" customWidth="1"/>
    <col min="4219" max="4219" width="10.25" style="3063" bestFit="1" customWidth="1"/>
    <col min="4220" max="4220" width="9.375" style="3063" bestFit="1" customWidth="1"/>
    <col min="4221" max="4221" width="11.375" style="3063" bestFit="1" customWidth="1"/>
    <col min="4222" max="4222" width="10.25" style="3063" bestFit="1" customWidth="1"/>
    <col min="4223" max="4223" width="10.125" style="3063" bestFit="1" customWidth="1"/>
    <col min="4224" max="4224" width="10.375" style="3063" bestFit="1" customWidth="1"/>
    <col min="4225" max="4225" width="8.375" style="3063" bestFit="1" customWidth="1"/>
    <col min="4226" max="4226" width="9.125" style="3063" bestFit="1" customWidth="1"/>
    <col min="4227" max="4227" width="10" style="3063" customWidth="1"/>
    <col min="4228" max="4228" width="8.375" style="3063" bestFit="1" customWidth="1"/>
    <col min="4229" max="4229" width="7.875" style="3063"/>
    <col min="4230" max="4230" width="9.25" style="3063" customWidth="1"/>
    <col min="4231" max="4231" width="8.375" style="3063" bestFit="1" customWidth="1"/>
    <col min="4232" max="4232" width="7.875" style="3063"/>
    <col min="4233" max="4233" width="8.625" style="3063" customWidth="1"/>
    <col min="4234" max="4234" width="10.125" style="3063" bestFit="1" customWidth="1"/>
    <col min="4235" max="4235" width="7.875" style="3063"/>
    <col min="4236" max="4236" width="10.125" style="3063" bestFit="1" customWidth="1"/>
    <col min="4237" max="4237" width="8.25" style="3063" bestFit="1" customWidth="1"/>
    <col min="4238" max="4238" width="7.875" style="3063"/>
    <col min="4239" max="4239" width="10.125" style="3063" bestFit="1" customWidth="1"/>
    <col min="4240" max="4240" width="8.25" style="3063" bestFit="1" customWidth="1"/>
    <col min="4241" max="4241" width="7.875" style="3063"/>
    <col min="4242" max="4242" width="10.125" style="3063" bestFit="1" customWidth="1"/>
    <col min="4243" max="4243" width="8.25" style="3063" bestFit="1" customWidth="1"/>
    <col min="4244" max="4244" width="7.875" style="3063"/>
    <col min="4245" max="4245" width="10.125" style="3063" bestFit="1" customWidth="1"/>
    <col min="4246" max="4247" width="8.25" style="3063" bestFit="1" customWidth="1"/>
    <col min="4248" max="4248" width="10.125" style="3063" bestFit="1" customWidth="1"/>
    <col min="4249" max="4249" width="8.25" style="3063" bestFit="1" customWidth="1"/>
    <col min="4250" max="4250" width="7.875" style="3063"/>
    <col min="4251" max="4251" width="10.125" style="3063" bestFit="1" customWidth="1"/>
    <col min="4252" max="4252" width="9.125" style="3063" bestFit="1" customWidth="1"/>
    <col min="4253" max="4253" width="7.875" style="3063"/>
    <col min="4254" max="4254" width="10.125" style="3063" bestFit="1" customWidth="1"/>
    <col min="4255" max="4255" width="9.125" style="3063" bestFit="1" customWidth="1"/>
    <col min="4256" max="4256" width="7.875" style="3063"/>
    <col min="4257" max="4257" width="10.125" style="3063" bestFit="1" customWidth="1"/>
    <col min="4258" max="4258" width="9.125" style="3063" bestFit="1" customWidth="1"/>
    <col min="4259" max="4259" width="7.875" style="3063"/>
    <col min="4260" max="4260" width="10.125" style="3063" bestFit="1" customWidth="1"/>
    <col min="4261" max="4261" width="9.125" style="3063" bestFit="1" customWidth="1"/>
    <col min="4262" max="4262" width="7.875" style="3063"/>
    <col min="4263" max="4263" width="10.125" style="3063" bestFit="1" customWidth="1"/>
    <col min="4264" max="4264" width="9.125" style="3063" bestFit="1" customWidth="1"/>
    <col min="4265" max="4265" width="7.875" style="3063"/>
    <col min="4266" max="4266" width="10.125" style="3063" bestFit="1" customWidth="1"/>
    <col min="4267" max="4268" width="8.25" style="3063" bestFit="1" customWidth="1"/>
    <col min="4269" max="4269" width="9.125" style="3063" bestFit="1" customWidth="1"/>
    <col min="4270" max="4270" width="8.25" style="3063" bestFit="1" customWidth="1"/>
    <col min="4271" max="4271" width="7.875" style="3063"/>
    <col min="4272" max="4272" width="9.125" style="3063" bestFit="1" customWidth="1"/>
    <col min="4273" max="4273" width="8.25" style="3063" bestFit="1" customWidth="1"/>
    <col min="4274" max="4274" width="7.875" style="3063"/>
    <col min="4275" max="4275" width="9.125" style="3063" bestFit="1" customWidth="1"/>
    <col min="4276" max="4276" width="8.25" style="3063" bestFit="1" customWidth="1"/>
    <col min="4277" max="4277" width="7.875" style="3063"/>
    <col min="4278" max="4279" width="8.25" style="3063" bestFit="1" customWidth="1"/>
    <col min="4280" max="4280" width="7.875" style="3063"/>
    <col min="4281" max="4282" width="8.25" style="3063" bestFit="1" customWidth="1"/>
    <col min="4283" max="4283" width="7.875" style="3063"/>
    <col min="4284" max="4284" width="9.875" style="3063" bestFit="1" customWidth="1"/>
    <col min="4285" max="4285" width="11.125" style="3063" bestFit="1" customWidth="1"/>
    <col min="4286" max="4286" width="9.125" style="3063" bestFit="1" customWidth="1"/>
    <col min="4287" max="4287" width="9.875" style="3063" bestFit="1" customWidth="1"/>
    <col min="4288" max="4288" width="11.125" style="3063" bestFit="1" customWidth="1"/>
    <col min="4289" max="4289" width="7.875" style="3063"/>
    <col min="4290" max="4290" width="9" style="3063" customWidth="1"/>
    <col min="4291" max="4291" width="8.625" style="3063" customWidth="1"/>
    <col min="4292" max="4352" width="7.875" style="3063"/>
    <col min="4353" max="4353" width="3.875" style="3063" customWidth="1"/>
    <col min="4354" max="4354" width="10.375" style="3063" customWidth="1"/>
    <col min="4355" max="4355" width="10.75" style="3063" customWidth="1"/>
    <col min="4356" max="4356" width="11.625" style="3063" customWidth="1"/>
    <col min="4357" max="4357" width="10" style="3063" customWidth="1"/>
    <col min="4358" max="4358" width="9.375" style="3063" customWidth="1"/>
    <col min="4359" max="4359" width="10.5" style="3063" customWidth="1"/>
    <col min="4360" max="4360" width="12.5" style="3063" customWidth="1"/>
    <col min="4361" max="4361" width="11.75" style="3063" customWidth="1"/>
    <col min="4362" max="4362" width="10.5" style="3063" customWidth="1"/>
    <col min="4363" max="4363" width="12.125" style="3063" customWidth="1"/>
    <col min="4364" max="4364" width="9.75" style="3063" customWidth="1"/>
    <col min="4365" max="4365" width="10" style="3063" customWidth="1"/>
    <col min="4366" max="4366" width="12.25" style="3063" customWidth="1"/>
    <col min="4367" max="4367" width="9.75" style="3063" customWidth="1"/>
    <col min="4368" max="4368" width="8.625" style="3063" customWidth="1"/>
    <col min="4369" max="4369" width="11.25" style="3063" customWidth="1"/>
    <col min="4370" max="4370" width="11.125" style="3063" customWidth="1"/>
    <col min="4371" max="4371" width="10.625" style="3063" customWidth="1"/>
    <col min="4372" max="4372" width="11.125" style="3063" customWidth="1"/>
    <col min="4373" max="4373" width="10.125" style="3063" customWidth="1"/>
    <col min="4374" max="4374" width="12.125" style="3063" customWidth="1"/>
    <col min="4375" max="4375" width="7.75" style="3063" customWidth="1"/>
    <col min="4376" max="4376" width="8.125" style="3063" customWidth="1"/>
    <col min="4377" max="4379" width="10.875" style="3063" bestFit="1" customWidth="1"/>
    <col min="4380" max="4382" width="11.5" style="3063" customWidth="1"/>
    <col min="4383" max="4383" width="11.75" style="3063" customWidth="1"/>
    <col min="4384" max="4384" width="7.75" style="3063" bestFit="1" customWidth="1"/>
    <col min="4385" max="4385" width="11.5" style="3063" bestFit="1" customWidth="1"/>
    <col min="4386" max="4386" width="7.75" style="3063" bestFit="1" customWidth="1"/>
    <col min="4387" max="4387" width="8.75" style="3063" customWidth="1"/>
    <col min="4388" max="4388" width="9.875" style="3063" bestFit="1" customWidth="1"/>
    <col min="4389" max="4389" width="8" style="3063" customWidth="1"/>
    <col min="4390" max="4393" width="7.75" style="3063" bestFit="1" customWidth="1"/>
    <col min="4394" max="4395" width="12.25" style="3063" customWidth="1"/>
    <col min="4396" max="4396" width="10.25" style="3063" customWidth="1"/>
    <col min="4397" max="4397" width="9.25" style="3063" customWidth="1"/>
    <col min="4398" max="4398" width="11" style="3063" customWidth="1"/>
    <col min="4399" max="4399" width="8.375" style="3063" customWidth="1"/>
    <col min="4400" max="4400" width="9.5" style="3063" customWidth="1"/>
    <col min="4401" max="4401" width="13.25" style="3063" customWidth="1"/>
    <col min="4402" max="4402" width="13" style="3063" customWidth="1"/>
    <col min="4403" max="4405" width="10.875" style="3063" customWidth="1"/>
    <col min="4406" max="4406" width="10.5" style="3063" customWidth="1"/>
    <col min="4407" max="4407" width="6.375" style="3063" customWidth="1"/>
    <col min="4408" max="4408" width="6.25" style="3063" customWidth="1"/>
    <col min="4409" max="4409" width="9.875" style="3063" customWidth="1"/>
    <col min="4410" max="4410" width="10.75" style="3063" customWidth="1"/>
    <col min="4411" max="4411" width="9.5" style="3063" customWidth="1"/>
    <col min="4412" max="4415" width="11" style="3063" customWidth="1"/>
    <col min="4416" max="4416" width="10.625" style="3063" customWidth="1"/>
    <col min="4417" max="4417" width="11.875" style="3063" bestFit="1" customWidth="1"/>
    <col min="4418" max="4418" width="9.75" style="3063" bestFit="1" customWidth="1"/>
    <col min="4419" max="4419" width="11.875" style="3063" bestFit="1" customWidth="1"/>
    <col min="4420" max="4420" width="9.75" style="3063" bestFit="1" customWidth="1"/>
    <col min="4421" max="4421" width="11.875" style="3063" bestFit="1" customWidth="1"/>
    <col min="4422" max="4422" width="9.75" style="3063" bestFit="1" customWidth="1"/>
    <col min="4423" max="4423" width="11.375" style="3063" bestFit="1" customWidth="1"/>
    <col min="4424" max="4424" width="9.75" style="3063" bestFit="1" customWidth="1"/>
    <col min="4425" max="4425" width="11.375" style="3063" bestFit="1" customWidth="1"/>
    <col min="4426" max="4426" width="9.75" style="3063" bestFit="1" customWidth="1"/>
    <col min="4427" max="4427" width="11.375" style="3063" bestFit="1" customWidth="1"/>
    <col min="4428" max="4428" width="9.75" style="3063" bestFit="1" customWidth="1"/>
    <col min="4429" max="4429" width="11.375" style="3063" bestFit="1" customWidth="1"/>
    <col min="4430" max="4430" width="9.75" style="3063" bestFit="1" customWidth="1"/>
    <col min="4431" max="4431" width="11.375" style="3063" bestFit="1" customWidth="1"/>
    <col min="4432" max="4432" width="9.75" style="3063" bestFit="1" customWidth="1"/>
    <col min="4433" max="4433" width="10.25" style="3063" bestFit="1" customWidth="1"/>
    <col min="4434" max="4434" width="9.625" style="3063" customWidth="1"/>
    <col min="4435" max="4435" width="10.375" style="3063" customWidth="1"/>
    <col min="4436" max="4436" width="9.25" style="3063" customWidth="1"/>
    <col min="4437" max="4437" width="10" style="3063" customWidth="1"/>
    <col min="4438" max="4438" width="9.75" style="3063" customWidth="1"/>
    <col min="4439" max="4439" width="9.125" style="3063" customWidth="1"/>
    <col min="4440" max="4464" width="9.5" style="3063" customWidth="1"/>
    <col min="4465" max="4465" width="15.5" style="3063" bestFit="1" customWidth="1"/>
    <col min="4466" max="4466" width="13.25" style="3063" bestFit="1" customWidth="1"/>
    <col min="4467" max="4467" width="13.5" style="3063" customWidth="1"/>
    <col min="4468" max="4468" width="12.5" style="3063" bestFit="1" customWidth="1"/>
    <col min="4469" max="4469" width="10.625" style="3063" bestFit="1" customWidth="1"/>
    <col min="4470" max="4470" width="11.375" style="3063" bestFit="1" customWidth="1"/>
    <col min="4471" max="4471" width="11.75" style="3063" bestFit="1" customWidth="1"/>
    <col min="4472" max="4472" width="11.375" style="3063" bestFit="1" customWidth="1"/>
    <col min="4473" max="4473" width="9.375" style="3063" bestFit="1" customWidth="1"/>
    <col min="4474" max="4474" width="11.375" style="3063" bestFit="1" customWidth="1"/>
    <col min="4475" max="4475" width="10.25" style="3063" bestFit="1" customWidth="1"/>
    <col min="4476" max="4476" width="9.375" style="3063" bestFit="1" customWidth="1"/>
    <col min="4477" max="4477" width="11.375" style="3063" bestFit="1" customWidth="1"/>
    <col min="4478" max="4478" width="10.25" style="3063" bestFit="1" customWidth="1"/>
    <col min="4479" max="4479" width="10.125" style="3063" bestFit="1" customWidth="1"/>
    <col min="4480" max="4480" width="10.375" style="3063" bestFit="1" customWidth="1"/>
    <col min="4481" max="4481" width="8.375" style="3063" bestFit="1" customWidth="1"/>
    <col min="4482" max="4482" width="9.125" style="3063" bestFit="1" customWidth="1"/>
    <col min="4483" max="4483" width="10" style="3063" customWidth="1"/>
    <col min="4484" max="4484" width="8.375" style="3063" bestFit="1" customWidth="1"/>
    <col min="4485" max="4485" width="7.875" style="3063"/>
    <col min="4486" max="4486" width="9.25" style="3063" customWidth="1"/>
    <col min="4487" max="4487" width="8.375" style="3063" bestFit="1" customWidth="1"/>
    <col min="4488" max="4488" width="7.875" style="3063"/>
    <col min="4489" max="4489" width="8.625" style="3063" customWidth="1"/>
    <col min="4490" max="4490" width="10.125" style="3063" bestFit="1" customWidth="1"/>
    <col min="4491" max="4491" width="7.875" style="3063"/>
    <col min="4492" max="4492" width="10.125" style="3063" bestFit="1" customWidth="1"/>
    <col min="4493" max="4493" width="8.25" style="3063" bestFit="1" customWidth="1"/>
    <col min="4494" max="4494" width="7.875" style="3063"/>
    <col min="4495" max="4495" width="10.125" style="3063" bestFit="1" customWidth="1"/>
    <col min="4496" max="4496" width="8.25" style="3063" bestFit="1" customWidth="1"/>
    <col min="4497" max="4497" width="7.875" style="3063"/>
    <col min="4498" max="4498" width="10.125" style="3063" bestFit="1" customWidth="1"/>
    <col min="4499" max="4499" width="8.25" style="3063" bestFit="1" customWidth="1"/>
    <col min="4500" max="4500" width="7.875" style="3063"/>
    <col min="4501" max="4501" width="10.125" style="3063" bestFit="1" customWidth="1"/>
    <col min="4502" max="4503" width="8.25" style="3063" bestFit="1" customWidth="1"/>
    <col min="4504" max="4504" width="10.125" style="3063" bestFit="1" customWidth="1"/>
    <col min="4505" max="4505" width="8.25" style="3063" bestFit="1" customWidth="1"/>
    <col min="4506" max="4506" width="7.875" style="3063"/>
    <col min="4507" max="4507" width="10.125" style="3063" bestFit="1" customWidth="1"/>
    <col min="4508" max="4508" width="9.125" style="3063" bestFit="1" customWidth="1"/>
    <col min="4509" max="4509" width="7.875" style="3063"/>
    <col min="4510" max="4510" width="10.125" style="3063" bestFit="1" customWidth="1"/>
    <col min="4511" max="4511" width="9.125" style="3063" bestFit="1" customWidth="1"/>
    <col min="4512" max="4512" width="7.875" style="3063"/>
    <col min="4513" max="4513" width="10.125" style="3063" bestFit="1" customWidth="1"/>
    <col min="4514" max="4514" width="9.125" style="3063" bestFit="1" customWidth="1"/>
    <col min="4515" max="4515" width="7.875" style="3063"/>
    <col min="4516" max="4516" width="10.125" style="3063" bestFit="1" customWidth="1"/>
    <col min="4517" max="4517" width="9.125" style="3063" bestFit="1" customWidth="1"/>
    <col min="4518" max="4518" width="7.875" style="3063"/>
    <col min="4519" max="4519" width="10.125" style="3063" bestFit="1" customWidth="1"/>
    <col min="4520" max="4520" width="9.125" style="3063" bestFit="1" customWidth="1"/>
    <col min="4521" max="4521" width="7.875" style="3063"/>
    <col min="4522" max="4522" width="10.125" style="3063" bestFit="1" customWidth="1"/>
    <col min="4523" max="4524" width="8.25" style="3063" bestFit="1" customWidth="1"/>
    <col min="4525" max="4525" width="9.125" style="3063" bestFit="1" customWidth="1"/>
    <col min="4526" max="4526" width="8.25" style="3063" bestFit="1" customWidth="1"/>
    <col min="4527" max="4527" width="7.875" style="3063"/>
    <col min="4528" max="4528" width="9.125" style="3063" bestFit="1" customWidth="1"/>
    <col min="4529" max="4529" width="8.25" style="3063" bestFit="1" customWidth="1"/>
    <col min="4530" max="4530" width="7.875" style="3063"/>
    <col min="4531" max="4531" width="9.125" style="3063" bestFit="1" customWidth="1"/>
    <col min="4532" max="4532" width="8.25" style="3063" bestFit="1" customWidth="1"/>
    <col min="4533" max="4533" width="7.875" style="3063"/>
    <col min="4534" max="4535" width="8.25" style="3063" bestFit="1" customWidth="1"/>
    <col min="4536" max="4536" width="7.875" style="3063"/>
    <col min="4537" max="4538" width="8.25" style="3063" bestFit="1" customWidth="1"/>
    <col min="4539" max="4539" width="7.875" style="3063"/>
    <col min="4540" max="4540" width="9.875" style="3063" bestFit="1" customWidth="1"/>
    <col min="4541" max="4541" width="11.125" style="3063" bestFit="1" customWidth="1"/>
    <col min="4542" max="4542" width="9.125" style="3063" bestFit="1" customWidth="1"/>
    <col min="4543" max="4543" width="9.875" style="3063" bestFit="1" customWidth="1"/>
    <col min="4544" max="4544" width="11.125" style="3063" bestFit="1" customWidth="1"/>
    <col min="4545" max="4545" width="7.875" style="3063"/>
    <col min="4546" max="4546" width="9" style="3063" customWidth="1"/>
    <col min="4547" max="4547" width="8.625" style="3063" customWidth="1"/>
    <col min="4548" max="4608" width="7.875" style="3063"/>
    <col min="4609" max="4609" width="3.875" style="3063" customWidth="1"/>
    <col min="4610" max="4610" width="10.375" style="3063" customWidth="1"/>
    <col min="4611" max="4611" width="10.75" style="3063" customWidth="1"/>
    <col min="4612" max="4612" width="11.625" style="3063" customWidth="1"/>
    <col min="4613" max="4613" width="10" style="3063" customWidth="1"/>
    <col min="4614" max="4614" width="9.375" style="3063" customWidth="1"/>
    <col min="4615" max="4615" width="10.5" style="3063" customWidth="1"/>
    <col min="4616" max="4616" width="12.5" style="3063" customWidth="1"/>
    <col min="4617" max="4617" width="11.75" style="3063" customWidth="1"/>
    <col min="4618" max="4618" width="10.5" style="3063" customWidth="1"/>
    <col min="4619" max="4619" width="12.125" style="3063" customWidth="1"/>
    <col min="4620" max="4620" width="9.75" style="3063" customWidth="1"/>
    <col min="4621" max="4621" width="10" style="3063" customWidth="1"/>
    <col min="4622" max="4622" width="12.25" style="3063" customWidth="1"/>
    <col min="4623" max="4623" width="9.75" style="3063" customWidth="1"/>
    <col min="4624" max="4624" width="8.625" style="3063" customWidth="1"/>
    <col min="4625" max="4625" width="11.25" style="3063" customWidth="1"/>
    <col min="4626" max="4626" width="11.125" style="3063" customWidth="1"/>
    <col min="4627" max="4627" width="10.625" style="3063" customWidth="1"/>
    <col min="4628" max="4628" width="11.125" style="3063" customWidth="1"/>
    <col min="4629" max="4629" width="10.125" style="3063" customWidth="1"/>
    <col min="4630" max="4630" width="12.125" style="3063" customWidth="1"/>
    <col min="4631" max="4631" width="7.75" style="3063" customWidth="1"/>
    <col min="4632" max="4632" width="8.125" style="3063" customWidth="1"/>
    <col min="4633" max="4635" width="10.875" style="3063" bestFit="1" customWidth="1"/>
    <col min="4636" max="4638" width="11.5" style="3063" customWidth="1"/>
    <col min="4639" max="4639" width="11.75" style="3063" customWidth="1"/>
    <col min="4640" max="4640" width="7.75" style="3063" bestFit="1" customWidth="1"/>
    <col min="4641" max="4641" width="11.5" style="3063" bestFit="1" customWidth="1"/>
    <col min="4642" max="4642" width="7.75" style="3063" bestFit="1" customWidth="1"/>
    <col min="4643" max="4643" width="8.75" style="3063" customWidth="1"/>
    <col min="4644" max="4644" width="9.875" style="3063" bestFit="1" customWidth="1"/>
    <col min="4645" max="4645" width="8" style="3063" customWidth="1"/>
    <col min="4646" max="4649" width="7.75" style="3063" bestFit="1" customWidth="1"/>
    <col min="4650" max="4651" width="12.25" style="3063" customWidth="1"/>
    <col min="4652" max="4652" width="10.25" style="3063" customWidth="1"/>
    <col min="4653" max="4653" width="9.25" style="3063" customWidth="1"/>
    <col min="4654" max="4654" width="11" style="3063" customWidth="1"/>
    <col min="4655" max="4655" width="8.375" style="3063" customWidth="1"/>
    <col min="4656" max="4656" width="9.5" style="3063" customWidth="1"/>
    <col min="4657" max="4657" width="13.25" style="3063" customWidth="1"/>
    <col min="4658" max="4658" width="13" style="3063" customWidth="1"/>
    <col min="4659" max="4661" width="10.875" style="3063" customWidth="1"/>
    <col min="4662" max="4662" width="10.5" style="3063" customWidth="1"/>
    <col min="4663" max="4663" width="6.375" style="3063" customWidth="1"/>
    <col min="4664" max="4664" width="6.25" style="3063" customWidth="1"/>
    <col min="4665" max="4665" width="9.875" style="3063" customWidth="1"/>
    <col min="4666" max="4666" width="10.75" style="3063" customWidth="1"/>
    <col min="4667" max="4667" width="9.5" style="3063" customWidth="1"/>
    <col min="4668" max="4671" width="11" style="3063" customWidth="1"/>
    <col min="4672" max="4672" width="10.625" style="3063" customWidth="1"/>
    <col min="4673" max="4673" width="11.875" style="3063" bestFit="1" customWidth="1"/>
    <col min="4674" max="4674" width="9.75" style="3063" bestFit="1" customWidth="1"/>
    <col min="4675" max="4675" width="11.875" style="3063" bestFit="1" customWidth="1"/>
    <col min="4676" max="4676" width="9.75" style="3063" bestFit="1" customWidth="1"/>
    <col min="4677" max="4677" width="11.875" style="3063" bestFit="1" customWidth="1"/>
    <col min="4678" max="4678" width="9.75" style="3063" bestFit="1" customWidth="1"/>
    <col min="4679" max="4679" width="11.375" style="3063" bestFit="1" customWidth="1"/>
    <col min="4680" max="4680" width="9.75" style="3063" bestFit="1" customWidth="1"/>
    <col min="4681" max="4681" width="11.375" style="3063" bestFit="1" customWidth="1"/>
    <col min="4682" max="4682" width="9.75" style="3063" bestFit="1" customWidth="1"/>
    <col min="4683" max="4683" width="11.375" style="3063" bestFit="1" customWidth="1"/>
    <col min="4684" max="4684" width="9.75" style="3063" bestFit="1" customWidth="1"/>
    <col min="4685" max="4685" width="11.375" style="3063" bestFit="1" customWidth="1"/>
    <col min="4686" max="4686" width="9.75" style="3063" bestFit="1" customWidth="1"/>
    <col min="4687" max="4687" width="11.375" style="3063" bestFit="1" customWidth="1"/>
    <col min="4688" max="4688" width="9.75" style="3063" bestFit="1" customWidth="1"/>
    <col min="4689" max="4689" width="10.25" style="3063" bestFit="1" customWidth="1"/>
    <col min="4690" max="4690" width="9.625" style="3063" customWidth="1"/>
    <col min="4691" max="4691" width="10.375" style="3063" customWidth="1"/>
    <col min="4692" max="4692" width="9.25" style="3063" customWidth="1"/>
    <col min="4693" max="4693" width="10" style="3063" customWidth="1"/>
    <col min="4694" max="4694" width="9.75" style="3063" customWidth="1"/>
    <col min="4695" max="4695" width="9.125" style="3063" customWidth="1"/>
    <col min="4696" max="4720" width="9.5" style="3063" customWidth="1"/>
    <col min="4721" max="4721" width="15.5" style="3063" bestFit="1" customWidth="1"/>
    <col min="4722" max="4722" width="13.25" style="3063" bestFit="1" customWidth="1"/>
    <col min="4723" max="4723" width="13.5" style="3063" customWidth="1"/>
    <col min="4724" max="4724" width="12.5" style="3063" bestFit="1" customWidth="1"/>
    <col min="4725" max="4725" width="10.625" style="3063" bestFit="1" customWidth="1"/>
    <col min="4726" max="4726" width="11.375" style="3063" bestFit="1" customWidth="1"/>
    <col min="4727" max="4727" width="11.75" style="3063" bestFit="1" customWidth="1"/>
    <col min="4728" max="4728" width="11.375" style="3063" bestFit="1" customWidth="1"/>
    <col min="4729" max="4729" width="9.375" style="3063" bestFit="1" customWidth="1"/>
    <col min="4730" max="4730" width="11.375" style="3063" bestFit="1" customWidth="1"/>
    <col min="4731" max="4731" width="10.25" style="3063" bestFit="1" customWidth="1"/>
    <col min="4732" max="4732" width="9.375" style="3063" bestFit="1" customWidth="1"/>
    <col min="4733" max="4733" width="11.375" style="3063" bestFit="1" customWidth="1"/>
    <col min="4734" max="4734" width="10.25" style="3063" bestFit="1" customWidth="1"/>
    <col min="4735" max="4735" width="10.125" style="3063" bestFit="1" customWidth="1"/>
    <col min="4736" max="4736" width="10.375" style="3063" bestFit="1" customWidth="1"/>
    <col min="4737" max="4737" width="8.375" style="3063" bestFit="1" customWidth="1"/>
    <col min="4738" max="4738" width="9.125" style="3063" bestFit="1" customWidth="1"/>
    <col min="4739" max="4739" width="10" style="3063" customWidth="1"/>
    <col min="4740" max="4740" width="8.375" style="3063" bestFit="1" customWidth="1"/>
    <col min="4741" max="4741" width="7.875" style="3063"/>
    <col min="4742" max="4742" width="9.25" style="3063" customWidth="1"/>
    <col min="4743" max="4743" width="8.375" style="3063" bestFit="1" customWidth="1"/>
    <col min="4744" max="4744" width="7.875" style="3063"/>
    <col min="4745" max="4745" width="8.625" style="3063" customWidth="1"/>
    <col min="4746" max="4746" width="10.125" style="3063" bestFit="1" customWidth="1"/>
    <col min="4747" max="4747" width="7.875" style="3063"/>
    <col min="4748" max="4748" width="10.125" style="3063" bestFit="1" customWidth="1"/>
    <col min="4749" max="4749" width="8.25" style="3063" bestFit="1" customWidth="1"/>
    <col min="4750" max="4750" width="7.875" style="3063"/>
    <col min="4751" max="4751" width="10.125" style="3063" bestFit="1" customWidth="1"/>
    <col min="4752" max="4752" width="8.25" style="3063" bestFit="1" customWidth="1"/>
    <col min="4753" max="4753" width="7.875" style="3063"/>
    <col min="4754" max="4754" width="10.125" style="3063" bestFit="1" customWidth="1"/>
    <col min="4755" max="4755" width="8.25" style="3063" bestFit="1" customWidth="1"/>
    <col min="4756" max="4756" width="7.875" style="3063"/>
    <col min="4757" max="4757" width="10.125" style="3063" bestFit="1" customWidth="1"/>
    <col min="4758" max="4759" width="8.25" style="3063" bestFit="1" customWidth="1"/>
    <col min="4760" max="4760" width="10.125" style="3063" bestFit="1" customWidth="1"/>
    <col min="4761" max="4761" width="8.25" style="3063" bestFit="1" customWidth="1"/>
    <col min="4762" max="4762" width="7.875" style="3063"/>
    <col min="4763" max="4763" width="10.125" style="3063" bestFit="1" customWidth="1"/>
    <col min="4764" max="4764" width="9.125" style="3063" bestFit="1" customWidth="1"/>
    <col min="4765" max="4765" width="7.875" style="3063"/>
    <col min="4766" max="4766" width="10.125" style="3063" bestFit="1" customWidth="1"/>
    <col min="4767" max="4767" width="9.125" style="3063" bestFit="1" customWidth="1"/>
    <col min="4768" max="4768" width="7.875" style="3063"/>
    <col min="4769" max="4769" width="10.125" style="3063" bestFit="1" customWidth="1"/>
    <col min="4770" max="4770" width="9.125" style="3063" bestFit="1" customWidth="1"/>
    <col min="4771" max="4771" width="7.875" style="3063"/>
    <col min="4772" max="4772" width="10.125" style="3063" bestFit="1" customWidth="1"/>
    <col min="4773" max="4773" width="9.125" style="3063" bestFit="1" customWidth="1"/>
    <col min="4774" max="4774" width="7.875" style="3063"/>
    <col min="4775" max="4775" width="10.125" style="3063" bestFit="1" customWidth="1"/>
    <col min="4776" max="4776" width="9.125" style="3063" bestFit="1" customWidth="1"/>
    <col min="4777" max="4777" width="7.875" style="3063"/>
    <col min="4778" max="4778" width="10.125" style="3063" bestFit="1" customWidth="1"/>
    <col min="4779" max="4780" width="8.25" style="3063" bestFit="1" customWidth="1"/>
    <col min="4781" max="4781" width="9.125" style="3063" bestFit="1" customWidth="1"/>
    <col min="4782" max="4782" width="8.25" style="3063" bestFit="1" customWidth="1"/>
    <col min="4783" max="4783" width="7.875" style="3063"/>
    <col min="4784" max="4784" width="9.125" style="3063" bestFit="1" customWidth="1"/>
    <col min="4785" max="4785" width="8.25" style="3063" bestFit="1" customWidth="1"/>
    <col min="4786" max="4786" width="7.875" style="3063"/>
    <col min="4787" max="4787" width="9.125" style="3063" bestFit="1" customWidth="1"/>
    <col min="4788" max="4788" width="8.25" style="3063" bestFit="1" customWidth="1"/>
    <col min="4789" max="4789" width="7.875" style="3063"/>
    <col min="4790" max="4791" width="8.25" style="3063" bestFit="1" customWidth="1"/>
    <col min="4792" max="4792" width="7.875" style="3063"/>
    <col min="4793" max="4794" width="8.25" style="3063" bestFit="1" customWidth="1"/>
    <col min="4795" max="4795" width="7.875" style="3063"/>
    <col min="4796" max="4796" width="9.875" style="3063" bestFit="1" customWidth="1"/>
    <col min="4797" max="4797" width="11.125" style="3063" bestFit="1" customWidth="1"/>
    <col min="4798" max="4798" width="9.125" style="3063" bestFit="1" customWidth="1"/>
    <col min="4799" max="4799" width="9.875" style="3063" bestFit="1" customWidth="1"/>
    <col min="4800" max="4800" width="11.125" style="3063" bestFit="1" customWidth="1"/>
    <col min="4801" max="4801" width="7.875" style="3063"/>
    <col min="4802" max="4802" width="9" style="3063" customWidth="1"/>
    <col min="4803" max="4803" width="8.625" style="3063" customWidth="1"/>
    <col min="4804" max="4864" width="7.875" style="3063"/>
    <col min="4865" max="4865" width="3.875" style="3063" customWidth="1"/>
    <col min="4866" max="4866" width="10.375" style="3063" customWidth="1"/>
    <col min="4867" max="4867" width="10.75" style="3063" customWidth="1"/>
    <col min="4868" max="4868" width="11.625" style="3063" customWidth="1"/>
    <col min="4869" max="4869" width="10" style="3063" customWidth="1"/>
    <col min="4870" max="4870" width="9.375" style="3063" customWidth="1"/>
    <col min="4871" max="4871" width="10.5" style="3063" customWidth="1"/>
    <col min="4872" max="4872" width="12.5" style="3063" customWidth="1"/>
    <col min="4873" max="4873" width="11.75" style="3063" customWidth="1"/>
    <col min="4874" max="4874" width="10.5" style="3063" customWidth="1"/>
    <col min="4875" max="4875" width="12.125" style="3063" customWidth="1"/>
    <col min="4876" max="4876" width="9.75" style="3063" customWidth="1"/>
    <col min="4877" max="4877" width="10" style="3063" customWidth="1"/>
    <col min="4878" max="4878" width="12.25" style="3063" customWidth="1"/>
    <col min="4879" max="4879" width="9.75" style="3063" customWidth="1"/>
    <col min="4880" max="4880" width="8.625" style="3063" customWidth="1"/>
    <col min="4881" max="4881" width="11.25" style="3063" customWidth="1"/>
    <col min="4882" max="4882" width="11.125" style="3063" customWidth="1"/>
    <col min="4883" max="4883" width="10.625" style="3063" customWidth="1"/>
    <col min="4884" max="4884" width="11.125" style="3063" customWidth="1"/>
    <col min="4885" max="4885" width="10.125" style="3063" customWidth="1"/>
    <col min="4886" max="4886" width="12.125" style="3063" customWidth="1"/>
    <col min="4887" max="4887" width="7.75" style="3063" customWidth="1"/>
    <col min="4888" max="4888" width="8.125" style="3063" customWidth="1"/>
    <col min="4889" max="4891" width="10.875" style="3063" bestFit="1" customWidth="1"/>
    <col min="4892" max="4894" width="11.5" style="3063" customWidth="1"/>
    <col min="4895" max="4895" width="11.75" style="3063" customWidth="1"/>
    <col min="4896" max="4896" width="7.75" style="3063" bestFit="1" customWidth="1"/>
    <col min="4897" max="4897" width="11.5" style="3063" bestFit="1" customWidth="1"/>
    <col min="4898" max="4898" width="7.75" style="3063" bestFit="1" customWidth="1"/>
    <col min="4899" max="4899" width="8.75" style="3063" customWidth="1"/>
    <col min="4900" max="4900" width="9.875" style="3063" bestFit="1" customWidth="1"/>
    <col min="4901" max="4901" width="8" style="3063" customWidth="1"/>
    <col min="4902" max="4905" width="7.75" style="3063" bestFit="1" customWidth="1"/>
    <col min="4906" max="4907" width="12.25" style="3063" customWidth="1"/>
    <col min="4908" max="4908" width="10.25" style="3063" customWidth="1"/>
    <col min="4909" max="4909" width="9.25" style="3063" customWidth="1"/>
    <col min="4910" max="4910" width="11" style="3063" customWidth="1"/>
    <col min="4911" max="4911" width="8.375" style="3063" customWidth="1"/>
    <col min="4912" max="4912" width="9.5" style="3063" customWidth="1"/>
    <col min="4913" max="4913" width="13.25" style="3063" customWidth="1"/>
    <col min="4914" max="4914" width="13" style="3063" customWidth="1"/>
    <col min="4915" max="4917" width="10.875" style="3063" customWidth="1"/>
    <col min="4918" max="4918" width="10.5" style="3063" customWidth="1"/>
    <col min="4919" max="4919" width="6.375" style="3063" customWidth="1"/>
    <col min="4920" max="4920" width="6.25" style="3063" customWidth="1"/>
    <col min="4921" max="4921" width="9.875" style="3063" customWidth="1"/>
    <col min="4922" max="4922" width="10.75" style="3063" customWidth="1"/>
    <col min="4923" max="4923" width="9.5" style="3063" customWidth="1"/>
    <col min="4924" max="4927" width="11" style="3063" customWidth="1"/>
    <col min="4928" max="4928" width="10.625" style="3063" customWidth="1"/>
    <col min="4929" max="4929" width="11.875" style="3063" bestFit="1" customWidth="1"/>
    <col min="4930" max="4930" width="9.75" style="3063" bestFit="1" customWidth="1"/>
    <col min="4931" max="4931" width="11.875" style="3063" bestFit="1" customWidth="1"/>
    <col min="4932" max="4932" width="9.75" style="3063" bestFit="1" customWidth="1"/>
    <col min="4933" max="4933" width="11.875" style="3063" bestFit="1" customWidth="1"/>
    <col min="4934" max="4934" width="9.75" style="3063" bestFit="1" customWidth="1"/>
    <col min="4935" max="4935" width="11.375" style="3063" bestFit="1" customWidth="1"/>
    <col min="4936" max="4936" width="9.75" style="3063" bestFit="1" customWidth="1"/>
    <col min="4937" max="4937" width="11.375" style="3063" bestFit="1" customWidth="1"/>
    <col min="4938" max="4938" width="9.75" style="3063" bestFit="1" customWidth="1"/>
    <col min="4939" max="4939" width="11.375" style="3063" bestFit="1" customWidth="1"/>
    <col min="4940" max="4940" width="9.75" style="3063" bestFit="1" customWidth="1"/>
    <col min="4941" max="4941" width="11.375" style="3063" bestFit="1" customWidth="1"/>
    <col min="4942" max="4942" width="9.75" style="3063" bestFit="1" customWidth="1"/>
    <col min="4943" max="4943" width="11.375" style="3063" bestFit="1" customWidth="1"/>
    <col min="4944" max="4944" width="9.75" style="3063" bestFit="1" customWidth="1"/>
    <col min="4945" max="4945" width="10.25" style="3063" bestFit="1" customWidth="1"/>
    <col min="4946" max="4946" width="9.625" style="3063" customWidth="1"/>
    <col min="4947" max="4947" width="10.375" style="3063" customWidth="1"/>
    <col min="4948" max="4948" width="9.25" style="3063" customWidth="1"/>
    <col min="4949" max="4949" width="10" style="3063" customWidth="1"/>
    <col min="4950" max="4950" width="9.75" style="3063" customWidth="1"/>
    <col min="4951" max="4951" width="9.125" style="3063" customWidth="1"/>
    <col min="4952" max="4976" width="9.5" style="3063" customWidth="1"/>
    <col min="4977" max="4977" width="15.5" style="3063" bestFit="1" customWidth="1"/>
    <col min="4978" max="4978" width="13.25" style="3063" bestFit="1" customWidth="1"/>
    <col min="4979" max="4979" width="13.5" style="3063" customWidth="1"/>
    <col min="4980" max="4980" width="12.5" style="3063" bestFit="1" customWidth="1"/>
    <col min="4981" max="4981" width="10.625" style="3063" bestFit="1" customWidth="1"/>
    <col min="4982" max="4982" width="11.375" style="3063" bestFit="1" customWidth="1"/>
    <col min="4983" max="4983" width="11.75" style="3063" bestFit="1" customWidth="1"/>
    <col min="4984" max="4984" width="11.375" style="3063" bestFit="1" customWidth="1"/>
    <col min="4985" max="4985" width="9.375" style="3063" bestFit="1" customWidth="1"/>
    <col min="4986" max="4986" width="11.375" style="3063" bestFit="1" customWidth="1"/>
    <col min="4987" max="4987" width="10.25" style="3063" bestFit="1" customWidth="1"/>
    <col min="4988" max="4988" width="9.375" style="3063" bestFit="1" customWidth="1"/>
    <col min="4989" max="4989" width="11.375" style="3063" bestFit="1" customWidth="1"/>
    <col min="4990" max="4990" width="10.25" style="3063" bestFit="1" customWidth="1"/>
    <col min="4991" max="4991" width="10.125" style="3063" bestFit="1" customWidth="1"/>
    <col min="4992" max="4992" width="10.375" style="3063" bestFit="1" customWidth="1"/>
    <col min="4993" max="4993" width="8.375" style="3063" bestFit="1" customWidth="1"/>
    <col min="4994" max="4994" width="9.125" style="3063" bestFit="1" customWidth="1"/>
    <col min="4995" max="4995" width="10" style="3063" customWidth="1"/>
    <col min="4996" max="4996" width="8.375" style="3063" bestFit="1" customWidth="1"/>
    <col min="4997" max="4997" width="7.875" style="3063"/>
    <col min="4998" max="4998" width="9.25" style="3063" customWidth="1"/>
    <col min="4999" max="4999" width="8.375" style="3063" bestFit="1" customWidth="1"/>
    <col min="5000" max="5000" width="7.875" style="3063"/>
    <col min="5001" max="5001" width="8.625" style="3063" customWidth="1"/>
    <col min="5002" max="5002" width="10.125" style="3063" bestFit="1" customWidth="1"/>
    <col min="5003" max="5003" width="7.875" style="3063"/>
    <col min="5004" max="5004" width="10.125" style="3063" bestFit="1" customWidth="1"/>
    <col min="5005" max="5005" width="8.25" style="3063" bestFit="1" customWidth="1"/>
    <col min="5006" max="5006" width="7.875" style="3063"/>
    <col min="5007" max="5007" width="10.125" style="3063" bestFit="1" customWidth="1"/>
    <col min="5008" max="5008" width="8.25" style="3063" bestFit="1" customWidth="1"/>
    <col min="5009" max="5009" width="7.875" style="3063"/>
    <col min="5010" max="5010" width="10.125" style="3063" bestFit="1" customWidth="1"/>
    <col min="5011" max="5011" width="8.25" style="3063" bestFit="1" customWidth="1"/>
    <col min="5012" max="5012" width="7.875" style="3063"/>
    <col min="5013" max="5013" width="10.125" style="3063" bestFit="1" customWidth="1"/>
    <col min="5014" max="5015" width="8.25" style="3063" bestFit="1" customWidth="1"/>
    <col min="5016" max="5016" width="10.125" style="3063" bestFit="1" customWidth="1"/>
    <col min="5017" max="5017" width="8.25" style="3063" bestFit="1" customWidth="1"/>
    <col min="5018" max="5018" width="7.875" style="3063"/>
    <col min="5019" max="5019" width="10.125" style="3063" bestFit="1" customWidth="1"/>
    <col min="5020" max="5020" width="9.125" style="3063" bestFit="1" customWidth="1"/>
    <col min="5021" max="5021" width="7.875" style="3063"/>
    <col min="5022" max="5022" width="10.125" style="3063" bestFit="1" customWidth="1"/>
    <col min="5023" max="5023" width="9.125" style="3063" bestFit="1" customWidth="1"/>
    <col min="5024" max="5024" width="7.875" style="3063"/>
    <col min="5025" max="5025" width="10.125" style="3063" bestFit="1" customWidth="1"/>
    <col min="5026" max="5026" width="9.125" style="3063" bestFit="1" customWidth="1"/>
    <col min="5027" max="5027" width="7.875" style="3063"/>
    <col min="5028" max="5028" width="10.125" style="3063" bestFit="1" customWidth="1"/>
    <col min="5029" max="5029" width="9.125" style="3063" bestFit="1" customWidth="1"/>
    <col min="5030" max="5030" width="7.875" style="3063"/>
    <col min="5031" max="5031" width="10.125" style="3063" bestFit="1" customWidth="1"/>
    <col min="5032" max="5032" width="9.125" style="3063" bestFit="1" customWidth="1"/>
    <col min="5033" max="5033" width="7.875" style="3063"/>
    <col min="5034" max="5034" width="10.125" style="3063" bestFit="1" customWidth="1"/>
    <col min="5035" max="5036" width="8.25" style="3063" bestFit="1" customWidth="1"/>
    <col min="5037" max="5037" width="9.125" style="3063" bestFit="1" customWidth="1"/>
    <col min="5038" max="5038" width="8.25" style="3063" bestFit="1" customWidth="1"/>
    <col min="5039" max="5039" width="7.875" style="3063"/>
    <col min="5040" max="5040" width="9.125" style="3063" bestFit="1" customWidth="1"/>
    <col min="5041" max="5041" width="8.25" style="3063" bestFit="1" customWidth="1"/>
    <col min="5042" max="5042" width="7.875" style="3063"/>
    <col min="5043" max="5043" width="9.125" style="3063" bestFit="1" customWidth="1"/>
    <col min="5044" max="5044" width="8.25" style="3063" bestFit="1" customWidth="1"/>
    <col min="5045" max="5045" width="7.875" style="3063"/>
    <col min="5046" max="5047" width="8.25" style="3063" bestFit="1" customWidth="1"/>
    <col min="5048" max="5048" width="7.875" style="3063"/>
    <col min="5049" max="5050" width="8.25" style="3063" bestFit="1" customWidth="1"/>
    <col min="5051" max="5051" width="7.875" style="3063"/>
    <col min="5052" max="5052" width="9.875" style="3063" bestFit="1" customWidth="1"/>
    <col min="5053" max="5053" width="11.125" style="3063" bestFit="1" customWidth="1"/>
    <col min="5054" max="5054" width="9.125" style="3063" bestFit="1" customWidth="1"/>
    <col min="5055" max="5055" width="9.875" style="3063" bestFit="1" customWidth="1"/>
    <col min="5056" max="5056" width="11.125" style="3063" bestFit="1" customWidth="1"/>
    <col min="5057" max="5057" width="7.875" style="3063"/>
    <col min="5058" max="5058" width="9" style="3063" customWidth="1"/>
    <col min="5059" max="5059" width="8.625" style="3063" customWidth="1"/>
    <col min="5060" max="5120" width="7.875" style="3063"/>
    <col min="5121" max="5121" width="3.875" style="3063" customWidth="1"/>
    <col min="5122" max="5122" width="10.375" style="3063" customWidth="1"/>
    <col min="5123" max="5123" width="10.75" style="3063" customWidth="1"/>
    <col min="5124" max="5124" width="11.625" style="3063" customWidth="1"/>
    <col min="5125" max="5125" width="10" style="3063" customWidth="1"/>
    <col min="5126" max="5126" width="9.375" style="3063" customWidth="1"/>
    <col min="5127" max="5127" width="10.5" style="3063" customWidth="1"/>
    <col min="5128" max="5128" width="12.5" style="3063" customWidth="1"/>
    <col min="5129" max="5129" width="11.75" style="3063" customWidth="1"/>
    <col min="5130" max="5130" width="10.5" style="3063" customWidth="1"/>
    <col min="5131" max="5131" width="12.125" style="3063" customWidth="1"/>
    <col min="5132" max="5132" width="9.75" style="3063" customWidth="1"/>
    <col min="5133" max="5133" width="10" style="3063" customWidth="1"/>
    <col min="5134" max="5134" width="12.25" style="3063" customWidth="1"/>
    <col min="5135" max="5135" width="9.75" style="3063" customWidth="1"/>
    <col min="5136" max="5136" width="8.625" style="3063" customWidth="1"/>
    <col min="5137" max="5137" width="11.25" style="3063" customWidth="1"/>
    <col min="5138" max="5138" width="11.125" style="3063" customWidth="1"/>
    <col min="5139" max="5139" width="10.625" style="3063" customWidth="1"/>
    <col min="5140" max="5140" width="11.125" style="3063" customWidth="1"/>
    <col min="5141" max="5141" width="10.125" style="3063" customWidth="1"/>
    <col min="5142" max="5142" width="12.125" style="3063" customWidth="1"/>
    <col min="5143" max="5143" width="7.75" style="3063" customWidth="1"/>
    <col min="5144" max="5144" width="8.125" style="3063" customWidth="1"/>
    <col min="5145" max="5147" width="10.875" style="3063" bestFit="1" customWidth="1"/>
    <col min="5148" max="5150" width="11.5" style="3063" customWidth="1"/>
    <col min="5151" max="5151" width="11.75" style="3063" customWidth="1"/>
    <col min="5152" max="5152" width="7.75" style="3063" bestFit="1" customWidth="1"/>
    <col min="5153" max="5153" width="11.5" style="3063" bestFit="1" customWidth="1"/>
    <col min="5154" max="5154" width="7.75" style="3063" bestFit="1" customWidth="1"/>
    <col min="5155" max="5155" width="8.75" style="3063" customWidth="1"/>
    <col min="5156" max="5156" width="9.875" style="3063" bestFit="1" customWidth="1"/>
    <col min="5157" max="5157" width="8" style="3063" customWidth="1"/>
    <col min="5158" max="5161" width="7.75" style="3063" bestFit="1" customWidth="1"/>
    <col min="5162" max="5163" width="12.25" style="3063" customWidth="1"/>
    <col min="5164" max="5164" width="10.25" style="3063" customWidth="1"/>
    <col min="5165" max="5165" width="9.25" style="3063" customWidth="1"/>
    <col min="5166" max="5166" width="11" style="3063" customWidth="1"/>
    <col min="5167" max="5167" width="8.375" style="3063" customWidth="1"/>
    <col min="5168" max="5168" width="9.5" style="3063" customWidth="1"/>
    <col min="5169" max="5169" width="13.25" style="3063" customWidth="1"/>
    <col min="5170" max="5170" width="13" style="3063" customWidth="1"/>
    <col min="5171" max="5173" width="10.875" style="3063" customWidth="1"/>
    <col min="5174" max="5174" width="10.5" style="3063" customWidth="1"/>
    <col min="5175" max="5175" width="6.375" style="3063" customWidth="1"/>
    <col min="5176" max="5176" width="6.25" style="3063" customWidth="1"/>
    <col min="5177" max="5177" width="9.875" style="3063" customWidth="1"/>
    <col min="5178" max="5178" width="10.75" style="3063" customWidth="1"/>
    <col min="5179" max="5179" width="9.5" style="3063" customWidth="1"/>
    <col min="5180" max="5183" width="11" style="3063" customWidth="1"/>
    <col min="5184" max="5184" width="10.625" style="3063" customWidth="1"/>
    <col min="5185" max="5185" width="11.875" style="3063" bestFit="1" customWidth="1"/>
    <col min="5186" max="5186" width="9.75" style="3063" bestFit="1" customWidth="1"/>
    <col min="5187" max="5187" width="11.875" style="3063" bestFit="1" customWidth="1"/>
    <col min="5188" max="5188" width="9.75" style="3063" bestFit="1" customWidth="1"/>
    <col min="5189" max="5189" width="11.875" style="3063" bestFit="1" customWidth="1"/>
    <col min="5190" max="5190" width="9.75" style="3063" bestFit="1" customWidth="1"/>
    <col min="5191" max="5191" width="11.375" style="3063" bestFit="1" customWidth="1"/>
    <col min="5192" max="5192" width="9.75" style="3063" bestFit="1" customWidth="1"/>
    <col min="5193" max="5193" width="11.375" style="3063" bestFit="1" customWidth="1"/>
    <col min="5194" max="5194" width="9.75" style="3063" bestFit="1" customWidth="1"/>
    <col min="5195" max="5195" width="11.375" style="3063" bestFit="1" customWidth="1"/>
    <col min="5196" max="5196" width="9.75" style="3063" bestFit="1" customWidth="1"/>
    <col min="5197" max="5197" width="11.375" style="3063" bestFit="1" customWidth="1"/>
    <col min="5198" max="5198" width="9.75" style="3063" bestFit="1" customWidth="1"/>
    <col min="5199" max="5199" width="11.375" style="3063" bestFit="1" customWidth="1"/>
    <col min="5200" max="5200" width="9.75" style="3063" bestFit="1" customWidth="1"/>
    <col min="5201" max="5201" width="10.25" style="3063" bestFit="1" customWidth="1"/>
    <col min="5202" max="5202" width="9.625" style="3063" customWidth="1"/>
    <col min="5203" max="5203" width="10.375" style="3063" customWidth="1"/>
    <col min="5204" max="5204" width="9.25" style="3063" customWidth="1"/>
    <col min="5205" max="5205" width="10" style="3063" customWidth="1"/>
    <col min="5206" max="5206" width="9.75" style="3063" customWidth="1"/>
    <col min="5207" max="5207" width="9.125" style="3063" customWidth="1"/>
    <col min="5208" max="5232" width="9.5" style="3063" customWidth="1"/>
    <col min="5233" max="5233" width="15.5" style="3063" bestFit="1" customWidth="1"/>
    <col min="5234" max="5234" width="13.25" style="3063" bestFit="1" customWidth="1"/>
    <col min="5235" max="5235" width="13.5" style="3063" customWidth="1"/>
    <col min="5236" max="5236" width="12.5" style="3063" bestFit="1" customWidth="1"/>
    <col min="5237" max="5237" width="10.625" style="3063" bestFit="1" customWidth="1"/>
    <col min="5238" max="5238" width="11.375" style="3063" bestFit="1" customWidth="1"/>
    <col min="5239" max="5239" width="11.75" style="3063" bestFit="1" customWidth="1"/>
    <col min="5240" max="5240" width="11.375" style="3063" bestFit="1" customWidth="1"/>
    <col min="5241" max="5241" width="9.375" style="3063" bestFit="1" customWidth="1"/>
    <col min="5242" max="5242" width="11.375" style="3063" bestFit="1" customWidth="1"/>
    <col min="5243" max="5243" width="10.25" style="3063" bestFit="1" customWidth="1"/>
    <col min="5244" max="5244" width="9.375" style="3063" bestFit="1" customWidth="1"/>
    <col min="5245" max="5245" width="11.375" style="3063" bestFit="1" customWidth="1"/>
    <col min="5246" max="5246" width="10.25" style="3063" bestFit="1" customWidth="1"/>
    <col min="5247" max="5247" width="10.125" style="3063" bestFit="1" customWidth="1"/>
    <col min="5248" max="5248" width="10.375" style="3063" bestFit="1" customWidth="1"/>
    <col min="5249" max="5249" width="8.375" style="3063" bestFit="1" customWidth="1"/>
    <col min="5250" max="5250" width="9.125" style="3063" bestFit="1" customWidth="1"/>
    <col min="5251" max="5251" width="10" style="3063" customWidth="1"/>
    <col min="5252" max="5252" width="8.375" style="3063" bestFit="1" customWidth="1"/>
    <col min="5253" max="5253" width="7.875" style="3063"/>
    <col min="5254" max="5254" width="9.25" style="3063" customWidth="1"/>
    <col min="5255" max="5255" width="8.375" style="3063" bestFit="1" customWidth="1"/>
    <col min="5256" max="5256" width="7.875" style="3063"/>
    <col min="5257" max="5257" width="8.625" style="3063" customWidth="1"/>
    <col min="5258" max="5258" width="10.125" style="3063" bestFit="1" customWidth="1"/>
    <col min="5259" max="5259" width="7.875" style="3063"/>
    <col min="5260" max="5260" width="10.125" style="3063" bestFit="1" customWidth="1"/>
    <col min="5261" max="5261" width="8.25" style="3063" bestFit="1" customWidth="1"/>
    <col min="5262" max="5262" width="7.875" style="3063"/>
    <col min="5263" max="5263" width="10.125" style="3063" bestFit="1" customWidth="1"/>
    <col min="5264" max="5264" width="8.25" style="3063" bestFit="1" customWidth="1"/>
    <col min="5265" max="5265" width="7.875" style="3063"/>
    <col min="5266" max="5266" width="10.125" style="3063" bestFit="1" customWidth="1"/>
    <col min="5267" max="5267" width="8.25" style="3063" bestFit="1" customWidth="1"/>
    <col min="5268" max="5268" width="7.875" style="3063"/>
    <col min="5269" max="5269" width="10.125" style="3063" bestFit="1" customWidth="1"/>
    <col min="5270" max="5271" width="8.25" style="3063" bestFit="1" customWidth="1"/>
    <col min="5272" max="5272" width="10.125" style="3063" bestFit="1" customWidth="1"/>
    <col min="5273" max="5273" width="8.25" style="3063" bestFit="1" customWidth="1"/>
    <col min="5274" max="5274" width="7.875" style="3063"/>
    <col min="5275" max="5275" width="10.125" style="3063" bestFit="1" customWidth="1"/>
    <col min="5276" max="5276" width="9.125" style="3063" bestFit="1" customWidth="1"/>
    <col min="5277" max="5277" width="7.875" style="3063"/>
    <col min="5278" max="5278" width="10.125" style="3063" bestFit="1" customWidth="1"/>
    <col min="5279" max="5279" width="9.125" style="3063" bestFit="1" customWidth="1"/>
    <col min="5280" max="5280" width="7.875" style="3063"/>
    <col min="5281" max="5281" width="10.125" style="3063" bestFit="1" customWidth="1"/>
    <col min="5282" max="5282" width="9.125" style="3063" bestFit="1" customWidth="1"/>
    <col min="5283" max="5283" width="7.875" style="3063"/>
    <col min="5284" max="5284" width="10.125" style="3063" bestFit="1" customWidth="1"/>
    <col min="5285" max="5285" width="9.125" style="3063" bestFit="1" customWidth="1"/>
    <col min="5286" max="5286" width="7.875" style="3063"/>
    <col min="5287" max="5287" width="10.125" style="3063" bestFit="1" customWidth="1"/>
    <col min="5288" max="5288" width="9.125" style="3063" bestFit="1" customWidth="1"/>
    <col min="5289" max="5289" width="7.875" style="3063"/>
    <col min="5290" max="5290" width="10.125" style="3063" bestFit="1" customWidth="1"/>
    <col min="5291" max="5292" width="8.25" style="3063" bestFit="1" customWidth="1"/>
    <col min="5293" max="5293" width="9.125" style="3063" bestFit="1" customWidth="1"/>
    <col min="5294" max="5294" width="8.25" style="3063" bestFit="1" customWidth="1"/>
    <col min="5295" max="5295" width="7.875" style="3063"/>
    <col min="5296" max="5296" width="9.125" style="3063" bestFit="1" customWidth="1"/>
    <col min="5297" max="5297" width="8.25" style="3063" bestFit="1" customWidth="1"/>
    <col min="5298" max="5298" width="7.875" style="3063"/>
    <col min="5299" max="5299" width="9.125" style="3063" bestFit="1" customWidth="1"/>
    <col min="5300" max="5300" width="8.25" style="3063" bestFit="1" customWidth="1"/>
    <col min="5301" max="5301" width="7.875" style="3063"/>
    <col min="5302" max="5303" width="8.25" style="3063" bestFit="1" customWidth="1"/>
    <col min="5304" max="5304" width="7.875" style="3063"/>
    <col min="5305" max="5306" width="8.25" style="3063" bestFit="1" customWidth="1"/>
    <col min="5307" max="5307" width="7.875" style="3063"/>
    <col min="5308" max="5308" width="9.875" style="3063" bestFit="1" customWidth="1"/>
    <col min="5309" max="5309" width="11.125" style="3063" bestFit="1" customWidth="1"/>
    <col min="5310" max="5310" width="9.125" style="3063" bestFit="1" customWidth="1"/>
    <col min="5311" max="5311" width="9.875" style="3063" bestFit="1" customWidth="1"/>
    <col min="5312" max="5312" width="11.125" style="3063" bestFit="1" customWidth="1"/>
    <col min="5313" max="5313" width="7.875" style="3063"/>
    <col min="5314" max="5314" width="9" style="3063" customWidth="1"/>
    <col min="5315" max="5315" width="8.625" style="3063" customWidth="1"/>
    <col min="5316" max="5376" width="7.875" style="3063"/>
    <col min="5377" max="5377" width="3.875" style="3063" customWidth="1"/>
    <col min="5378" max="5378" width="10.375" style="3063" customWidth="1"/>
    <col min="5379" max="5379" width="10.75" style="3063" customWidth="1"/>
    <col min="5380" max="5380" width="11.625" style="3063" customWidth="1"/>
    <col min="5381" max="5381" width="10" style="3063" customWidth="1"/>
    <col min="5382" max="5382" width="9.375" style="3063" customWidth="1"/>
    <col min="5383" max="5383" width="10.5" style="3063" customWidth="1"/>
    <col min="5384" max="5384" width="12.5" style="3063" customWidth="1"/>
    <col min="5385" max="5385" width="11.75" style="3063" customWidth="1"/>
    <col min="5386" max="5386" width="10.5" style="3063" customWidth="1"/>
    <col min="5387" max="5387" width="12.125" style="3063" customWidth="1"/>
    <col min="5388" max="5388" width="9.75" style="3063" customWidth="1"/>
    <col min="5389" max="5389" width="10" style="3063" customWidth="1"/>
    <col min="5390" max="5390" width="12.25" style="3063" customWidth="1"/>
    <col min="5391" max="5391" width="9.75" style="3063" customWidth="1"/>
    <col min="5392" max="5392" width="8.625" style="3063" customWidth="1"/>
    <col min="5393" max="5393" width="11.25" style="3063" customWidth="1"/>
    <col min="5394" max="5394" width="11.125" style="3063" customWidth="1"/>
    <col min="5395" max="5395" width="10.625" style="3063" customWidth="1"/>
    <col min="5396" max="5396" width="11.125" style="3063" customWidth="1"/>
    <col min="5397" max="5397" width="10.125" style="3063" customWidth="1"/>
    <col min="5398" max="5398" width="12.125" style="3063" customWidth="1"/>
    <col min="5399" max="5399" width="7.75" style="3063" customWidth="1"/>
    <col min="5400" max="5400" width="8.125" style="3063" customWidth="1"/>
    <col min="5401" max="5403" width="10.875" style="3063" bestFit="1" customWidth="1"/>
    <col min="5404" max="5406" width="11.5" style="3063" customWidth="1"/>
    <col min="5407" max="5407" width="11.75" style="3063" customWidth="1"/>
    <col min="5408" max="5408" width="7.75" style="3063" bestFit="1" customWidth="1"/>
    <col min="5409" max="5409" width="11.5" style="3063" bestFit="1" customWidth="1"/>
    <col min="5410" max="5410" width="7.75" style="3063" bestFit="1" customWidth="1"/>
    <col min="5411" max="5411" width="8.75" style="3063" customWidth="1"/>
    <col min="5412" max="5412" width="9.875" style="3063" bestFit="1" customWidth="1"/>
    <col min="5413" max="5413" width="8" style="3063" customWidth="1"/>
    <col min="5414" max="5417" width="7.75" style="3063" bestFit="1" customWidth="1"/>
    <col min="5418" max="5419" width="12.25" style="3063" customWidth="1"/>
    <col min="5420" max="5420" width="10.25" style="3063" customWidth="1"/>
    <col min="5421" max="5421" width="9.25" style="3063" customWidth="1"/>
    <col min="5422" max="5422" width="11" style="3063" customWidth="1"/>
    <col min="5423" max="5423" width="8.375" style="3063" customWidth="1"/>
    <col min="5424" max="5424" width="9.5" style="3063" customWidth="1"/>
    <col min="5425" max="5425" width="13.25" style="3063" customWidth="1"/>
    <col min="5426" max="5426" width="13" style="3063" customWidth="1"/>
    <col min="5427" max="5429" width="10.875" style="3063" customWidth="1"/>
    <col min="5430" max="5430" width="10.5" style="3063" customWidth="1"/>
    <col min="5431" max="5431" width="6.375" style="3063" customWidth="1"/>
    <col min="5432" max="5432" width="6.25" style="3063" customWidth="1"/>
    <col min="5433" max="5433" width="9.875" style="3063" customWidth="1"/>
    <col min="5434" max="5434" width="10.75" style="3063" customWidth="1"/>
    <col min="5435" max="5435" width="9.5" style="3063" customWidth="1"/>
    <col min="5436" max="5439" width="11" style="3063" customWidth="1"/>
    <col min="5440" max="5440" width="10.625" style="3063" customWidth="1"/>
    <col min="5441" max="5441" width="11.875" style="3063" bestFit="1" customWidth="1"/>
    <col min="5442" max="5442" width="9.75" style="3063" bestFit="1" customWidth="1"/>
    <col min="5443" max="5443" width="11.875" style="3063" bestFit="1" customWidth="1"/>
    <col min="5444" max="5444" width="9.75" style="3063" bestFit="1" customWidth="1"/>
    <col min="5445" max="5445" width="11.875" style="3063" bestFit="1" customWidth="1"/>
    <col min="5446" max="5446" width="9.75" style="3063" bestFit="1" customWidth="1"/>
    <col min="5447" max="5447" width="11.375" style="3063" bestFit="1" customWidth="1"/>
    <col min="5448" max="5448" width="9.75" style="3063" bestFit="1" customWidth="1"/>
    <col min="5449" max="5449" width="11.375" style="3063" bestFit="1" customWidth="1"/>
    <col min="5450" max="5450" width="9.75" style="3063" bestFit="1" customWidth="1"/>
    <col min="5451" max="5451" width="11.375" style="3063" bestFit="1" customWidth="1"/>
    <col min="5452" max="5452" width="9.75" style="3063" bestFit="1" customWidth="1"/>
    <col min="5453" max="5453" width="11.375" style="3063" bestFit="1" customWidth="1"/>
    <col min="5454" max="5454" width="9.75" style="3063" bestFit="1" customWidth="1"/>
    <col min="5455" max="5455" width="11.375" style="3063" bestFit="1" customWidth="1"/>
    <col min="5456" max="5456" width="9.75" style="3063" bestFit="1" customWidth="1"/>
    <col min="5457" max="5457" width="10.25" style="3063" bestFit="1" customWidth="1"/>
    <col min="5458" max="5458" width="9.625" style="3063" customWidth="1"/>
    <col min="5459" max="5459" width="10.375" style="3063" customWidth="1"/>
    <col min="5460" max="5460" width="9.25" style="3063" customWidth="1"/>
    <col min="5461" max="5461" width="10" style="3063" customWidth="1"/>
    <col min="5462" max="5462" width="9.75" style="3063" customWidth="1"/>
    <col min="5463" max="5463" width="9.125" style="3063" customWidth="1"/>
    <col min="5464" max="5488" width="9.5" style="3063" customWidth="1"/>
    <col min="5489" max="5489" width="15.5" style="3063" bestFit="1" customWidth="1"/>
    <col min="5490" max="5490" width="13.25" style="3063" bestFit="1" customWidth="1"/>
    <col min="5491" max="5491" width="13.5" style="3063" customWidth="1"/>
    <col min="5492" max="5492" width="12.5" style="3063" bestFit="1" customWidth="1"/>
    <col min="5493" max="5493" width="10.625" style="3063" bestFit="1" customWidth="1"/>
    <col min="5494" max="5494" width="11.375" style="3063" bestFit="1" customWidth="1"/>
    <col min="5495" max="5495" width="11.75" style="3063" bestFit="1" customWidth="1"/>
    <col min="5496" max="5496" width="11.375" style="3063" bestFit="1" customWidth="1"/>
    <col min="5497" max="5497" width="9.375" style="3063" bestFit="1" customWidth="1"/>
    <col min="5498" max="5498" width="11.375" style="3063" bestFit="1" customWidth="1"/>
    <col min="5499" max="5499" width="10.25" style="3063" bestFit="1" customWidth="1"/>
    <col min="5500" max="5500" width="9.375" style="3063" bestFit="1" customWidth="1"/>
    <col min="5501" max="5501" width="11.375" style="3063" bestFit="1" customWidth="1"/>
    <col min="5502" max="5502" width="10.25" style="3063" bestFit="1" customWidth="1"/>
    <col min="5503" max="5503" width="10.125" style="3063" bestFit="1" customWidth="1"/>
    <col min="5504" max="5504" width="10.375" style="3063" bestFit="1" customWidth="1"/>
    <col min="5505" max="5505" width="8.375" style="3063" bestFit="1" customWidth="1"/>
    <col min="5506" max="5506" width="9.125" style="3063" bestFit="1" customWidth="1"/>
    <col min="5507" max="5507" width="10" style="3063" customWidth="1"/>
    <col min="5508" max="5508" width="8.375" style="3063" bestFit="1" customWidth="1"/>
    <col min="5509" max="5509" width="7.875" style="3063"/>
    <col min="5510" max="5510" width="9.25" style="3063" customWidth="1"/>
    <col min="5511" max="5511" width="8.375" style="3063" bestFit="1" customWidth="1"/>
    <col min="5512" max="5512" width="7.875" style="3063"/>
    <col min="5513" max="5513" width="8.625" style="3063" customWidth="1"/>
    <col min="5514" max="5514" width="10.125" style="3063" bestFit="1" customWidth="1"/>
    <col min="5515" max="5515" width="7.875" style="3063"/>
    <col min="5516" max="5516" width="10.125" style="3063" bestFit="1" customWidth="1"/>
    <col min="5517" max="5517" width="8.25" style="3063" bestFit="1" customWidth="1"/>
    <col min="5518" max="5518" width="7.875" style="3063"/>
    <col min="5519" max="5519" width="10.125" style="3063" bestFit="1" customWidth="1"/>
    <col min="5520" max="5520" width="8.25" style="3063" bestFit="1" customWidth="1"/>
    <col min="5521" max="5521" width="7.875" style="3063"/>
    <col min="5522" max="5522" width="10.125" style="3063" bestFit="1" customWidth="1"/>
    <col min="5523" max="5523" width="8.25" style="3063" bestFit="1" customWidth="1"/>
    <col min="5524" max="5524" width="7.875" style="3063"/>
    <col min="5525" max="5525" width="10.125" style="3063" bestFit="1" customWidth="1"/>
    <col min="5526" max="5527" width="8.25" style="3063" bestFit="1" customWidth="1"/>
    <col min="5528" max="5528" width="10.125" style="3063" bestFit="1" customWidth="1"/>
    <col min="5529" max="5529" width="8.25" style="3063" bestFit="1" customWidth="1"/>
    <col min="5530" max="5530" width="7.875" style="3063"/>
    <col min="5531" max="5531" width="10.125" style="3063" bestFit="1" customWidth="1"/>
    <col min="5532" max="5532" width="9.125" style="3063" bestFit="1" customWidth="1"/>
    <col min="5533" max="5533" width="7.875" style="3063"/>
    <col min="5534" max="5534" width="10.125" style="3063" bestFit="1" customWidth="1"/>
    <col min="5535" max="5535" width="9.125" style="3063" bestFit="1" customWidth="1"/>
    <col min="5536" max="5536" width="7.875" style="3063"/>
    <col min="5537" max="5537" width="10.125" style="3063" bestFit="1" customWidth="1"/>
    <col min="5538" max="5538" width="9.125" style="3063" bestFit="1" customWidth="1"/>
    <col min="5539" max="5539" width="7.875" style="3063"/>
    <col min="5540" max="5540" width="10.125" style="3063" bestFit="1" customWidth="1"/>
    <col min="5541" max="5541" width="9.125" style="3063" bestFit="1" customWidth="1"/>
    <col min="5542" max="5542" width="7.875" style="3063"/>
    <col min="5543" max="5543" width="10.125" style="3063" bestFit="1" customWidth="1"/>
    <col min="5544" max="5544" width="9.125" style="3063" bestFit="1" customWidth="1"/>
    <col min="5545" max="5545" width="7.875" style="3063"/>
    <col min="5546" max="5546" width="10.125" style="3063" bestFit="1" customWidth="1"/>
    <col min="5547" max="5548" width="8.25" style="3063" bestFit="1" customWidth="1"/>
    <col min="5549" max="5549" width="9.125" style="3063" bestFit="1" customWidth="1"/>
    <col min="5550" max="5550" width="8.25" style="3063" bestFit="1" customWidth="1"/>
    <col min="5551" max="5551" width="7.875" style="3063"/>
    <col min="5552" max="5552" width="9.125" style="3063" bestFit="1" customWidth="1"/>
    <col min="5553" max="5553" width="8.25" style="3063" bestFit="1" customWidth="1"/>
    <col min="5554" max="5554" width="7.875" style="3063"/>
    <col min="5555" max="5555" width="9.125" style="3063" bestFit="1" customWidth="1"/>
    <col min="5556" max="5556" width="8.25" style="3063" bestFit="1" customWidth="1"/>
    <col min="5557" max="5557" width="7.875" style="3063"/>
    <col min="5558" max="5559" width="8.25" style="3063" bestFit="1" customWidth="1"/>
    <col min="5560" max="5560" width="7.875" style="3063"/>
    <col min="5561" max="5562" width="8.25" style="3063" bestFit="1" customWidth="1"/>
    <col min="5563" max="5563" width="7.875" style="3063"/>
    <col min="5564" max="5564" width="9.875" style="3063" bestFit="1" customWidth="1"/>
    <col min="5565" max="5565" width="11.125" style="3063" bestFit="1" customWidth="1"/>
    <col min="5566" max="5566" width="9.125" style="3063" bestFit="1" customWidth="1"/>
    <col min="5567" max="5567" width="9.875" style="3063" bestFit="1" customWidth="1"/>
    <col min="5568" max="5568" width="11.125" style="3063" bestFit="1" customWidth="1"/>
    <col min="5569" max="5569" width="7.875" style="3063"/>
    <col min="5570" max="5570" width="9" style="3063" customWidth="1"/>
    <col min="5571" max="5571" width="8.625" style="3063" customWidth="1"/>
    <col min="5572" max="5632" width="7.875" style="3063"/>
    <col min="5633" max="5633" width="3.875" style="3063" customWidth="1"/>
    <col min="5634" max="5634" width="10.375" style="3063" customWidth="1"/>
    <col min="5635" max="5635" width="10.75" style="3063" customWidth="1"/>
    <col min="5636" max="5636" width="11.625" style="3063" customWidth="1"/>
    <col min="5637" max="5637" width="10" style="3063" customWidth="1"/>
    <col min="5638" max="5638" width="9.375" style="3063" customWidth="1"/>
    <col min="5639" max="5639" width="10.5" style="3063" customWidth="1"/>
    <col min="5640" max="5640" width="12.5" style="3063" customWidth="1"/>
    <col min="5641" max="5641" width="11.75" style="3063" customWidth="1"/>
    <col min="5642" max="5642" width="10.5" style="3063" customWidth="1"/>
    <col min="5643" max="5643" width="12.125" style="3063" customWidth="1"/>
    <col min="5644" max="5644" width="9.75" style="3063" customWidth="1"/>
    <col min="5645" max="5645" width="10" style="3063" customWidth="1"/>
    <col min="5646" max="5646" width="12.25" style="3063" customWidth="1"/>
    <col min="5647" max="5647" width="9.75" style="3063" customWidth="1"/>
    <col min="5648" max="5648" width="8.625" style="3063" customWidth="1"/>
    <col min="5649" max="5649" width="11.25" style="3063" customWidth="1"/>
    <col min="5650" max="5650" width="11.125" style="3063" customWidth="1"/>
    <col min="5651" max="5651" width="10.625" style="3063" customWidth="1"/>
    <col min="5652" max="5652" width="11.125" style="3063" customWidth="1"/>
    <col min="5653" max="5653" width="10.125" style="3063" customWidth="1"/>
    <col min="5654" max="5654" width="12.125" style="3063" customWidth="1"/>
    <col min="5655" max="5655" width="7.75" style="3063" customWidth="1"/>
    <col min="5656" max="5656" width="8.125" style="3063" customWidth="1"/>
    <col min="5657" max="5659" width="10.875" style="3063" bestFit="1" customWidth="1"/>
    <col min="5660" max="5662" width="11.5" style="3063" customWidth="1"/>
    <col min="5663" max="5663" width="11.75" style="3063" customWidth="1"/>
    <col min="5664" max="5664" width="7.75" style="3063" bestFit="1" customWidth="1"/>
    <col min="5665" max="5665" width="11.5" style="3063" bestFit="1" customWidth="1"/>
    <col min="5666" max="5666" width="7.75" style="3063" bestFit="1" customWidth="1"/>
    <col min="5667" max="5667" width="8.75" style="3063" customWidth="1"/>
    <col min="5668" max="5668" width="9.875" style="3063" bestFit="1" customWidth="1"/>
    <col min="5669" max="5669" width="8" style="3063" customWidth="1"/>
    <col min="5670" max="5673" width="7.75" style="3063" bestFit="1" customWidth="1"/>
    <col min="5674" max="5675" width="12.25" style="3063" customWidth="1"/>
    <col min="5676" max="5676" width="10.25" style="3063" customWidth="1"/>
    <col min="5677" max="5677" width="9.25" style="3063" customWidth="1"/>
    <col min="5678" max="5678" width="11" style="3063" customWidth="1"/>
    <col min="5679" max="5679" width="8.375" style="3063" customWidth="1"/>
    <col min="5680" max="5680" width="9.5" style="3063" customWidth="1"/>
    <col min="5681" max="5681" width="13.25" style="3063" customWidth="1"/>
    <col min="5682" max="5682" width="13" style="3063" customWidth="1"/>
    <col min="5683" max="5685" width="10.875" style="3063" customWidth="1"/>
    <col min="5686" max="5686" width="10.5" style="3063" customWidth="1"/>
    <col min="5687" max="5687" width="6.375" style="3063" customWidth="1"/>
    <col min="5688" max="5688" width="6.25" style="3063" customWidth="1"/>
    <col min="5689" max="5689" width="9.875" style="3063" customWidth="1"/>
    <col min="5690" max="5690" width="10.75" style="3063" customWidth="1"/>
    <col min="5691" max="5691" width="9.5" style="3063" customWidth="1"/>
    <col min="5692" max="5695" width="11" style="3063" customWidth="1"/>
    <col min="5696" max="5696" width="10.625" style="3063" customWidth="1"/>
    <col min="5697" max="5697" width="11.875" style="3063" bestFit="1" customWidth="1"/>
    <col min="5698" max="5698" width="9.75" style="3063" bestFit="1" customWidth="1"/>
    <col min="5699" max="5699" width="11.875" style="3063" bestFit="1" customWidth="1"/>
    <col min="5700" max="5700" width="9.75" style="3063" bestFit="1" customWidth="1"/>
    <col min="5701" max="5701" width="11.875" style="3063" bestFit="1" customWidth="1"/>
    <col min="5702" max="5702" width="9.75" style="3063" bestFit="1" customWidth="1"/>
    <col min="5703" max="5703" width="11.375" style="3063" bestFit="1" customWidth="1"/>
    <col min="5704" max="5704" width="9.75" style="3063" bestFit="1" customWidth="1"/>
    <col min="5705" max="5705" width="11.375" style="3063" bestFit="1" customWidth="1"/>
    <col min="5706" max="5706" width="9.75" style="3063" bestFit="1" customWidth="1"/>
    <col min="5707" max="5707" width="11.375" style="3063" bestFit="1" customWidth="1"/>
    <col min="5708" max="5708" width="9.75" style="3063" bestFit="1" customWidth="1"/>
    <col min="5709" max="5709" width="11.375" style="3063" bestFit="1" customWidth="1"/>
    <col min="5710" max="5710" width="9.75" style="3063" bestFit="1" customWidth="1"/>
    <col min="5711" max="5711" width="11.375" style="3063" bestFit="1" customWidth="1"/>
    <col min="5712" max="5712" width="9.75" style="3063" bestFit="1" customWidth="1"/>
    <col min="5713" max="5713" width="10.25" style="3063" bestFit="1" customWidth="1"/>
    <col min="5714" max="5714" width="9.625" style="3063" customWidth="1"/>
    <col min="5715" max="5715" width="10.375" style="3063" customWidth="1"/>
    <col min="5716" max="5716" width="9.25" style="3063" customWidth="1"/>
    <col min="5717" max="5717" width="10" style="3063" customWidth="1"/>
    <col min="5718" max="5718" width="9.75" style="3063" customWidth="1"/>
    <col min="5719" max="5719" width="9.125" style="3063" customWidth="1"/>
    <col min="5720" max="5744" width="9.5" style="3063" customWidth="1"/>
    <col min="5745" max="5745" width="15.5" style="3063" bestFit="1" customWidth="1"/>
    <col min="5746" max="5746" width="13.25" style="3063" bestFit="1" customWidth="1"/>
    <col min="5747" max="5747" width="13.5" style="3063" customWidth="1"/>
    <col min="5748" max="5748" width="12.5" style="3063" bestFit="1" customWidth="1"/>
    <col min="5749" max="5749" width="10.625" style="3063" bestFit="1" customWidth="1"/>
    <col min="5750" max="5750" width="11.375" style="3063" bestFit="1" customWidth="1"/>
    <col min="5751" max="5751" width="11.75" style="3063" bestFit="1" customWidth="1"/>
    <col min="5752" max="5752" width="11.375" style="3063" bestFit="1" customWidth="1"/>
    <col min="5753" max="5753" width="9.375" style="3063" bestFit="1" customWidth="1"/>
    <col min="5754" max="5754" width="11.375" style="3063" bestFit="1" customWidth="1"/>
    <col min="5755" max="5755" width="10.25" style="3063" bestFit="1" customWidth="1"/>
    <col min="5756" max="5756" width="9.375" style="3063" bestFit="1" customWidth="1"/>
    <col min="5757" max="5757" width="11.375" style="3063" bestFit="1" customWidth="1"/>
    <col min="5758" max="5758" width="10.25" style="3063" bestFit="1" customWidth="1"/>
    <col min="5759" max="5759" width="10.125" style="3063" bestFit="1" customWidth="1"/>
    <col min="5760" max="5760" width="10.375" style="3063" bestFit="1" customWidth="1"/>
    <col min="5761" max="5761" width="8.375" style="3063" bestFit="1" customWidth="1"/>
    <col min="5762" max="5762" width="9.125" style="3063" bestFit="1" customWidth="1"/>
    <col min="5763" max="5763" width="10" style="3063" customWidth="1"/>
    <col min="5764" max="5764" width="8.375" style="3063" bestFit="1" customWidth="1"/>
    <col min="5765" max="5765" width="7.875" style="3063"/>
    <col min="5766" max="5766" width="9.25" style="3063" customWidth="1"/>
    <col min="5767" max="5767" width="8.375" style="3063" bestFit="1" customWidth="1"/>
    <col min="5768" max="5768" width="7.875" style="3063"/>
    <col min="5769" max="5769" width="8.625" style="3063" customWidth="1"/>
    <col min="5770" max="5770" width="10.125" style="3063" bestFit="1" customWidth="1"/>
    <col min="5771" max="5771" width="7.875" style="3063"/>
    <col min="5772" max="5772" width="10.125" style="3063" bestFit="1" customWidth="1"/>
    <col min="5773" max="5773" width="8.25" style="3063" bestFit="1" customWidth="1"/>
    <col min="5774" max="5774" width="7.875" style="3063"/>
    <col min="5775" max="5775" width="10.125" style="3063" bestFit="1" customWidth="1"/>
    <col min="5776" max="5776" width="8.25" style="3063" bestFit="1" customWidth="1"/>
    <col min="5777" max="5777" width="7.875" style="3063"/>
    <col min="5778" max="5778" width="10.125" style="3063" bestFit="1" customWidth="1"/>
    <col min="5779" max="5779" width="8.25" style="3063" bestFit="1" customWidth="1"/>
    <col min="5780" max="5780" width="7.875" style="3063"/>
    <col min="5781" max="5781" width="10.125" style="3063" bestFit="1" customWidth="1"/>
    <col min="5782" max="5783" width="8.25" style="3063" bestFit="1" customWidth="1"/>
    <col min="5784" max="5784" width="10.125" style="3063" bestFit="1" customWidth="1"/>
    <col min="5785" max="5785" width="8.25" style="3063" bestFit="1" customWidth="1"/>
    <col min="5786" max="5786" width="7.875" style="3063"/>
    <col min="5787" max="5787" width="10.125" style="3063" bestFit="1" customWidth="1"/>
    <col min="5788" max="5788" width="9.125" style="3063" bestFit="1" customWidth="1"/>
    <col min="5789" max="5789" width="7.875" style="3063"/>
    <col min="5790" max="5790" width="10.125" style="3063" bestFit="1" customWidth="1"/>
    <col min="5791" max="5791" width="9.125" style="3063" bestFit="1" customWidth="1"/>
    <col min="5792" max="5792" width="7.875" style="3063"/>
    <col min="5793" max="5793" width="10.125" style="3063" bestFit="1" customWidth="1"/>
    <col min="5794" max="5794" width="9.125" style="3063" bestFit="1" customWidth="1"/>
    <col min="5795" max="5795" width="7.875" style="3063"/>
    <col min="5796" max="5796" width="10.125" style="3063" bestFit="1" customWidth="1"/>
    <col min="5797" max="5797" width="9.125" style="3063" bestFit="1" customWidth="1"/>
    <col min="5798" max="5798" width="7.875" style="3063"/>
    <col min="5799" max="5799" width="10.125" style="3063" bestFit="1" customWidth="1"/>
    <col min="5800" max="5800" width="9.125" style="3063" bestFit="1" customWidth="1"/>
    <col min="5801" max="5801" width="7.875" style="3063"/>
    <col min="5802" max="5802" width="10.125" style="3063" bestFit="1" customWidth="1"/>
    <col min="5803" max="5804" width="8.25" style="3063" bestFit="1" customWidth="1"/>
    <col min="5805" max="5805" width="9.125" style="3063" bestFit="1" customWidth="1"/>
    <col min="5806" max="5806" width="8.25" style="3063" bestFit="1" customWidth="1"/>
    <col min="5807" max="5807" width="7.875" style="3063"/>
    <col min="5808" max="5808" width="9.125" style="3063" bestFit="1" customWidth="1"/>
    <col min="5809" max="5809" width="8.25" style="3063" bestFit="1" customWidth="1"/>
    <col min="5810" max="5810" width="7.875" style="3063"/>
    <col min="5811" max="5811" width="9.125" style="3063" bestFit="1" customWidth="1"/>
    <col min="5812" max="5812" width="8.25" style="3063" bestFit="1" customWidth="1"/>
    <col min="5813" max="5813" width="7.875" style="3063"/>
    <col min="5814" max="5815" width="8.25" style="3063" bestFit="1" customWidth="1"/>
    <col min="5816" max="5816" width="7.875" style="3063"/>
    <col min="5817" max="5818" width="8.25" style="3063" bestFit="1" customWidth="1"/>
    <col min="5819" max="5819" width="7.875" style="3063"/>
    <col min="5820" max="5820" width="9.875" style="3063" bestFit="1" customWidth="1"/>
    <col min="5821" max="5821" width="11.125" style="3063" bestFit="1" customWidth="1"/>
    <col min="5822" max="5822" width="9.125" style="3063" bestFit="1" customWidth="1"/>
    <col min="5823" max="5823" width="9.875" style="3063" bestFit="1" customWidth="1"/>
    <col min="5824" max="5824" width="11.125" style="3063" bestFit="1" customWidth="1"/>
    <col min="5825" max="5825" width="7.875" style="3063"/>
    <col min="5826" max="5826" width="9" style="3063" customWidth="1"/>
    <col min="5827" max="5827" width="8.625" style="3063" customWidth="1"/>
    <col min="5828" max="5888" width="7.875" style="3063"/>
    <col min="5889" max="5889" width="3.875" style="3063" customWidth="1"/>
    <col min="5890" max="5890" width="10.375" style="3063" customWidth="1"/>
    <col min="5891" max="5891" width="10.75" style="3063" customWidth="1"/>
    <col min="5892" max="5892" width="11.625" style="3063" customWidth="1"/>
    <col min="5893" max="5893" width="10" style="3063" customWidth="1"/>
    <col min="5894" max="5894" width="9.375" style="3063" customWidth="1"/>
    <col min="5895" max="5895" width="10.5" style="3063" customWidth="1"/>
    <col min="5896" max="5896" width="12.5" style="3063" customWidth="1"/>
    <col min="5897" max="5897" width="11.75" style="3063" customWidth="1"/>
    <col min="5898" max="5898" width="10.5" style="3063" customWidth="1"/>
    <col min="5899" max="5899" width="12.125" style="3063" customWidth="1"/>
    <col min="5900" max="5900" width="9.75" style="3063" customWidth="1"/>
    <col min="5901" max="5901" width="10" style="3063" customWidth="1"/>
    <col min="5902" max="5902" width="12.25" style="3063" customWidth="1"/>
    <col min="5903" max="5903" width="9.75" style="3063" customWidth="1"/>
    <col min="5904" max="5904" width="8.625" style="3063" customWidth="1"/>
    <col min="5905" max="5905" width="11.25" style="3063" customWidth="1"/>
    <col min="5906" max="5906" width="11.125" style="3063" customWidth="1"/>
    <col min="5907" max="5907" width="10.625" style="3063" customWidth="1"/>
    <col min="5908" max="5908" width="11.125" style="3063" customWidth="1"/>
    <col min="5909" max="5909" width="10.125" style="3063" customWidth="1"/>
    <col min="5910" max="5910" width="12.125" style="3063" customWidth="1"/>
    <col min="5911" max="5911" width="7.75" style="3063" customWidth="1"/>
    <col min="5912" max="5912" width="8.125" style="3063" customWidth="1"/>
    <col min="5913" max="5915" width="10.875" style="3063" bestFit="1" customWidth="1"/>
    <col min="5916" max="5918" width="11.5" style="3063" customWidth="1"/>
    <col min="5919" max="5919" width="11.75" style="3063" customWidth="1"/>
    <col min="5920" max="5920" width="7.75" style="3063" bestFit="1" customWidth="1"/>
    <col min="5921" max="5921" width="11.5" style="3063" bestFit="1" customWidth="1"/>
    <col min="5922" max="5922" width="7.75" style="3063" bestFit="1" customWidth="1"/>
    <col min="5923" max="5923" width="8.75" style="3063" customWidth="1"/>
    <col min="5924" max="5924" width="9.875" style="3063" bestFit="1" customWidth="1"/>
    <col min="5925" max="5925" width="8" style="3063" customWidth="1"/>
    <col min="5926" max="5929" width="7.75" style="3063" bestFit="1" customWidth="1"/>
    <col min="5930" max="5931" width="12.25" style="3063" customWidth="1"/>
    <col min="5932" max="5932" width="10.25" style="3063" customWidth="1"/>
    <col min="5933" max="5933" width="9.25" style="3063" customWidth="1"/>
    <col min="5934" max="5934" width="11" style="3063" customWidth="1"/>
    <col min="5935" max="5935" width="8.375" style="3063" customWidth="1"/>
    <col min="5936" max="5936" width="9.5" style="3063" customWidth="1"/>
    <col min="5937" max="5937" width="13.25" style="3063" customWidth="1"/>
    <col min="5938" max="5938" width="13" style="3063" customWidth="1"/>
    <col min="5939" max="5941" width="10.875" style="3063" customWidth="1"/>
    <col min="5942" max="5942" width="10.5" style="3063" customWidth="1"/>
    <col min="5943" max="5943" width="6.375" style="3063" customWidth="1"/>
    <col min="5944" max="5944" width="6.25" style="3063" customWidth="1"/>
    <col min="5945" max="5945" width="9.875" style="3063" customWidth="1"/>
    <col min="5946" max="5946" width="10.75" style="3063" customWidth="1"/>
    <col min="5947" max="5947" width="9.5" style="3063" customWidth="1"/>
    <col min="5948" max="5951" width="11" style="3063" customWidth="1"/>
    <col min="5952" max="5952" width="10.625" style="3063" customWidth="1"/>
    <col min="5953" max="5953" width="11.875" style="3063" bestFit="1" customWidth="1"/>
    <col min="5954" max="5954" width="9.75" style="3063" bestFit="1" customWidth="1"/>
    <col min="5955" max="5955" width="11.875" style="3063" bestFit="1" customWidth="1"/>
    <col min="5956" max="5956" width="9.75" style="3063" bestFit="1" customWidth="1"/>
    <col min="5957" max="5957" width="11.875" style="3063" bestFit="1" customWidth="1"/>
    <col min="5958" max="5958" width="9.75" style="3063" bestFit="1" customWidth="1"/>
    <col min="5959" max="5959" width="11.375" style="3063" bestFit="1" customWidth="1"/>
    <col min="5960" max="5960" width="9.75" style="3063" bestFit="1" customWidth="1"/>
    <col min="5961" max="5961" width="11.375" style="3063" bestFit="1" customWidth="1"/>
    <col min="5962" max="5962" width="9.75" style="3063" bestFit="1" customWidth="1"/>
    <col min="5963" max="5963" width="11.375" style="3063" bestFit="1" customWidth="1"/>
    <col min="5964" max="5964" width="9.75" style="3063" bestFit="1" customWidth="1"/>
    <col min="5965" max="5965" width="11.375" style="3063" bestFit="1" customWidth="1"/>
    <col min="5966" max="5966" width="9.75" style="3063" bestFit="1" customWidth="1"/>
    <col min="5967" max="5967" width="11.375" style="3063" bestFit="1" customWidth="1"/>
    <col min="5968" max="5968" width="9.75" style="3063" bestFit="1" customWidth="1"/>
    <col min="5969" max="5969" width="10.25" style="3063" bestFit="1" customWidth="1"/>
    <col min="5970" max="5970" width="9.625" style="3063" customWidth="1"/>
    <col min="5971" max="5971" width="10.375" style="3063" customWidth="1"/>
    <col min="5972" max="5972" width="9.25" style="3063" customWidth="1"/>
    <col min="5973" max="5973" width="10" style="3063" customWidth="1"/>
    <col min="5974" max="5974" width="9.75" style="3063" customWidth="1"/>
    <col min="5975" max="5975" width="9.125" style="3063" customWidth="1"/>
    <col min="5976" max="6000" width="9.5" style="3063" customWidth="1"/>
    <col min="6001" max="6001" width="15.5" style="3063" bestFit="1" customWidth="1"/>
    <col min="6002" max="6002" width="13.25" style="3063" bestFit="1" customWidth="1"/>
    <col min="6003" max="6003" width="13.5" style="3063" customWidth="1"/>
    <col min="6004" max="6004" width="12.5" style="3063" bestFit="1" customWidth="1"/>
    <col min="6005" max="6005" width="10.625" style="3063" bestFit="1" customWidth="1"/>
    <col min="6006" max="6006" width="11.375" style="3063" bestFit="1" customWidth="1"/>
    <col min="6007" max="6007" width="11.75" style="3063" bestFit="1" customWidth="1"/>
    <col min="6008" max="6008" width="11.375" style="3063" bestFit="1" customWidth="1"/>
    <col min="6009" max="6009" width="9.375" style="3063" bestFit="1" customWidth="1"/>
    <col min="6010" max="6010" width="11.375" style="3063" bestFit="1" customWidth="1"/>
    <col min="6011" max="6011" width="10.25" style="3063" bestFit="1" customWidth="1"/>
    <col min="6012" max="6012" width="9.375" style="3063" bestFit="1" customWidth="1"/>
    <col min="6013" max="6013" width="11.375" style="3063" bestFit="1" customWidth="1"/>
    <col min="6014" max="6014" width="10.25" style="3063" bestFit="1" customWidth="1"/>
    <col min="6015" max="6015" width="10.125" style="3063" bestFit="1" customWidth="1"/>
    <col min="6016" max="6016" width="10.375" style="3063" bestFit="1" customWidth="1"/>
    <col min="6017" max="6017" width="8.375" style="3063" bestFit="1" customWidth="1"/>
    <col min="6018" max="6018" width="9.125" style="3063" bestFit="1" customWidth="1"/>
    <col min="6019" max="6019" width="10" style="3063" customWidth="1"/>
    <col min="6020" max="6020" width="8.375" style="3063" bestFit="1" customWidth="1"/>
    <col min="6021" max="6021" width="7.875" style="3063"/>
    <col min="6022" max="6022" width="9.25" style="3063" customWidth="1"/>
    <col min="6023" max="6023" width="8.375" style="3063" bestFit="1" customWidth="1"/>
    <col min="6024" max="6024" width="7.875" style="3063"/>
    <col min="6025" max="6025" width="8.625" style="3063" customWidth="1"/>
    <col min="6026" max="6026" width="10.125" style="3063" bestFit="1" customWidth="1"/>
    <col min="6027" max="6027" width="7.875" style="3063"/>
    <col min="6028" max="6028" width="10.125" style="3063" bestFit="1" customWidth="1"/>
    <col min="6029" max="6029" width="8.25" style="3063" bestFit="1" customWidth="1"/>
    <col min="6030" max="6030" width="7.875" style="3063"/>
    <col min="6031" max="6031" width="10.125" style="3063" bestFit="1" customWidth="1"/>
    <col min="6032" max="6032" width="8.25" style="3063" bestFit="1" customWidth="1"/>
    <col min="6033" max="6033" width="7.875" style="3063"/>
    <col min="6034" max="6034" width="10.125" style="3063" bestFit="1" customWidth="1"/>
    <col min="6035" max="6035" width="8.25" style="3063" bestFit="1" customWidth="1"/>
    <col min="6036" max="6036" width="7.875" style="3063"/>
    <col min="6037" max="6037" width="10.125" style="3063" bestFit="1" customWidth="1"/>
    <col min="6038" max="6039" width="8.25" style="3063" bestFit="1" customWidth="1"/>
    <col min="6040" max="6040" width="10.125" style="3063" bestFit="1" customWidth="1"/>
    <col min="6041" max="6041" width="8.25" style="3063" bestFit="1" customWidth="1"/>
    <col min="6042" max="6042" width="7.875" style="3063"/>
    <col min="6043" max="6043" width="10.125" style="3063" bestFit="1" customWidth="1"/>
    <col min="6044" max="6044" width="9.125" style="3063" bestFit="1" customWidth="1"/>
    <col min="6045" max="6045" width="7.875" style="3063"/>
    <col min="6046" max="6046" width="10.125" style="3063" bestFit="1" customWidth="1"/>
    <col min="6047" max="6047" width="9.125" style="3063" bestFit="1" customWidth="1"/>
    <col min="6048" max="6048" width="7.875" style="3063"/>
    <col min="6049" max="6049" width="10.125" style="3063" bestFit="1" customWidth="1"/>
    <col min="6050" max="6050" width="9.125" style="3063" bestFit="1" customWidth="1"/>
    <col min="6051" max="6051" width="7.875" style="3063"/>
    <col min="6052" max="6052" width="10.125" style="3063" bestFit="1" customWidth="1"/>
    <col min="6053" max="6053" width="9.125" style="3063" bestFit="1" customWidth="1"/>
    <col min="6054" max="6054" width="7.875" style="3063"/>
    <col min="6055" max="6055" width="10.125" style="3063" bestFit="1" customWidth="1"/>
    <col min="6056" max="6056" width="9.125" style="3063" bestFit="1" customWidth="1"/>
    <col min="6057" max="6057" width="7.875" style="3063"/>
    <col min="6058" max="6058" width="10.125" style="3063" bestFit="1" customWidth="1"/>
    <col min="6059" max="6060" width="8.25" style="3063" bestFit="1" customWidth="1"/>
    <col min="6061" max="6061" width="9.125" style="3063" bestFit="1" customWidth="1"/>
    <col min="6062" max="6062" width="8.25" style="3063" bestFit="1" customWidth="1"/>
    <col min="6063" max="6063" width="7.875" style="3063"/>
    <col min="6064" max="6064" width="9.125" style="3063" bestFit="1" customWidth="1"/>
    <col min="6065" max="6065" width="8.25" style="3063" bestFit="1" customWidth="1"/>
    <col min="6066" max="6066" width="7.875" style="3063"/>
    <col min="6067" max="6067" width="9.125" style="3063" bestFit="1" customWidth="1"/>
    <col min="6068" max="6068" width="8.25" style="3063" bestFit="1" customWidth="1"/>
    <col min="6069" max="6069" width="7.875" style="3063"/>
    <col min="6070" max="6071" width="8.25" style="3063" bestFit="1" customWidth="1"/>
    <col min="6072" max="6072" width="7.875" style="3063"/>
    <col min="6073" max="6074" width="8.25" style="3063" bestFit="1" customWidth="1"/>
    <col min="6075" max="6075" width="7.875" style="3063"/>
    <col min="6076" max="6076" width="9.875" style="3063" bestFit="1" customWidth="1"/>
    <col min="6077" max="6077" width="11.125" style="3063" bestFit="1" customWidth="1"/>
    <col min="6078" max="6078" width="9.125" style="3063" bestFit="1" customWidth="1"/>
    <col min="6079" max="6079" width="9.875" style="3063" bestFit="1" customWidth="1"/>
    <col min="6080" max="6080" width="11.125" style="3063" bestFit="1" customWidth="1"/>
    <col min="6081" max="6081" width="7.875" style="3063"/>
    <col min="6082" max="6082" width="9" style="3063" customWidth="1"/>
    <col min="6083" max="6083" width="8.625" style="3063" customWidth="1"/>
    <col min="6084" max="6144" width="7.875" style="3063"/>
    <col min="6145" max="6145" width="3.875" style="3063" customWidth="1"/>
    <col min="6146" max="6146" width="10.375" style="3063" customWidth="1"/>
    <col min="6147" max="6147" width="10.75" style="3063" customWidth="1"/>
    <col min="6148" max="6148" width="11.625" style="3063" customWidth="1"/>
    <col min="6149" max="6149" width="10" style="3063" customWidth="1"/>
    <col min="6150" max="6150" width="9.375" style="3063" customWidth="1"/>
    <col min="6151" max="6151" width="10.5" style="3063" customWidth="1"/>
    <col min="6152" max="6152" width="12.5" style="3063" customWidth="1"/>
    <col min="6153" max="6153" width="11.75" style="3063" customWidth="1"/>
    <col min="6154" max="6154" width="10.5" style="3063" customWidth="1"/>
    <col min="6155" max="6155" width="12.125" style="3063" customWidth="1"/>
    <col min="6156" max="6156" width="9.75" style="3063" customWidth="1"/>
    <col min="6157" max="6157" width="10" style="3063" customWidth="1"/>
    <col min="6158" max="6158" width="12.25" style="3063" customWidth="1"/>
    <col min="6159" max="6159" width="9.75" style="3063" customWidth="1"/>
    <col min="6160" max="6160" width="8.625" style="3063" customWidth="1"/>
    <col min="6161" max="6161" width="11.25" style="3063" customWidth="1"/>
    <col min="6162" max="6162" width="11.125" style="3063" customWidth="1"/>
    <col min="6163" max="6163" width="10.625" style="3063" customWidth="1"/>
    <col min="6164" max="6164" width="11.125" style="3063" customWidth="1"/>
    <col min="6165" max="6165" width="10.125" style="3063" customWidth="1"/>
    <col min="6166" max="6166" width="12.125" style="3063" customWidth="1"/>
    <col min="6167" max="6167" width="7.75" style="3063" customWidth="1"/>
    <col min="6168" max="6168" width="8.125" style="3063" customWidth="1"/>
    <col min="6169" max="6171" width="10.875" style="3063" bestFit="1" customWidth="1"/>
    <col min="6172" max="6174" width="11.5" style="3063" customWidth="1"/>
    <col min="6175" max="6175" width="11.75" style="3063" customWidth="1"/>
    <col min="6176" max="6176" width="7.75" style="3063" bestFit="1" customWidth="1"/>
    <col min="6177" max="6177" width="11.5" style="3063" bestFit="1" customWidth="1"/>
    <col min="6178" max="6178" width="7.75" style="3063" bestFit="1" customWidth="1"/>
    <col min="6179" max="6179" width="8.75" style="3063" customWidth="1"/>
    <col min="6180" max="6180" width="9.875" style="3063" bestFit="1" customWidth="1"/>
    <col min="6181" max="6181" width="8" style="3063" customWidth="1"/>
    <col min="6182" max="6185" width="7.75" style="3063" bestFit="1" customWidth="1"/>
    <col min="6186" max="6187" width="12.25" style="3063" customWidth="1"/>
    <col min="6188" max="6188" width="10.25" style="3063" customWidth="1"/>
    <col min="6189" max="6189" width="9.25" style="3063" customWidth="1"/>
    <col min="6190" max="6190" width="11" style="3063" customWidth="1"/>
    <col min="6191" max="6191" width="8.375" style="3063" customWidth="1"/>
    <col min="6192" max="6192" width="9.5" style="3063" customWidth="1"/>
    <col min="6193" max="6193" width="13.25" style="3063" customWidth="1"/>
    <col min="6194" max="6194" width="13" style="3063" customWidth="1"/>
    <col min="6195" max="6197" width="10.875" style="3063" customWidth="1"/>
    <col min="6198" max="6198" width="10.5" style="3063" customWidth="1"/>
    <col min="6199" max="6199" width="6.375" style="3063" customWidth="1"/>
    <col min="6200" max="6200" width="6.25" style="3063" customWidth="1"/>
    <col min="6201" max="6201" width="9.875" style="3063" customWidth="1"/>
    <col min="6202" max="6202" width="10.75" style="3063" customWidth="1"/>
    <col min="6203" max="6203" width="9.5" style="3063" customWidth="1"/>
    <col min="6204" max="6207" width="11" style="3063" customWidth="1"/>
    <col min="6208" max="6208" width="10.625" style="3063" customWidth="1"/>
    <col min="6209" max="6209" width="11.875" style="3063" bestFit="1" customWidth="1"/>
    <col min="6210" max="6210" width="9.75" style="3063" bestFit="1" customWidth="1"/>
    <col min="6211" max="6211" width="11.875" style="3063" bestFit="1" customWidth="1"/>
    <col min="6212" max="6212" width="9.75" style="3063" bestFit="1" customWidth="1"/>
    <col min="6213" max="6213" width="11.875" style="3063" bestFit="1" customWidth="1"/>
    <col min="6214" max="6214" width="9.75" style="3063" bestFit="1" customWidth="1"/>
    <col min="6215" max="6215" width="11.375" style="3063" bestFit="1" customWidth="1"/>
    <col min="6216" max="6216" width="9.75" style="3063" bestFit="1" customWidth="1"/>
    <col min="6217" max="6217" width="11.375" style="3063" bestFit="1" customWidth="1"/>
    <col min="6218" max="6218" width="9.75" style="3063" bestFit="1" customWidth="1"/>
    <col min="6219" max="6219" width="11.375" style="3063" bestFit="1" customWidth="1"/>
    <col min="6220" max="6220" width="9.75" style="3063" bestFit="1" customWidth="1"/>
    <col min="6221" max="6221" width="11.375" style="3063" bestFit="1" customWidth="1"/>
    <col min="6222" max="6222" width="9.75" style="3063" bestFit="1" customWidth="1"/>
    <col min="6223" max="6223" width="11.375" style="3063" bestFit="1" customWidth="1"/>
    <col min="6224" max="6224" width="9.75" style="3063" bestFit="1" customWidth="1"/>
    <col min="6225" max="6225" width="10.25" style="3063" bestFit="1" customWidth="1"/>
    <col min="6226" max="6226" width="9.625" style="3063" customWidth="1"/>
    <col min="6227" max="6227" width="10.375" style="3063" customWidth="1"/>
    <col min="6228" max="6228" width="9.25" style="3063" customWidth="1"/>
    <col min="6229" max="6229" width="10" style="3063" customWidth="1"/>
    <col min="6230" max="6230" width="9.75" style="3063" customWidth="1"/>
    <col min="6231" max="6231" width="9.125" style="3063" customWidth="1"/>
    <col min="6232" max="6256" width="9.5" style="3063" customWidth="1"/>
    <col min="6257" max="6257" width="15.5" style="3063" bestFit="1" customWidth="1"/>
    <col min="6258" max="6258" width="13.25" style="3063" bestFit="1" customWidth="1"/>
    <col min="6259" max="6259" width="13.5" style="3063" customWidth="1"/>
    <col min="6260" max="6260" width="12.5" style="3063" bestFit="1" customWidth="1"/>
    <col min="6261" max="6261" width="10.625" style="3063" bestFit="1" customWidth="1"/>
    <col min="6262" max="6262" width="11.375" style="3063" bestFit="1" customWidth="1"/>
    <col min="6263" max="6263" width="11.75" style="3063" bestFit="1" customWidth="1"/>
    <col min="6264" max="6264" width="11.375" style="3063" bestFit="1" customWidth="1"/>
    <col min="6265" max="6265" width="9.375" style="3063" bestFit="1" customWidth="1"/>
    <col min="6266" max="6266" width="11.375" style="3063" bestFit="1" customWidth="1"/>
    <col min="6267" max="6267" width="10.25" style="3063" bestFit="1" customWidth="1"/>
    <col min="6268" max="6268" width="9.375" style="3063" bestFit="1" customWidth="1"/>
    <col min="6269" max="6269" width="11.375" style="3063" bestFit="1" customWidth="1"/>
    <col min="6270" max="6270" width="10.25" style="3063" bestFit="1" customWidth="1"/>
    <col min="6271" max="6271" width="10.125" style="3063" bestFit="1" customWidth="1"/>
    <col min="6272" max="6272" width="10.375" style="3063" bestFit="1" customWidth="1"/>
    <col min="6273" max="6273" width="8.375" style="3063" bestFit="1" customWidth="1"/>
    <col min="6274" max="6274" width="9.125" style="3063" bestFit="1" customWidth="1"/>
    <col min="6275" max="6275" width="10" style="3063" customWidth="1"/>
    <col min="6276" max="6276" width="8.375" style="3063" bestFit="1" customWidth="1"/>
    <col min="6277" max="6277" width="7.875" style="3063"/>
    <col min="6278" max="6278" width="9.25" style="3063" customWidth="1"/>
    <col min="6279" max="6279" width="8.375" style="3063" bestFit="1" customWidth="1"/>
    <col min="6280" max="6280" width="7.875" style="3063"/>
    <col min="6281" max="6281" width="8.625" style="3063" customWidth="1"/>
    <col min="6282" max="6282" width="10.125" style="3063" bestFit="1" customWidth="1"/>
    <col min="6283" max="6283" width="7.875" style="3063"/>
    <col min="6284" max="6284" width="10.125" style="3063" bestFit="1" customWidth="1"/>
    <col min="6285" max="6285" width="8.25" style="3063" bestFit="1" customWidth="1"/>
    <col min="6286" max="6286" width="7.875" style="3063"/>
    <col min="6287" max="6287" width="10.125" style="3063" bestFit="1" customWidth="1"/>
    <col min="6288" max="6288" width="8.25" style="3063" bestFit="1" customWidth="1"/>
    <col min="6289" max="6289" width="7.875" style="3063"/>
    <col min="6290" max="6290" width="10.125" style="3063" bestFit="1" customWidth="1"/>
    <col min="6291" max="6291" width="8.25" style="3063" bestFit="1" customWidth="1"/>
    <col min="6292" max="6292" width="7.875" style="3063"/>
    <col min="6293" max="6293" width="10.125" style="3063" bestFit="1" customWidth="1"/>
    <col min="6294" max="6295" width="8.25" style="3063" bestFit="1" customWidth="1"/>
    <col min="6296" max="6296" width="10.125" style="3063" bestFit="1" customWidth="1"/>
    <col min="6297" max="6297" width="8.25" style="3063" bestFit="1" customWidth="1"/>
    <col min="6298" max="6298" width="7.875" style="3063"/>
    <col min="6299" max="6299" width="10.125" style="3063" bestFit="1" customWidth="1"/>
    <col min="6300" max="6300" width="9.125" style="3063" bestFit="1" customWidth="1"/>
    <col min="6301" max="6301" width="7.875" style="3063"/>
    <col min="6302" max="6302" width="10.125" style="3063" bestFit="1" customWidth="1"/>
    <col min="6303" max="6303" width="9.125" style="3063" bestFit="1" customWidth="1"/>
    <col min="6304" max="6304" width="7.875" style="3063"/>
    <col min="6305" max="6305" width="10.125" style="3063" bestFit="1" customWidth="1"/>
    <col min="6306" max="6306" width="9.125" style="3063" bestFit="1" customWidth="1"/>
    <col min="6307" max="6307" width="7.875" style="3063"/>
    <col min="6308" max="6308" width="10.125" style="3063" bestFit="1" customWidth="1"/>
    <col min="6309" max="6309" width="9.125" style="3063" bestFit="1" customWidth="1"/>
    <col min="6310" max="6310" width="7.875" style="3063"/>
    <col min="6311" max="6311" width="10.125" style="3063" bestFit="1" customWidth="1"/>
    <col min="6312" max="6312" width="9.125" style="3063" bestFit="1" customWidth="1"/>
    <col min="6313" max="6313" width="7.875" style="3063"/>
    <col min="6314" max="6314" width="10.125" style="3063" bestFit="1" customWidth="1"/>
    <col min="6315" max="6316" width="8.25" style="3063" bestFit="1" customWidth="1"/>
    <col min="6317" max="6317" width="9.125" style="3063" bestFit="1" customWidth="1"/>
    <col min="6318" max="6318" width="8.25" style="3063" bestFit="1" customWidth="1"/>
    <col min="6319" max="6319" width="7.875" style="3063"/>
    <col min="6320" max="6320" width="9.125" style="3063" bestFit="1" customWidth="1"/>
    <col min="6321" max="6321" width="8.25" style="3063" bestFit="1" customWidth="1"/>
    <col min="6322" max="6322" width="7.875" style="3063"/>
    <col min="6323" max="6323" width="9.125" style="3063" bestFit="1" customWidth="1"/>
    <col min="6324" max="6324" width="8.25" style="3063" bestFit="1" customWidth="1"/>
    <col min="6325" max="6325" width="7.875" style="3063"/>
    <col min="6326" max="6327" width="8.25" style="3063" bestFit="1" customWidth="1"/>
    <col min="6328" max="6328" width="7.875" style="3063"/>
    <col min="6329" max="6330" width="8.25" style="3063" bestFit="1" customWidth="1"/>
    <col min="6331" max="6331" width="7.875" style="3063"/>
    <col min="6332" max="6332" width="9.875" style="3063" bestFit="1" customWidth="1"/>
    <col min="6333" max="6333" width="11.125" style="3063" bestFit="1" customWidth="1"/>
    <col min="6334" max="6334" width="9.125" style="3063" bestFit="1" customWidth="1"/>
    <col min="6335" max="6335" width="9.875" style="3063" bestFit="1" customWidth="1"/>
    <col min="6336" max="6336" width="11.125" style="3063" bestFit="1" customWidth="1"/>
    <col min="6337" max="6337" width="7.875" style="3063"/>
    <col min="6338" max="6338" width="9" style="3063" customWidth="1"/>
    <col min="6339" max="6339" width="8.625" style="3063" customWidth="1"/>
    <col min="6340" max="6400" width="7.875" style="3063"/>
    <col min="6401" max="6401" width="3.875" style="3063" customWidth="1"/>
    <col min="6402" max="6402" width="10.375" style="3063" customWidth="1"/>
    <col min="6403" max="6403" width="10.75" style="3063" customWidth="1"/>
    <col min="6404" max="6404" width="11.625" style="3063" customWidth="1"/>
    <col min="6405" max="6405" width="10" style="3063" customWidth="1"/>
    <col min="6406" max="6406" width="9.375" style="3063" customWidth="1"/>
    <col min="6407" max="6407" width="10.5" style="3063" customWidth="1"/>
    <col min="6408" max="6408" width="12.5" style="3063" customWidth="1"/>
    <col min="6409" max="6409" width="11.75" style="3063" customWidth="1"/>
    <col min="6410" max="6410" width="10.5" style="3063" customWidth="1"/>
    <col min="6411" max="6411" width="12.125" style="3063" customWidth="1"/>
    <col min="6412" max="6412" width="9.75" style="3063" customWidth="1"/>
    <col min="6413" max="6413" width="10" style="3063" customWidth="1"/>
    <col min="6414" max="6414" width="12.25" style="3063" customWidth="1"/>
    <col min="6415" max="6415" width="9.75" style="3063" customWidth="1"/>
    <col min="6416" max="6416" width="8.625" style="3063" customWidth="1"/>
    <col min="6417" max="6417" width="11.25" style="3063" customWidth="1"/>
    <col min="6418" max="6418" width="11.125" style="3063" customWidth="1"/>
    <col min="6419" max="6419" width="10.625" style="3063" customWidth="1"/>
    <col min="6420" max="6420" width="11.125" style="3063" customWidth="1"/>
    <col min="6421" max="6421" width="10.125" style="3063" customWidth="1"/>
    <col min="6422" max="6422" width="12.125" style="3063" customWidth="1"/>
    <col min="6423" max="6423" width="7.75" style="3063" customWidth="1"/>
    <col min="6424" max="6424" width="8.125" style="3063" customWidth="1"/>
    <col min="6425" max="6427" width="10.875" style="3063" bestFit="1" customWidth="1"/>
    <col min="6428" max="6430" width="11.5" style="3063" customWidth="1"/>
    <col min="6431" max="6431" width="11.75" style="3063" customWidth="1"/>
    <col min="6432" max="6432" width="7.75" style="3063" bestFit="1" customWidth="1"/>
    <col min="6433" max="6433" width="11.5" style="3063" bestFit="1" customWidth="1"/>
    <col min="6434" max="6434" width="7.75" style="3063" bestFit="1" customWidth="1"/>
    <col min="6435" max="6435" width="8.75" style="3063" customWidth="1"/>
    <col min="6436" max="6436" width="9.875" style="3063" bestFit="1" customWidth="1"/>
    <col min="6437" max="6437" width="8" style="3063" customWidth="1"/>
    <col min="6438" max="6441" width="7.75" style="3063" bestFit="1" customWidth="1"/>
    <col min="6442" max="6443" width="12.25" style="3063" customWidth="1"/>
    <col min="6444" max="6444" width="10.25" style="3063" customWidth="1"/>
    <col min="6445" max="6445" width="9.25" style="3063" customWidth="1"/>
    <col min="6446" max="6446" width="11" style="3063" customWidth="1"/>
    <col min="6447" max="6447" width="8.375" style="3063" customWidth="1"/>
    <col min="6448" max="6448" width="9.5" style="3063" customWidth="1"/>
    <col min="6449" max="6449" width="13.25" style="3063" customWidth="1"/>
    <col min="6450" max="6450" width="13" style="3063" customWidth="1"/>
    <col min="6451" max="6453" width="10.875" style="3063" customWidth="1"/>
    <col min="6454" max="6454" width="10.5" style="3063" customWidth="1"/>
    <col min="6455" max="6455" width="6.375" style="3063" customWidth="1"/>
    <col min="6456" max="6456" width="6.25" style="3063" customWidth="1"/>
    <col min="6457" max="6457" width="9.875" style="3063" customWidth="1"/>
    <col min="6458" max="6458" width="10.75" style="3063" customWidth="1"/>
    <col min="6459" max="6459" width="9.5" style="3063" customWidth="1"/>
    <col min="6460" max="6463" width="11" style="3063" customWidth="1"/>
    <col min="6464" max="6464" width="10.625" style="3063" customWidth="1"/>
    <col min="6465" max="6465" width="11.875" style="3063" bestFit="1" customWidth="1"/>
    <col min="6466" max="6466" width="9.75" style="3063" bestFit="1" customWidth="1"/>
    <col min="6467" max="6467" width="11.875" style="3063" bestFit="1" customWidth="1"/>
    <col min="6468" max="6468" width="9.75" style="3063" bestFit="1" customWidth="1"/>
    <col min="6469" max="6469" width="11.875" style="3063" bestFit="1" customWidth="1"/>
    <col min="6470" max="6470" width="9.75" style="3063" bestFit="1" customWidth="1"/>
    <col min="6471" max="6471" width="11.375" style="3063" bestFit="1" customWidth="1"/>
    <col min="6472" max="6472" width="9.75" style="3063" bestFit="1" customWidth="1"/>
    <col min="6473" max="6473" width="11.375" style="3063" bestFit="1" customWidth="1"/>
    <col min="6474" max="6474" width="9.75" style="3063" bestFit="1" customWidth="1"/>
    <col min="6475" max="6475" width="11.375" style="3063" bestFit="1" customWidth="1"/>
    <col min="6476" max="6476" width="9.75" style="3063" bestFit="1" customWidth="1"/>
    <col min="6477" max="6477" width="11.375" style="3063" bestFit="1" customWidth="1"/>
    <col min="6478" max="6478" width="9.75" style="3063" bestFit="1" customWidth="1"/>
    <col min="6479" max="6479" width="11.375" style="3063" bestFit="1" customWidth="1"/>
    <col min="6480" max="6480" width="9.75" style="3063" bestFit="1" customWidth="1"/>
    <col min="6481" max="6481" width="10.25" style="3063" bestFit="1" customWidth="1"/>
    <col min="6482" max="6482" width="9.625" style="3063" customWidth="1"/>
    <col min="6483" max="6483" width="10.375" style="3063" customWidth="1"/>
    <col min="6484" max="6484" width="9.25" style="3063" customWidth="1"/>
    <col min="6485" max="6485" width="10" style="3063" customWidth="1"/>
    <col min="6486" max="6486" width="9.75" style="3063" customWidth="1"/>
    <col min="6487" max="6487" width="9.125" style="3063" customWidth="1"/>
    <col min="6488" max="6512" width="9.5" style="3063" customWidth="1"/>
    <col min="6513" max="6513" width="15.5" style="3063" bestFit="1" customWidth="1"/>
    <col min="6514" max="6514" width="13.25" style="3063" bestFit="1" customWidth="1"/>
    <col min="6515" max="6515" width="13.5" style="3063" customWidth="1"/>
    <col min="6516" max="6516" width="12.5" style="3063" bestFit="1" customWidth="1"/>
    <col min="6517" max="6517" width="10.625" style="3063" bestFit="1" customWidth="1"/>
    <col min="6518" max="6518" width="11.375" style="3063" bestFit="1" customWidth="1"/>
    <col min="6519" max="6519" width="11.75" style="3063" bestFit="1" customWidth="1"/>
    <col min="6520" max="6520" width="11.375" style="3063" bestFit="1" customWidth="1"/>
    <col min="6521" max="6521" width="9.375" style="3063" bestFit="1" customWidth="1"/>
    <col min="6522" max="6522" width="11.375" style="3063" bestFit="1" customWidth="1"/>
    <col min="6523" max="6523" width="10.25" style="3063" bestFit="1" customWidth="1"/>
    <col min="6524" max="6524" width="9.375" style="3063" bestFit="1" customWidth="1"/>
    <col min="6525" max="6525" width="11.375" style="3063" bestFit="1" customWidth="1"/>
    <col min="6526" max="6526" width="10.25" style="3063" bestFit="1" customWidth="1"/>
    <col min="6527" max="6527" width="10.125" style="3063" bestFit="1" customWidth="1"/>
    <col min="6528" max="6528" width="10.375" style="3063" bestFit="1" customWidth="1"/>
    <col min="6529" max="6529" width="8.375" style="3063" bestFit="1" customWidth="1"/>
    <col min="6530" max="6530" width="9.125" style="3063" bestFit="1" customWidth="1"/>
    <col min="6531" max="6531" width="10" style="3063" customWidth="1"/>
    <col min="6532" max="6532" width="8.375" style="3063" bestFit="1" customWidth="1"/>
    <col min="6533" max="6533" width="7.875" style="3063"/>
    <col min="6534" max="6534" width="9.25" style="3063" customWidth="1"/>
    <col min="6535" max="6535" width="8.375" style="3063" bestFit="1" customWidth="1"/>
    <col min="6536" max="6536" width="7.875" style="3063"/>
    <col min="6537" max="6537" width="8.625" style="3063" customWidth="1"/>
    <col min="6538" max="6538" width="10.125" style="3063" bestFit="1" customWidth="1"/>
    <col min="6539" max="6539" width="7.875" style="3063"/>
    <col min="6540" max="6540" width="10.125" style="3063" bestFit="1" customWidth="1"/>
    <col min="6541" max="6541" width="8.25" style="3063" bestFit="1" customWidth="1"/>
    <col min="6542" max="6542" width="7.875" style="3063"/>
    <col min="6543" max="6543" width="10.125" style="3063" bestFit="1" customWidth="1"/>
    <col min="6544" max="6544" width="8.25" style="3063" bestFit="1" customWidth="1"/>
    <col min="6545" max="6545" width="7.875" style="3063"/>
    <col min="6546" max="6546" width="10.125" style="3063" bestFit="1" customWidth="1"/>
    <col min="6547" max="6547" width="8.25" style="3063" bestFit="1" customWidth="1"/>
    <col min="6548" max="6548" width="7.875" style="3063"/>
    <col min="6549" max="6549" width="10.125" style="3063" bestFit="1" customWidth="1"/>
    <col min="6550" max="6551" width="8.25" style="3063" bestFit="1" customWidth="1"/>
    <col min="6552" max="6552" width="10.125" style="3063" bestFit="1" customWidth="1"/>
    <col min="6553" max="6553" width="8.25" style="3063" bestFit="1" customWidth="1"/>
    <col min="6554" max="6554" width="7.875" style="3063"/>
    <col min="6555" max="6555" width="10.125" style="3063" bestFit="1" customWidth="1"/>
    <col min="6556" max="6556" width="9.125" style="3063" bestFit="1" customWidth="1"/>
    <col min="6557" max="6557" width="7.875" style="3063"/>
    <col min="6558" max="6558" width="10.125" style="3063" bestFit="1" customWidth="1"/>
    <col min="6559" max="6559" width="9.125" style="3063" bestFit="1" customWidth="1"/>
    <col min="6560" max="6560" width="7.875" style="3063"/>
    <col min="6561" max="6561" width="10.125" style="3063" bestFit="1" customWidth="1"/>
    <col min="6562" max="6562" width="9.125" style="3063" bestFit="1" customWidth="1"/>
    <col min="6563" max="6563" width="7.875" style="3063"/>
    <col min="6564" max="6564" width="10.125" style="3063" bestFit="1" customWidth="1"/>
    <col min="6565" max="6565" width="9.125" style="3063" bestFit="1" customWidth="1"/>
    <col min="6566" max="6566" width="7.875" style="3063"/>
    <col min="6567" max="6567" width="10.125" style="3063" bestFit="1" customWidth="1"/>
    <col min="6568" max="6568" width="9.125" style="3063" bestFit="1" customWidth="1"/>
    <col min="6569" max="6569" width="7.875" style="3063"/>
    <col min="6570" max="6570" width="10.125" style="3063" bestFit="1" customWidth="1"/>
    <col min="6571" max="6572" width="8.25" style="3063" bestFit="1" customWidth="1"/>
    <col min="6573" max="6573" width="9.125" style="3063" bestFit="1" customWidth="1"/>
    <col min="6574" max="6574" width="8.25" style="3063" bestFit="1" customWidth="1"/>
    <col min="6575" max="6575" width="7.875" style="3063"/>
    <col min="6576" max="6576" width="9.125" style="3063" bestFit="1" customWidth="1"/>
    <col min="6577" max="6577" width="8.25" style="3063" bestFit="1" customWidth="1"/>
    <col min="6578" max="6578" width="7.875" style="3063"/>
    <col min="6579" max="6579" width="9.125" style="3063" bestFit="1" customWidth="1"/>
    <col min="6580" max="6580" width="8.25" style="3063" bestFit="1" customWidth="1"/>
    <col min="6581" max="6581" width="7.875" style="3063"/>
    <col min="6582" max="6583" width="8.25" style="3063" bestFit="1" customWidth="1"/>
    <col min="6584" max="6584" width="7.875" style="3063"/>
    <col min="6585" max="6586" width="8.25" style="3063" bestFit="1" customWidth="1"/>
    <col min="6587" max="6587" width="7.875" style="3063"/>
    <col min="6588" max="6588" width="9.875" style="3063" bestFit="1" customWidth="1"/>
    <col min="6589" max="6589" width="11.125" style="3063" bestFit="1" customWidth="1"/>
    <col min="6590" max="6590" width="9.125" style="3063" bestFit="1" customWidth="1"/>
    <col min="6591" max="6591" width="9.875" style="3063" bestFit="1" customWidth="1"/>
    <col min="6592" max="6592" width="11.125" style="3063" bestFit="1" customWidth="1"/>
    <col min="6593" max="6593" width="7.875" style="3063"/>
    <col min="6594" max="6594" width="9" style="3063" customWidth="1"/>
    <col min="6595" max="6595" width="8.625" style="3063" customWidth="1"/>
    <col min="6596" max="6656" width="7.875" style="3063"/>
    <col min="6657" max="6657" width="3.875" style="3063" customWidth="1"/>
    <col min="6658" max="6658" width="10.375" style="3063" customWidth="1"/>
    <col min="6659" max="6659" width="10.75" style="3063" customWidth="1"/>
    <col min="6660" max="6660" width="11.625" style="3063" customWidth="1"/>
    <col min="6661" max="6661" width="10" style="3063" customWidth="1"/>
    <col min="6662" max="6662" width="9.375" style="3063" customWidth="1"/>
    <col min="6663" max="6663" width="10.5" style="3063" customWidth="1"/>
    <col min="6664" max="6664" width="12.5" style="3063" customWidth="1"/>
    <col min="6665" max="6665" width="11.75" style="3063" customWidth="1"/>
    <col min="6666" max="6666" width="10.5" style="3063" customWidth="1"/>
    <col min="6667" max="6667" width="12.125" style="3063" customWidth="1"/>
    <col min="6668" max="6668" width="9.75" style="3063" customWidth="1"/>
    <col min="6669" max="6669" width="10" style="3063" customWidth="1"/>
    <col min="6670" max="6670" width="12.25" style="3063" customWidth="1"/>
    <col min="6671" max="6671" width="9.75" style="3063" customWidth="1"/>
    <col min="6672" max="6672" width="8.625" style="3063" customWidth="1"/>
    <col min="6673" max="6673" width="11.25" style="3063" customWidth="1"/>
    <col min="6674" max="6674" width="11.125" style="3063" customWidth="1"/>
    <col min="6675" max="6675" width="10.625" style="3063" customWidth="1"/>
    <col min="6676" max="6676" width="11.125" style="3063" customWidth="1"/>
    <col min="6677" max="6677" width="10.125" style="3063" customWidth="1"/>
    <col min="6678" max="6678" width="12.125" style="3063" customWidth="1"/>
    <col min="6679" max="6679" width="7.75" style="3063" customWidth="1"/>
    <col min="6680" max="6680" width="8.125" style="3063" customWidth="1"/>
    <col min="6681" max="6683" width="10.875" style="3063" bestFit="1" customWidth="1"/>
    <col min="6684" max="6686" width="11.5" style="3063" customWidth="1"/>
    <col min="6687" max="6687" width="11.75" style="3063" customWidth="1"/>
    <col min="6688" max="6688" width="7.75" style="3063" bestFit="1" customWidth="1"/>
    <col min="6689" max="6689" width="11.5" style="3063" bestFit="1" customWidth="1"/>
    <col min="6690" max="6690" width="7.75" style="3063" bestFit="1" customWidth="1"/>
    <col min="6691" max="6691" width="8.75" style="3063" customWidth="1"/>
    <col min="6692" max="6692" width="9.875" style="3063" bestFit="1" customWidth="1"/>
    <col min="6693" max="6693" width="8" style="3063" customWidth="1"/>
    <col min="6694" max="6697" width="7.75" style="3063" bestFit="1" customWidth="1"/>
    <col min="6698" max="6699" width="12.25" style="3063" customWidth="1"/>
    <col min="6700" max="6700" width="10.25" style="3063" customWidth="1"/>
    <col min="6701" max="6701" width="9.25" style="3063" customWidth="1"/>
    <col min="6702" max="6702" width="11" style="3063" customWidth="1"/>
    <col min="6703" max="6703" width="8.375" style="3063" customWidth="1"/>
    <col min="6704" max="6704" width="9.5" style="3063" customWidth="1"/>
    <col min="6705" max="6705" width="13.25" style="3063" customWidth="1"/>
    <col min="6706" max="6706" width="13" style="3063" customWidth="1"/>
    <col min="6707" max="6709" width="10.875" style="3063" customWidth="1"/>
    <col min="6710" max="6710" width="10.5" style="3063" customWidth="1"/>
    <col min="6711" max="6711" width="6.375" style="3063" customWidth="1"/>
    <col min="6712" max="6712" width="6.25" style="3063" customWidth="1"/>
    <col min="6713" max="6713" width="9.875" style="3063" customWidth="1"/>
    <col min="6714" max="6714" width="10.75" style="3063" customWidth="1"/>
    <col min="6715" max="6715" width="9.5" style="3063" customWidth="1"/>
    <col min="6716" max="6719" width="11" style="3063" customWidth="1"/>
    <col min="6720" max="6720" width="10.625" style="3063" customWidth="1"/>
    <col min="6721" max="6721" width="11.875" style="3063" bestFit="1" customWidth="1"/>
    <col min="6722" max="6722" width="9.75" style="3063" bestFit="1" customWidth="1"/>
    <col min="6723" max="6723" width="11.875" style="3063" bestFit="1" customWidth="1"/>
    <col min="6724" max="6724" width="9.75" style="3063" bestFit="1" customWidth="1"/>
    <col min="6725" max="6725" width="11.875" style="3063" bestFit="1" customWidth="1"/>
    <col min="6726" max="6726" width="9.75" style="3063" bestFit="1" customWidth="1"/>
    <col min="6727" max="6727" width="11.375" style="3063" bestFit="1" customWidth="1"/>
    <col min="6728" max="6728" width="9.75" style="3063" bestFit="1" customWidth="1"/>
    <col min="6729" max="6729" width="11.375" style="3063" bestFit="1" customWidth="1"/>
    <col min="6730" max="6730" width="9.75" style="3063" bestFit="1" customWidth="1"/>
    <col min="6731" max="6731" width="11.375" style="3063" bestFit="1" customWidth="1"/>
    <col min="6732" max="6732" width="9.75" style="3063" bestFit="1" customWidth="1"/>
    <col min="6733" max="6733" width="11.375" style="3063" bestFit="1" customWidth="1"/>
    <col min="6734" max="6734" width="9.75" style="3063" bestFit="1" customWidth="1"/>
    <col min="6735" max="6735" width="11.375" style="3063" bestFit="1" customWidth="1"/>
    <col min="6736" max="6736" width="9.75" style="3063" bestFit="1" customWidth="1"/>
    <col min="6737" max="6737" width="10.25" style="3063" bestFit="1" customWidth="1"/>
    <col min="6738" max="6738" width="9.625" style="3063" customWidth="1"/>
    <col min="6739" max="6739" width="10.375" style="3063" customWidth="1"/>
    <col min="6740" max="6740" width="9.25" style="3063" customWidth="1"/>
    <col min="6741" max="6741" width="10" style="3063" customWidth="1"/>
    <col min="6742" max="6742" width="9.75" style="3063" customWidth="1"/>
    <col min="6743" max="6743" width="9.125" style="3063" customWidth="1"/>
    <col min="6744" max="6768" width="9.5" style="3063" customWidth="1"/>
    <col min="6769" max="6769" width="15.5" style="3063" bestFit="1" customWidth="1"/>
    <col min="6770" max="6770" width="13.25" style="3063" bestFit="1" customWidth="1"/>
    <col min="6771" max="6771" width="13.5" style="3063" customWidth="1"/>
    <col min="6772" max="6772" width="12.5" style="3063" bestFit="1" customWidth="1"/>
    <col min="6773" max="6773" width="10.625" style="3063" bestFit="1" customWidth="1"/>
    <col min="6774" max="6774" width="11.375" style="3063" bestFit="1" customWidth="1"/>
    <col min="6775" max="6775" width="11.75" style="3063" bestFit="1" customWidth="1"/>
    <col min="6776" max="6776" width="11.375" style="3063" bestFit="1" customWidth="1"/>
    <col min="6777" max="6777" width="9.375" style="3063" bestFit="1" customWidth="1"/>
    <col min="6778" max="6778" width="11.375" style="3063" bestFit="1" customWidth="1"/>
    <col min="6779" max="6779" width="10.25" style="3063" bestFit="1" customWidth="1"/>
    <col min="6780" max="6780" width="9.375" style="3063" bestFit="1" customWidth="1"/>
    <col min="6781" max="6781" width="11.375" style="3063" bestFit="1" customWidth="1"/>
    <col min="6782" max="6782" width="10.25" style="3063" bestFit="1" customWidth="1"/>
    <col min="6783" max="6783" width="10.125" style="3063" bestFit="1" customWidth="1"/>
    <col min="6784" max="6784" width="10.375" style="3063" bestFit="1" customWidth="1"/>
    <col min="6785" max="6785" width="8.375" style="3063" bestFit="1" customWidth="1"/>
    <col min="6786" max="6786" width="9.125" style="3063" bestFit="1" customWidth="1"/>
    <col min="6787" max="6787" width="10" style="3063" customWidth="1"/>
    <col min="6788" max="6788" width="8.375" style="3063" bestFit="1" customWidth="1"/>
    <col min="6789" max="6789" width="7.875" style="3063"/>
    <col min="6790" max="6790" width="9.25" style="3063" customWidth="1"/>
    <col min="6791" max="6791" width="8.375" style="3063" bestFit="1" customWidth="1"/>
    <col min="6792" max="6792" width="7.875" style="3063"/>
    <col min="6793" max="6793" width="8.625" style="3063" customWidth="1"/>
    <col min="6794" max="6794" width="10.125" style="3063" bestFit="1" customWidth="1"/>
    <col min="6795" max="6795" width="7.875" style="3063"/>
    <col min="6796" max="6796" width="10.125" style="3063" bestFit="1" customWidth="1"/>
    <col min="6797" max="6797" width="8.25" style="3063" bestFit="1" customWidth="1"/>
    <col min="6798" max="6798" width="7.875" style="3063"/>
    <col min="6799" max="6799" width="10.125" style="3063" bestFit="1" customWidth="1"/>
    <col min="6800" max="6800" width="8.25" style="3063" bestFit="1" customWidth="1"/>
    <col min="6801" max="6801" width="7.875" style="3063"/>
    <col min="6802" max="6802" width="10.125" style="3063" bestFit="1" customWidth="1"/>
    <col min="6803" max="6803" width="8.25" style="3063" bestFit="1" customWidth="1"/>
    <col min="6804" max="6804" width="7.875" style="3063"/>
    <col min="6805" max="6805" width="10.125" style="3063" bestFit="1" customWidth="1"/>
    <col min="6806" max="6807" width="8.25" style="3063" bestFit="1" customWidth="1"/>
    <col min="6808" max="6808" width="10.125" style="3063" bestFit="1" customWidth="1"/>
    <col min="6809" max="6809" width="8.25" style="3063" bestFit="1" customWidth="1"/>
    <col min="6810" max="6810" width="7.875" style="3063"/>
    <col min="6811" max="6811" width="10.125" style="3063" bestFit="1" customWidth="1"/>
    <col min="6812" max="6812" width="9.125" style="3063" bestFit="1" customWidth="1"/>
    <col min="6813" max="6813" width="7.875" style="3063"/>
    <col min="6814" max="6814" width="10.125" style="3063" bestFit="1" customWidth="1"/>
    <col min="6815" max="6815" width="9.125" style="3063" bestFit="1" customWidth="1"/>
    <col min="6816" max="6816" width="7.875" style="3063"/>
    <col min="6817" max="6817" width="10.125" style="3063" bestFit="1" customWidth="1"/>
    <col min="6818" max="6818" width="9.125" style="3063" bestFit="1" customWidth="1"/>
    <col min="6819" max="6819" width="7.875" style="3063"/>
    <col min="6820" max="6820" width="10.125" style="3063" bestFit="1" customWidth="1"/>
    <col min="6821" max="6821" width="9.125" style="3063" bestFit="1" customWidth="1"/>
    <col min="6822" max="6822" width="7.875" style="3063"/>
    <col min="6823" max="6823" width="10.125" style="3063" bestFit="1" customWidth="1"/>
    <col min="6824" max="6824" width="9.125" style="3063" bestFit="1" customWidth="1"/>
    <col min="6825" max="6825" width="7.875" style="3063"/>
    <col min="6826" max="6826" width="10.125" style="3063" bestFit="1" customWidth="1"/>
    <col min="6827" max="6828" width="8.25" style="3063" bestFit="1" customWidth="1"/>
    <col min="6829" max="6829" width="9.125" style="3063" bestFit="1" customWidth="1"/>
    <col min="6830" max="6830" width="8.25" style="3063" bestFit="1" customWidth="1"/>
    <col min="6831" max="6831" width="7.875" style="3063"/>
    <col min="6832" max="6832" width="9.125" style="3063" bestFit="1" customWidth="1"/>
    <col min="6833" max="6833" width="8.25" style="3063" bestFit="1" customWidth="1"/>
    <col min="6834" max="6834" width="7.875" style="3063"/>
    <col min="6835" max="6835" width="9.125" style="3063" bestFit="1" customWidth="1"/>
    <col min="6836" max="6836" width="8.25" style="3063" bestFit="1" customWidth="1"/>
    <col min="6837" max="6837" width="7.875" style="3063"/>
    <col min="6838" max="6839" width="8.25" style="3063" bestFit="1" customWidth="1"/>
    <col min="6840" max="6840" width="7.875" style="3063"/>
    <col min="6841" max="6842" width="8.25" style="3063" bestFit="1" customWidth="1"/>
    <col min="6843" max="6843" width="7.875" style="3063"/>
    <col min="6844" max="6844" width="9.875" style="3063" bestFit="1" customWidth="1"/>
    <col min="6845" max="6845" width="11.125" style="3063" bestFit="1" customWidth="1"/>
    <col min="6846" max="6846" width="9.125" style="3063" bestFit="1" customWidth="1"/>
    <col min="6847" max="6847" width="9.875" style="3063" bestFit="1" customWidth="1"/>
    <col min="6848" max="6848" width="11.125" style="3063" bestFit="1" customWidth="1"/>
    <col min="6849" max="6849" width="7.875" style="3063"/>
    <col min="6850" max="6850" width="9" style="3063" customWidth="1"/>
    <col min="6851" max="6851" width="8.625" style="3063" customWidth="1"/>
    <col min="6852" max="6912" width="7.875" style="3063"/>
    <col min="6913" max="6913" width="3.875" style="3063" customWidth="1"/>
    <col min="6914" max="6914" width="10.375" style="3063" customWidth="1"/>
    <col min="6915" max="6915" width="10.75" style="3063" customWidth="1"/>
    <col min="6916" max="6916" width="11.625" style="3063" customWidth="1"/>
    <col min="6917" max="6917" width="10" style="3063" customWidth="1"/>
    <col min="6918" max="6918" width="9.375" style="3063" customWidth="1"/>
    <col min="6919" max="6919" width="10.5" style="3063" customWidth="1"/>
    <col min="6920" max="6920" width="12.5" style="3063" customWidth="1"/>
    <col min="6921" max="6921" width="11.75" style="3063" customWidth="1"/>
    <col min="6922" max="6922" width="10.5" style="3063" customWidth="1"/>
    <col min="6923" max="6923" width="12.125" style="3063" customWidth="1"/>
    <col min="6924" max="6924" width="9.75" style="3063" customWidth="1"/>
    <col min="6925" max="6925" width="10" style="3063" customWidth="1"/>
    <col min="6926" max="6926" width="12.25" style="3063" customWidth="1"/>
    <col min="6927" max="6927" width="9.75" style="3063" customWidth="1"/>
    <col min="6928" max="6928" width="8.625" style="3063" customWidth="1"/>
    <col min="6929" max="6929" width="11.25" style="3063" customWidth="1"/>
    <col min="6930" max="6930" width="11.125" style="3063" customWidth="1"/>
    <col min="6931" max="6931" width="10.625" style="3063" customWidth="1"/>
    <col min="6932" max="6932" width="11.125" style="3063" customWidth="1"/>
    <col min="6933" max="6933" width="10.125" style="3063" customWidth="1"/>
    <col min="6934" max="6934" width="12.125" style="3063" customWidth="1"/>
    <col min="6935" max="6935" width="7.75" style="3063" customWidth="1"/>
    <col min="6936" max="6936" width="8.125" style="3063" customWidth="1"/>
    <col min="6937" max="6939" width="10.875" style="3063" bestFit="1" customWidth="1"/>
    <col min="6940" max="6942" width="11.5" style="3063" customWidth="1"/>
    <col min="6943" max="6943" width="11.75" style="3063" customWidth="1"/>
    <col min="6944" max="6944" width="7.75" style="3063" bestFit="1" customWidth="1"/>
    <col min="6945" max="6945" width="11.5" style="3063" bestFit="1" customWidth="1"/>
    <col min="6946" max="6946" width="7.75" style="3063" bestFit="1" customWidth="1"/>
    <col min="6947" max="6947" width="8.75" style="3063" customWidth="1"/>
    <col min="6948" max="6948" width="9.875" style="3063" bestFit="1" customWidth="1"/>
    <col min="6949" max="6949" width="8" style="3063" customWidth="1"/>
    <col min="6950" max="6953" width="7.75" style="3063" bestFit="1" customWidth="1"/>
    <col min="6954" max="6955" width="12.25" style="3063" customWidth="1"/>
    <col min="6956" max="6956" width="10.25" style="3063" customWidth="1"/>
    <col min="6957" max="6957" width="9.25" style="3063" customWidth="1"/>
    <col min="6958" max="6958" width="11" style="3063" customWidth="1"/>
    <col min="6959" max="6959" width="8.375" style="3063" customWidth="1"/>
    <col min="6960" max="6960" width="9.5" style="3063" customWidth="1"/>
    <col min="6961" max="6961" width="13.25" style="3063" customWidth="1"/>
    <col min="6962" max="6962" width="13" style="3063" customWidth="1"/>
    <col min="6963" max="6965" width="10.875" style="3063" customWidth="1"/>
    <col min="6966" max="6966" width="10.5" style="3063" customWidth="1"/>
    <col min="6967" max="6967" width="6.375" style="3063" customWidth="1"/>
    <col min="6968" max="6968" width="6.25" style="3063" customWidth="1"/>
    <col min="6969" max="6969" width="9.875" style="3063" customWidth="1"/>
    <col min="6970" max="6970" width="10.75" style="3063" customWidth="1"/>
    <col min="6971" max="6971" width="9.5" style="3063" customWidth="1"/>
    <col min="6972" max="6975" width="11" style="3063" customWidth="1"/>
    <col min="6976" max="6976" width="10.625" style="3063" customWidth="1"/>
    <col min="6977" max="6977" width="11.875" style="3063" bestFit="1" customWidth="1"/>
    <col min="6978" max="6978" width="9.75" style="3063" bestFit="1" customWidth="1"/>
    <col min="6979" max="6979" width="11.875" style="3063" bestFit="1" customWidth="1"/>
    <col min="6980" max="6980" width="9.75" style="3063" bestFit="1" customWidth="1"/>
    <col min="6981" max="6981" width="11.875" style="3063" bestFit="1" customWidth="1"/>
    <col min="6982" max="6982" width="9.75" style="3063" bestFit="1" customWidth="1"/>
    <col min="6983" max="6983" width="11.375" style="3063" bestFit="1" customWidth="1"/>
    <col min="6984" max="6984" width="9.75" style="3063" bestFit="1" customWidth="1"/>
    <col min="6985" max="6985" width="11.375" style="3063" bestFit="1" customWidth="1"/>
    <col min="6986" max="6986" width="9.75" style="3063" bestFit="1" customWidth="1"/>
    <col min="6987" max="6987" width="11.375" style="3063" bestFit="1" customWidth="1"/>
    <col min="6988" max="6988" width="9.75" style="3063" bestFit="1" customWidth="1"/>
    <col min="6989" max="6989" width="11.375" style="3063" bestFit="1" customWidth="1"/>
    <col min="6990" max="6990" width="9.75" style="3063" bestFit="1" customWidth="1"/>
    <col min="6991" max="6991" width="11.375" style="3063" bestFit="1" customWidth="1"/>
    <col min="6992" max="6992" width="9.75" style="3063" bestFit="1" customWidth="1"/>
    <col min="6993" max="6993" width="10.25" style="3063" bestFit="1" customWidth="1"/>
    <col min="6994" max="6994" width="9.625" style="3063" customWidth="1"/>
    <col min="6995" max="6995" width="10.375" style="3063" customWidth="1"/>
    <col min="6996" max="6996" width="9.25" style="3063" customWidth="1"/>
    <col min="6997" max="6997" width="10" style="3063" customWidth="1"/>
    <col min="6998" max="6998" width="9.75" style="3063" customWidth="1"/>
    <col min="6999" max="6999" width="9.125" style="3063" customWidth="1"/>
    <col min="7000" max="7024" width="9.5" style="3063" customWidth="1"/>
    <col min="7025" max="7025" width="15.5" style="3063" bestFit="1" customWidth="1"/>
    <col min="7026" max="7026" width="13.25" style="3063" bestFit="1" customWidth="1"/>
    <col min="7027" max="7027" width="13.5" style="3063" customWidth="1"/>
    <col min="7028" max="7028" width="12.5" style="3063" bestFit="1" customWidth="1"/>
    <col min="7029" max="7029" width="10.625" style="3063" bestFit="1" customWidth="1"/>
    <col min="7030" max="7030" width="11.375" style="3063" bestFit="1" customWidth="1"/>
    <col min="7031" max="7031" width="11.75" style="3063" bestFit="1" customWidth="1"/>
    <col min="7032" max="7032" width="11.375" style="3063" bestFit="1" customWidth="1"/>
    <col min="7033" max="7033" width="9.375" style="3063" bestFit="1" customWidth="1"/>
    <col min="7034" max="7034" width="11.375" style="3063" bestFit="1" customWidth="1"/>
    <col min="7035" max="7035" width="10.25" style="3063" bestFit="1" customWidth="1"/>
    <col min="7036" max="7036" width="9.375" style="3063" bestFit="1" customWidth="1"/>
    <col min="7037" max="7037" width="11.375" style="3063" bestFit="1" customWidth="1"/>
    <col min="7038" max="7038" width="10.25" style="3063" bestFit="1" customWidth="1"/>
    <col min="7039" max="7039" width="10.125" style="3063" bestFit="1" customWidth="1"/>
    <col min="7040" max="7040" width="10.375" style="3063" bestFit="1" customWidth="1"/>
    <col min="7041" max="7041" width="8.375" style="3063" bestFit="1" customWidth="1"/>
    <col min="7042" max="7042" width="9.125" style="3063" bestFit="1" customWidth="1"/>
    <col min="7043" max="7043" width="10" style="3063" customWidth="1"/>
    <col min="7044" max="7044" width="8.375" style="3063" bestFit="1" customWidth="1"/>
    <col min="7045" max="7045" width="7.875" style="3063"/>
    <col min="7046" max="7046" width="9.25" style="3063" customWidth="1"/>
    <col min="7047" max="7047" width="8.375" style="3063" bestFit="1" customWidth="1"/>
    <col min="7048" max="7048" width="7.875" style="3063"/>
    <col min="7049" max="7049" width="8.625" style="3063" customWidth="1"/>
    <col min="7050" max="7050" width="10.125" style="3063" bestFit="1" customWidth="1"/>
    <col min="7051" max="7051" width="7.875" style="3063"/>
    <col min="7052" max="7052" width="10.125" style="3063" bestFit="1" customWidth="1"/>
    <col min="7053" max="7053" width="8.25" style="3063" bestFit="1" customWidth="1"/>
    <col min="7054" max="7054" width="7.875" style="3063"/>
    <col min="7055" max="7055" width="10.125" style="3063" bestFit="1" customWidth="1"/>
    <col min="7056" max="7056" width="8.25" style="3063" bestFit="1" customWidth="1"/>
    <col min="7057" max="7057" width="7.875" style="3063"/>
    <col min="7058" max="7058" width="10.125" style="3063" bestFit="1" customWidth="1"/>
    <col min="7059" max="7059" width="8.25" style="3063" bestFit="1" customWidth="1"/>
    <col min="7060" max="7060" width="7.875" style="3063"/>
    <col min="7061" max="7061" width="10.125" style="3063" bestFit="1" customWidth="1"/>
    <col min="7062" max="7063" width="8.25" style="3063" bestFit="1" customWidth="1"/>
    <col min="7064" max="7064" width="10.125" style="3063" bestFit="1" customWidth="1"/>
    <col min="7065" max="7065" width="8.25" style="3063" bestFit="1" customWidth="1"/>
    <col min="7066" max="7066" width="7.875" style="3063"/>
    <col min="7067" max="7067" width="10.125" style="3063" bestFit="1" customWidth="1"/>
    <col min="7068" max="7068" width="9.125" style="3063" bestFit="1" customWidth="1"/>
    <col min="7069" max="7069" width="7.875" style="3063"/>
    <col min="7070" max="7070" width="10.125" style="3063" bestFit="1" customWidth="1"/>
    <col min="7071" max="7071" width="9.125" style="3063" bestFit="1" customWidth="1"/>
    <col min="7072" max="7072" width="7.875" style="3063"/>
    <col min="7073" max="7073" width="10.125" style="3063" bestFit="1" customWidth="1"/>
    <col min="7074" max="7074" width="9.125" style="3063" bestFit="1" customWidth="1"/>
    <col min="7075" max="7075" width="7.875" style="3063"/>
    <col min="7076" max="7076" width="10.125" style="3063" bestFit="1" customWidth="1"/>
    <col min="7077" max="7077" width="9.125" style="3063" bestFit="1" customWidth="1"/>
    <col min="7078" max="7078" width="7.875" style="3063"/>
    <col min="7079" max="7079" width="10.125" style="3063" bestFit="1" customWidth="1"/>
    <col min="7080" max="7080" width="9.125" style="3063" bestFit="1" customWidth="1"/>
    <col min="7081" max="7081" width="7.875" style="3063"/>
    <col min="7082" max="7082" width="10.125" style="3063" bestFit="1" customWidth="1"/>
    <col min="7083" max="7084" width="8.25" style="3063" bestFit="1" customWidth="1"/>
    <col min="7085" max="7085" width="9.125" style="3063" bestFit="1" customWidth="1"/>
    <col min="7086" max="7086" width="8.25" style="3063" bestFit="1" customWidth="1"/>
    <col min="7087" max="7087" width="7.875" style="3063"/>
    <col min="7088" max="7088" width="9.125" style="3063" bestFit="1" customWidth="1"/>
    <col min="7089" max="7089" width="8.25" style="3063" bestFit="1" customWidth="1"/>
    <col min="7090" max="7090" width="7.875" style="3063"/>
    <col min="7091" max="7091" width="9.125" style="3063" bestFit="1" customWidth="1"/>
    <col min="7092" max="7092" width="8.25" style="3063" bestFit="1" customWidth="1"/>
    <col min="7093" max="7093" width="7.875" style="3063"/>
    <col min="7094" max="7095" width="8.25" style="3063" bestFit="1" customWidth="1"/>
    <col min="7096" max="7096" width="7.875" style="3063"/>
    <col min="7097" max="7098" width="8.25" style="3063" bestFit="1" customWidth="1"/>
    <col min="7099" max="7099" width="7.875" style="3063"/>
    <col min="7100" max="7100" width="9.875" style="3063" bestFit="1" customWidth="1"/>
    <col min="7101" max="7101" width="11.125" style="3063" bestFit="1" customWidth="1"/>
    <col min="7102" max="7102" width="9.125" style="3063" bestFit="1" customWidth="1"/>
    <col min="7103" max="7103" width="9.875" style="3063" bestFit="1" customWidth="1"/>
    <col min="7104" max="7104" width="11.125" style="3063" bestFit="1" customWidth="1"/>
    <col min="7105" max="7105" width="7.875" style="3063"/>
    <col min="7106" max="7106" width="9" style="3063" customWidth="1"/>
    <col min="7107" max="7107" width="8.625" style="3063" customWidth="1"/>
    <col min="7108" max="7168" width="7.875" style="3063"/>
    <col min="7169" max="7169" width="3.875" style="3063" customWidth="1"/>
    <col min="7170" max="7170" width="10.375" style="3063" customWidth="1"/>
    <col min="7171" max="7171" width="10.75" style="3063" customWidth="1"/>
    <col min="7172" max="7172" width="11.625" style="3063" customWidth="1"/>
    <col min="7173" max="7173" width="10" style="3063" customWidth="1"/>
    <col min="7174" max="7174" width="9.375" style="3063" customWidth="1"/>
    <col min="7175" max="7175" width="10.5" style="3063" customWidth="1"/>
    <col min="7176" max="7176" width="12.5" style="3063" customWidth="1"/>
    <col min="7177" max="7177" width="11.75" style="3063" customWidth="1"/>
    <col min="7178" max="7178" width="10.5" style="3063" customWidth="1"/>
    <col min="7179" max="7179" width="12.125" style="3063" customWidth="1"/>
    <col min="7180" max="7180" width="9.75" style="3063" customWidth="1"/>
    <col min="7181" max="7181" width="10" style="3063" customWidth="1"/>
    <col min="7182" max="7182" width="12.25" style="3063" customWidth="1"/>
    <col min="7183" max="7183" width="9.75" style="3063" customWidth="1"/>
    <col min="7184" max="7184" width="8.625" style="3063" customWidth="1"/>
    <col min="7185" max="7185" width="11.25" style="3063" customWidth="1"/>
    <col min="7186" max="7186" width="11.125" style="3063" customWidth="1"/>
    <col min="7187" max="7187" width="10.625" style="3063" customWidth="1"/>
    <col min="7188" max="7188" width="11.125" style="3063" customWidth="1"/>
    <col min="7189" max="7189" width="10.125" style="3063" customWidth="1"/>
    <col min="7190" max="7190" width="12.125" style="3063" customWidth="1"/>
    <col min="7191" max="7191" width="7.75" style="3063" customWidth="1"/>
    <col min="7192" max="7192" width="8.125" style="3063" customWidth="1"/>
    <col min="7193" max="7195" width="10.875" style="3063" bestFit="1" customWidth="1"/>
    <col min="7196" max="7198" width="11.5" style="3063" customWidth="1"/>
    <col min="7199" max="7199" width="11.75" style="3063" customWidth="1"/>
    <col min="7200" max="7200" width="7.75" style="3063" bestFit="1" customWidth="1"/>
    <col min="7201" max="7201" width="11.5" style="3063" bestFit="1" customWidth="1"/>
    <col min="7202" max="7202" width="7.75" style="3063" bestFit="1" customWidth="1"/>
    <col min="7203" max="7203" width="8.75" style="3063" customWidth="1"/>
    <col min="7204" max="7204" width="9.875" style="3063" bestFit="1" customWidth="1"/>
    <col min="7205" max="7205" width="8" style="3063" customWidth="1"/>
    <col min="7206" max="7209" width="7.75" style="3063" bestFit="1" customWidth="1"/>
    <col min="7210" max="7211" width="12.25" style="3063" customWidth="1"/>
    <col min="7212" max="7212" width="10.25" style="3063" customWidth="1"/>
    <col min="7213" max="7213" width="9.25" style="3063" customWidth="1"/>
    <col min="7214" max="7214" width="11" style="3063" customWidth="1"/>
    <col min="7215" max="7215" width="8.375" style="3063" customWidth="1"/>
    <col min="7216" max="7216" width="9.5" style="3063" customWidth="1"/>
    <col min="7217" max="7217" width="13.25" style="3063" customWidth="1"/>
    <col min="7218" max="7218" width="13" style="3063" customWidth="1"/>
    <col min="7219" max="7221" width="10.875" style="3063" customWidth="1"/>
    <col min="7222" max="7222" width="10.5" style="3063" customWidth="1"/>
    <col min="7223" max="7223" width="6.375" style="3063" customWidth="1"/>
    <col min="7224" max="7224" width="6.25" style="3063" customWidth="1"/>
    <col min="7225" max="7225" width="9.875" style="3063" customWidth="1"/>
    <col min="7226" max="7226" width="10.75" style="3063" customWidth="1"/>
    <col min="7227" max="7227" width="9.5" style="3063" customWidth="1"/>
    <col min="7228" max="7231" width="11" style="3063" customWidth="1"/>
    <col min="7232" max="7232" width="10.625" style="3063" customWidth="1"/>
    <col min="7233" max="7233" width="11.875" style="3063" bestFit="1" customWidth="1"/>
    <col min="7234" max="7234" width="9.75" style="3063" bestFit="1" customWidth="1"/>
    <col min="7235" max="7235" width="11.875" style="3063" bestFit="1" customWidth="1"/>
    <col min="7236" max="7236" width="9.75" style="3063" bestFit="1" customWidth="1"/>
    <col min="7237" max="7237" width="11.875" style="3063" bestFit="1" customWidth="1"/>
    <col min="7238" max="7238" width="9.75" style="3063" bestFit="1" customWidth="1"/>
    <col min="7239" max="7239" width="11.375" style="3063" bestFit="1" customWidth="1"/>
    <col min="7240" max="7240" width="9.75" style="3063" bestFit="1" customWidth="1"/>
    <col min="7241" max="7241" width="11.375" style="3063" bestFit="1" customWidth="1"/>
    <col min="7242" max="7242" width="9.75" style="3063" bestFit="1" customWidth="1"/>
    <col min="7243" max="7243" width="11.375" style="3063" bestFit="1" customWidth="1"/>
    <col min="7244" max="7244" width="9.75" style="3063" bestFit="1" customWidth="1"/>
    <col min="7245" max="7245" width="11.375" style="3063" bestFit="1" customWidth="1"/>
    <col min="7246" max="7246" width="9.75" style="3063" bestFit="1" customWidth="1"/>
    <col min="7247" max="7247" width="11.375" style="3063" bestFit="1" customWidth="1"/>
    <col min="7248" max="7248" width="9.75" style="3063" bestFit="1" customWidth="1"/>
    <col min="7249" max="7249" width="10.25" style="3063" bestFit="1" customWidth="1"/>
    <col min="7250" max="7250" width="9.625" style="3063" customWidth="1"/>
    <col min="7251" max="7251" width="10.375" style="3063" customWidth="1"/>
    <col min="7252" max="7252" width="9.25" style="3063" customWidth="1"/>
    <col min="7253" max="7253" width="10" style="3063" customWidth="1"/>
    <col min="7254" max="7254" width="9.75" style="3063" customWidth="1"/>
    <col min="7255" max="7255" width="9.125" style="3063" customWidth="1"/>
    <col min="7256" max="7280" width="9.5" style="3063" customWidth="1"/>
    <col min="7281" max="7281" width="15.5" style="3063" bestFit="1" customWidth="1"/>
    <col min="7282" max="7282" width="13.25" style="3063" bestFit="1" customWidth="1"/>
    <col min="7283" max="7283" width="13.5" style="3063" customWidth="1"/>
    <col min="7284" max="7284" width="12.5" style="3063" bestFit="1" customWidth="1"/>
    <col min="7285" max="7285" width="10.625" style="3063" bestFit="1" customWidth="1"/>
    <col min="7286" max="7286" width="11.375" style="3063" bestFit="1" customWidth="1"/>
    <col min="7287" max="7287" width="11.75" style="3063" bestFit="1" customWidth="1"/>
    <col min="7288" max="7288" width="11.375" style="3063" bestFit="1" customWidth="1"/>
    <col min="7289" max="7289" width="9.375" style="3063" bestFit="1" customWidth="1"/>
    <col min="7290" max="7290" width="11.375" style="3063" bestFit="1" customWidth="1"/>
    <col min="7291" max="7291" width="10.25" style="3063" bestFit="1" customWidth="1"/>
    <col min="7292" max="7292" width="9.375" style="3063" bestFit="1" customWidth="1"/>
    <col min="7293" max="7293" width="11.375" style="3063" bestFit="1" customWidth="1"/>
    <col min="7294" max="7294" width="10.25" style="3063" bestFit="1" customWidth="1"/>
    <col min="7295" max="7295" width="10.125" style="3063" bestFit="1" customWidth="1"/>
    <col min="7296" max="7296" width="10.375" style="3063" bestFit="1" customWidth="1"/>
    <col min="7297" max="7297" width="8.375" style="3063" bestFit="1" customWidth="1"/>
    <col min="7298" max="7298" width="9.125" style="3063" bestFit="1" customWidth="1"/>
    <col min="7299" max="7299" width="10" style="3063" customWidth="1"/>
    <col min="7300" max="7300" width="8.375" style="3063" bestFit="1" customWidth="1"/>
    <col min="7301" max="7301" width="7.875" style="3063"/>
    <col min="7302" max="7302" width="9.25" style="3063" customWidth="1"/>
    <col min="7303" max="7303" width="8.375" style="3063" bestFit="1" customWidth="1"/>
    <col min="7304" max="7304" width="7.875" style="3063"/>
    <col min="7305" max="7305" width="8.625" style="3063" customWidth="1"/>
    <col min="7306" max="7306" width="10.125" style="3063" bestFit="1" customWidth="1"/>
    <col min="7307" max="7307" width="7.875" style="3063"/>
    <col min="7308" max="7308" width="10.125" style="3063" bestFit="1" customWidth="1"/>
    <col min="7309" max="7309" width="8.25" style="3063" bestFit="1" customWidth="1"/>
    <col min="7310" max="7310" width="7.875" style="3063"/>
    <col min="7311" max="7311" width="10.125" style="3063" bestFit="1" customWidth="1"/>
    <col min="7312" max="7312" width="8.25" style="3063" bestFit="1" customWidth="1"/>
    <col min="7313" max="7313" width="7.875" style="3063"/>
    <col min="7314" max="7314" width="10.125" style="3063" bestFit="1" customWidth="1"/>
    <col min="7315" max="7315" width="8.25" style="3063" bestFit="1" customWidth="1"/>
    <col min="7316" max="7316" width="7.875" style="3063"/>
    <col min="7317" max="7317" width="10.125" style="3063" bestFit="1" customWidth="1"/>
    <col min="7318" max="7319" width="8.25" style="3063" bestFit="1" customWidth="1"/>
    <col min="7320" max="7320" width="10.125" style="3063" bestFit="1" customWidth="1"/>
    <col min="7321" max="7321" width="8.25" style="3063" bestFit="1" customWidth="1"/>
    <col min="7322" max="7322" width="7.875" style="3063"/>
    <col min="7323" max="7323" width="10.125" style="3063" bestFit="1" customWidth="1"/>
    <col min="7324" max="7324" width="9.125" style="3063" bestFit="1" customWidth="1"/>
    <col min="7325" max="7325" width="7.875" style="3063"/>
    <col min="7326" max="7326" width="10.125" style="3063" bestFit="1" customWidth="1"/>
    <col min="7327" max="7327" width="9.125" style="3063" bestFit="1" customWidth="1"/>
    <col min="7328" max="7328" width="7.875" style="3063"/>
    <col min="7329" max="7329" width="10.125" style="3063" bestFit="1" customWidth="1"/>
    <col min="7330" max="7330" width="9.125" style="3063" bestFit="1" customWidth="1"/>
    <col min="7331" max="7331" width="7.875" style="3063"/>
    <col min="7332" max="7332" width="10.125" style="3063" bestFit="1" customWidth="1"/>
    <col min="7333" max="7333" width="9.125" style="3063" bestFit="1" customWidth="1"/>
    <col min="7334" max="7334" width="7.875" style="3063"/>
    <col min="7335" max="7335" width="10.125" style="3063" bestFit="1" customWidth="1"/>
    <col min="7336" max="7336" width="9.125" style="3063" bestFit="1" customWidth="1"/>
    <col min="7337" max="7337" width="7.875" style="3063"/>
    <col min="7338" max="7338" width="10.125" style="3063" bestFit="1" customWidth="1"/>
    <col min="7339" max="7340" width="8.25" style="3063" bestFit="1" customWidth="1"/>
    <col min="7341" max="7341" width="9.125" style="3063" bestFit="1" customWidth="1"/>
    <col min="7342" max="7342" width="8.25" style="3063" bestFit="1" customWidth="1"/>
    <col min="7343" max="7343" width="7.875" style="3063"/>
    <col min="7344" max="7344" width="9.125" style="3063" bestFit="1" customWidth="1"/>
    <col min="7345" max="7345" width="8.25" style="3063" bestFit="1" customWidth="1"/>
    <col min="7346" max="7346" width="7.875" style="3063"/>
    <col min="7347" max="7347" width="9.125" style="3063" bestFit="1" customWidth="1"/>
    <col min="7348" max="7348" width="8.25" style="3063" bestFit="1" customWidth="1"/>
    <col min="7349" max="7349" width="7.875" style="3063"/>
    <col min="7350" max="7351" width="8.25" style="3063" bestFit="1" customWidth="1"/>
    <col min="7352" max="7352" width="7.875" style="3063"/>
    <col min="7353" max="7354" width="8.25" style="3063" bestFit="1" customWidth="1"/>
    <col min="7355" max="7355" width="7.875" style="3063"/>
    <col min="7356" max="7356" width="9.875" style="3063" bestFit="1" customWidth="1"/>
    <col min="7357" max="7357" width="11.125" style="3063" bestFit="1" customWidth="1"/>
    <col min="7358" max="7358" width="9.125" style="3063" bestFit="1" customWidth="1"/>
    <col min="7359" max="7359" width="9.875" style="3063" bestFit="1" customWidth="1"/>
    <col min="7360" max="7360" width="11.125" style="3063" bestFit="1" customWidth="1"/>
    <col min="7361" max="7361" width="7.875" style="3063"/>
    <col min="7362" max="7362" width="9" style="3063" customWidth="1"/>
    <col min="7363" max="7363" width="8.625" style="3063" customWidth="1"/>
    <col min="7364" max="7424" width="7.875" style="3063"/>
    <col min="7425" max="7425" width="3.875" style="3063" customWidth="1"/>
    <col min="7426" max="7426" width="10.375" style="3063" customWidth="1"/>
    <col min="7427" max="7427" width="10.75" style="3063" customWidth="1"/>
    <col min="7428" max="7428" width="11.625" style="3063" customWidth="1"/>
    <col min="7429" max="7429" width="10" style="3063" customWidth="1"/>
    <col min="7430" max="7430" width="9.375" style="3063" customWidth="1"/>
    <col min="7431" max="7431" width="10.5" style="3063" customWidth="1"/>
    <col min="7432" max="7432" width="12.5" style="3063" customWidth="1"/>
    <col min="7433" max="7433" width="11.75" style="3063" customWidth="1"/>
    <col min="7434" max="7434" width="10.5" style="3063" customWidth="1"/>
    <col min="7435" max="7435" width="12.125" style="3063" customWidth="1"/>
    <col min="7436" max="7436" width="9.75" style="3063" customWidth="1"/>
    <col min="7437" max="7437" width="10" style="3063" customWidth="1"/>
    <col min="7438" max="7438" width="12.25" style="3063" customWidth="1"/>
    <col min="7439" max="7439" width="9.75" style="3063" customWidth="1"/>
    <col min="7440" max="7440" width="8.625" style="3063" customWidth="1"/>
    <col min="7441" max="7441" width="11.25" style="3063" customWidth="1"/>
    <col min="7442" max="7442" width="11.125" style="3063" customWidth="1"/>
    <col min="7443" max="7443" width="10.625" style="3063" customWidth="1"/>
    <col min="7444" max="7444" width="11.125" style="3063" customWidth="1"/>
    <col min="7445" max="7445" width="10.125" style="3063" customWidth="1"/>
    <col min="7446" max="7446" width="12.125" style="3063" customWidth="1"/>
    <col min="7447" max="7447" width="7.75" style="3063" customWidth="1"/>
    <col min="7448" max="7448" width="8.125" style="3063" customWidth="1"/>
    <col min="7449" max="7451" width="10.875" style="3063" bestFit="1" customWidth="1"/>
    <col min="7452" max="7454" width="11.5" style="3063" customWidth="1"/>
    <col min="7455" max="7455" width="11.75" style="3063" customWidth="1"/>
    <col min="7456" max="7456" width="7.75" style="3063" bestFit="1" customWidth="1"/>
    <col min="7457" max="7457" width="11.5" style="3063" bestFit="1" customWidth="1"/>
    <col min="7458" max="7458" width="7.75" style="3063" bestFit="1" customWidth="1"/>
    <col min="7459" max="7459" width="8.75" style="3063" customWidth="1"/>
    <col min="7460" max="7460" width="9.875" style="3063" bestFit="1" customWidth="1"/>
    <col min="7461" max="7461" width="8" style="3063" customWidth="1"/>
    <col min="7462" max="7465" width="7.75" style="3063" bestFit="1" customWidth="1"/>
    <col min="7466" max="7467" width="12.25" style="3063" customWidth="1"/>
    <col min="7468" max="7468" width="10.25" style="3063" customWidth="1"/>
    <col min="7469" max="7469" width="9.25" style="3063" customWidth="1"/>
    <col min="7470" max="7470" width="11" style="3063" customWidth="1"/>
    <col min="7471" max="7471" width="8.375" style="3063" customWidth="1"/>
    <col min="7472" max="7472" width="9.5" style="3063" customWidth="1"/>
    <col min="7473" max="7473" width="13.25" style="3063" customWidth="1"/>
    <col min="7474" max="7474" width="13" style="3063" customWidth="1"/>
    <col min="7475" max="7477" width="10.875" style="3063" customWidth="1"/>
    <col min="7478" max="7478" width="10.5" style="3063" customWidth="1"/>
    <col min="7479" max="7479" width="6.375" style="3063" customWidth="1"/>
    <col min="7480" max="7480" width="6.25" style="3063" customWidth="1"/>
    <col min="7481" max="7481" width="9.875" style="3063" customWidth="1"/>
    <col min="7482" max="7482" width="10.75" style="3063" customWidth="1"/>
    <col min="7483" max="7483" width="9.5" style="3063" customWidth="1"/>
    <col min="7484" max="7487" width="11" style="3063" customWidth="1"/>
    <col min="7488" max="7488" width="10.625" style="3063" customWidth="1"/>
    <col min="7489" max="7489" width="11.875" style="3063" bestFit="1" customWidth="1"/>
    <col min="7490" max="7490" width="9.75" style="3063" bestFit="1" customWidth="1"/>
    <col min="7491" max="7491" width="11.875" style="3063" bestFit="1" customWidth="1"/>
    <col min="7492" max="7492" width="9.75" style="3063" bestFit="1" customWidth="1"/>
    <col min="7493" max="7493" width="11.875" style="3063" bestFit="1" customWidth="1"/>
    <col min="7494" max="7494" width="9.75" style="3063" bestFit="1" customWidth="1"/>
    <col min="7495" max="7495" width="11.375" style="3063" bestFit="1" customWidth="1"/>
    <col min="7496" max="7496" width="9.75" style="3063" bestFit="1" customWidth="1"/>
    <col min="7497" max="7497" width="11.375" style="3063" bestFit="1" customWidth="1"/>
    <col min="7498" max="7498" width="9.75" style="3063" bestFit="1" customWidth="1"/>
    <col min="7499" max="7499" width="11.375" style="3063" bestFit="1" customWidth="1"/>
    <col min="7500" max="7500" width="9.75" style="3063" bestFit="1" customWidth="1"/>
    <col min="7501" max="7501" width="11.375" style="3063" bestFit="1" customWidth="1"/>
    <col min="7502" max="7502" width="9.75" style="3063" bestFit="1" customWidth="1"/>
    <col min="7503" max="7503" width="11.375" style="3063" bestFit="1" customWidth="1"/>
    <col min="7504" max="7504" width="9.75" style="3063" bestFit="1" customWidth="1"/>
    <col min="7505" max="7505" width="10.25" style="3063" bestFit="1" customWidth="1"/>
    <col min="7506" max="7506" width="9.625" style="3063" customWidth="1"/>
    <col min="7507" max="7507" width="10.375" style="3063" customWidth="1"/>
    <col min="7508" max="7508" width="9.25" style="3063" customWidth="1"/>
    <col min="7509" max="7509" width="10" style="3063" customWidth="1"/>
    <col min="7510" max="7510" width="9.75" style="3063" customWidth="1"/>
    <col min="7511" max="7511" width="9.125" style="3063" customWidth="1"/>
    <col min="7512" max="7536" width="9.5" style="3063" customWidth="1"/>
    <col min="7537" max="7537" width="15.5" style="3063" bestFit="1" customWidth="1"/>
    <col min="7538" max="7538" width="13.25" style="3063" bestFit="1" customWidth="1"/>
    <col min="7539" max="7539" width="13.5" style="3063" customWidth="1"/>
    <col min="7540" max="7540" width="12.5" style="3063" bestFit="1" customWidth="1"/>
    <col min="7541" max="7541" width="10.625" style="3063" bestFit="1" customWidth="1"/>
    <col min="7542" max="7542" width="11.375" style="3063" bestFit="1" customWidth="1"/>
    <col min="7543" max="7543" width="11.75" style="3063" bestFit="1" customWidth="1"/>
    <col min="7544" max="7544" width="11.375" style="3063" bestFit="1" customWidth="1"/>
    <col min="7545" max="7545" width="9.375" style="3063" bestFit="1" customWidth="1"/>
    <col min="7546" max="7546" width="11.375" style="3063" bestFit="1" customWidth="1"/>
    <col min="7547" max="7547" width="10.25" style="3063" bestFit="1" customWidth="1"/>
    <col min="7548" max="7548" width="9.375" style="3063" bestFit="1" customWidth="1"/>
    <col min="7549" max="7549" width="11.375" style="3063" bestFit="1" customWidth="1"/>
    <col min="7550" max="7550" width="10.25" style="3063" bestFit="1" customWidth="1"/>
    <col min="7551" max="7551" width="10.125" style="3063" bestFit="1" customWidth="1"/>
    <col min="7552" max="7552" width="10.375" style="3063" bestFit="1" customWidth="1"/>
    <col min="7553" max="7553" width="8.375" style="3063" bestFit="1" customWidth="1"/>
    <col min="7554" max="7554" width="9.125" style="3063" bestFit="1" customWidth="1"/>
    <col min="7555" max="7555" width="10" style="3063" customWidth="1"/>
    <col min="7556" max="7556" width="8.375" style="3063" bestFit="1" customWidth="1"/>
    <col min="7557" max="7557" width="7.875" style="3063"/>
    <col min="7558" max="7558" width="9.25" style="3063" customWidth="1"/>
    <col min="7559" max="7559" width="8.375" style="3063" bestFit="1" customWidth="1"/>
    <col min="7560" max="7560" width="7.875" style="3063"/>
    <col min="7561" max="7561" width="8.625" style="3063" customWidth="1"/>
    <col min="7562" max="7562" width="10.125" style="3063" bestFit="1" customWidth="1"/>
    <col min="7563" max="7563" width="7.875" style="3063"/>
    <col min="7564" max="7564" width="10.125" style="3063" bestFit="1" customWidth="1"/>
    <col min="7565" max="7565" width="8.25" style="3063" bestFit="1" customWidth="1"/>
    <col min="7566" max="7566" width="7.875" style="3063"/>
    <col min="7567" max="7567" width="10.125" style="3063" bestFit="1" customWidth="1"/>
    <col min="7568" max="7568" width="8.25" style="3063" bestFit="1" customWidth="1"/>
    <col min="7569" max="7569" width="7.875" style="3063"/>
    <col min="7570" max="7570" width="10.125" style="3063" bestFit="1" customWidth="1"/>
    <col min="7571" max="7571" width="8.25" style="3063" bestFit="1" customWidth="1"/>
    <col min="7572" max="7572" width="7.875" style="3063"/>
    <col min="7573" max="7573" width="10.125" style="3063" bestFit="1" customWidth="1"/>
    <col min="7574" max="7575" width="8.25" style="3063" bestFit="1" customWidth="1"/>
    <col min="7576" max="7576" width="10.125" style="3063" bestFit="1" customWidth="1"/>
    <col min="7577" max="7577" width="8.25" style="3063" bestFit="1" customWidth="1"/>
    <col min="7578" max="7578" width="7.875" style="3063"/>
    <col min="7579" max="7579" width="10.125" style="3063" bestFit="1" customWidth="1"/>
    <col min="7580" max="7580" width="9.125" style="3063" bestFit="1" customWidth="1"/>
    <col min="7581" max="7581" width="7.875" style="3063"/>
    <col min="7582" max="7582" width="10.125" style="3063" bestFit="1" customWidth="1"/>
    <col min="7583" max="7583" width="9.125" style="3063" bestFit="1" customWidth="1"/>
    <col min="7584" max="7584" width="7.875" style="3063"/>
    <col min="7585" max="7585" width="10.125" style="3063" bestFit="1" customWidth="1"/>
    <col min="7586" max="7586" width="9.125" style="3063" bestFit="1" customWidth="1"/>
    <col min="7587" max="7587" width="7.875" style="3063"/>
    <col min="7588" max="7588" width="10.125" style="3063" bestFit="1" customWidth="1"/>
    <col min="7589" max="7589" width="9.125" style="3063" bestFit="1" customWidth="1"/>
    <col min="7590" max="7590" width="7.875" style="3063"/>
    <col min="7591" max="7591" width="10.125" style="3063" bestFit="1" customWidth="1"/>
    <col min="7592" max="7592" width="9.125" style="3063" bestFit="1" customWidth="1"/>
    <col min="7593" max="7593" width="7.875" style="3063"/>
    <col min="7594" max="7594" width="10.125" style="3063" bestFit="1" customWidth="1"/>
    <col min="7595" max="7596" width="8.25" style="3063" bestFit="1" customWidth="1"/>
    <col min="7597" max="7597" width="9.125" style="3063" bestFit="1" customWidth="1"/>
    <col min="7598" max="7598" width="8.25" style="3063" bestFit="1" customWidth="1"/>
    <col min="7599" max="7599" width="7.875" style="3063"/>
    <col min="7600" max="7600" width="9.125" style="3063" bestFit="1" customWidth="1"/>
    <col min="7601" max="7601" width="8.25" style="3063" bestFit="1" customWidth="1"/>
    <col min="7602" max="7602" width="7.875" style="3063"/>
    <col min="7603" max="7603" width="9.125" style="3063" bestFit="1" customWidth="1"/>
    <col min="7604" max="7604" width="8.25" style="3063" bestFit="1" customWidth="1"/>
    <col min="7605" max="7605" width="7.875" style="3063"/>
    <col min="7606" max="7607" width="8.25" style="3063" bestFit="1" customWidth="1"/>
    <col min="7608" max="7608" width="7.875" style="3063"/>
    <col min="7609" max="7610" width="8.25" style="3063" bestFit="1" customWidth="1"/>
    <col min="7611" max="7611" width="7.875" style="3063"/>
    <col min="7612" max="7612" width="9.875" style="3063" bestFit="1" customWidth="1"/>
    <col min="7613" max="7613" width="11.125" style="3063" bestFit="1" customWidth="1"/>
    <col min="7614" max="7614" width="9.125" style="3063" bestFit="1" customWidth="1"/>
    <col min="7615" max="7615" width="9.875" style="3063" bestFit="1" customWidth="1"/>
    <col min="7616" max="7616" width="11.125" style="3063" bestFit="1" customWidth="1"/>
    <col min="7617" max="7617" width="7.875" style="3063"/>
    <col min="7618" max="7618" width="9" style="3063" customWidth="1"/>
    <col min="7619" max="7619" width="8.625" style="3063" customWidth="1"/>
    <col min="7620" max="7680" width="7.875" style="3063"/>
    <col min="7681" max="7681" width="3.875" style="3063" customWidth="1"/>
    <col min="7682" max="7682" width="10.375" style="3063" customWidth="1"/>
    <col min="7683" max="7683" width="10.75" style="3063" customWidth="1"/>
    <col min="7684" max="7684" width="11.625" style="3063" customWidth="1"/>
    <col min="7685" max="7685" width="10" style="3063" customWidth="1"/>
    <col min="7686" max="7686" width="9.375" style="3063" customWidth="1"/>
    <col min="7687" max="7687" width="10.5" style="3063" customWidth="1"/>
    <col min="7688" max="7688" width="12.5" style="3063" customWidth="1"/>
    <col min="7689" max="7689" width="11.75" style="3063" customWidth="1"/>
    <col min="7690" max="7690" width="10.5" style="3063" customWidth="1"/>
    <col min="7691" max="7691" width="12.125" style="3063" customWidth="1"/>
    <col min="7692" max="7692" width="9.75" style="3063" customWidth="1"/>
    <col min="7693" max="7693" width="10" style="3063" customWidth="1"/>
    <col min="7694" max="7694" width="12.25" style="3063" customWidth="1"/>
    <col min="7695" max="7695" width="9.75" style="3063" customWidth="1"/>
    <col min="7696" max="7696" width="8.625" style="3063" customWidth="1"/>
    <col min="7697" max="7697" width="11.25" style="3063" customWidth="1"/>
    <col min="7698" max="7698" width="11.125" style="3063" customWidth="1"/>
    <col min="7699" max="7699" width="10.625" style="3063" customWidth="1"/>
    <col min="7700" max="7700" width="11.125" style="3063" customWidth="1"/>
    <col min="7701" max="7701" width="10.125" style="3063" customWidth="1"/>
    <col min="7702" max="7702" width="12.125" style="3063" customWidth="1"/>
    <col min="7703" max="7703" width="7.75" style="3063" customWidth="1"/>
    <col min="7704" max="7704" width="8.125" style="3063" customWidth="1"/>
    <col min="7705" max="7707" width="10.875" style="3063" bestFit="1" customWidth="1"/>
    <col min="7708" max="7710" width="11.5" style="3063" customWidth="1"/>
    <col min="7711" max="7711" width="11.75" style="3063" customWidth="1"/>
    <col min="7712" max="7712" width="7.75" style="3063" bestFit="1" customWidth="1"/>
    <col min="7713" max="7713" width="11.5" style="3063" bestFit="1" customWidth="1"/>
    <col min="7714" max="7714" width="7.75" style="3063" bestFit="1" customWidth="1"/>
    <col min="7715" max="7715" width="8.75" style="3063" customWidth="1"/>
    <col min="7716" max="7716" width="9.875" style="3063" bestFit="1" customWidth="1"/>
    <col min="7717" max="7717" width="8" style="3063" customWidth="1"/>
    <col min="7718" max="7721" width="7.75" style="3063" bestFit="1" customWidth="1"/>
    <col min="7722" max="7723" width="12.25" style="3063" customWidth="1"/>
    <col min="7724" max="7724" width="10.25" style="3063" customWidth="1"/>
    <col min="7725" max="7725" width="9.25" style="3063" customWidth="1"/>
    <col min="7726" max="7726" width="11" style="3063" customWidth="1"/>
    <col min="7727" max="7727" width="8.375" style="3063" customWidth="1"/>
    <col min="7728" max="7728" width="9.5" style="3063" customWidth="1"/>
    <col min="7729" max="7729" width="13.25" style="3063" customWidth="1"/>
    <col min="7730" max="7730" width="13" style="3063" customWidth="1"/>
    <col min="7731" max="7733" width="10.875" style="3063" customWidth="1"/>
    <col min="7734" max="7734" width="10.5" style="3063" customWidth="1"/>
    <col min="7735" max="7735" width="6.375" style="3063" customWidth="1"/>
    <col min="7736" max="7736" width="6.25" style="3063" customWidth="1"/>
    <col min="7737" max="7737" width="9.875" style="3063" customWidth="1"/>
    <col min="7738" max="7738" width="10.75" style="3063" customWidth="1"/>
    <col min="7739" max="7739" width="9.5" style="3063" customWidth="1"/>
    <col min="7740" max="7743" width="11" style="3063" customWidth="1"/>
    <col min="7744" max="7744" width="10.625" style="3063" customWidth="1"/>
    <col min="7745" max="7745" width="11.875" style="3063" bestFit="1" customWidth="1"/>
    <col min="7746" max="7746" width="9.75" style="3063" bestFit="1" customWidth="1"/>
    <col min="7747" max="7747" width="11.875" style="3063" bestFit="1" customWidth="1"/>
    <col min="7748" max="7748" width="9.75" style="3063" bestFit="1" customWidth="1"/>
    <col min="7749" max="7749" width="11.875" style="3063" bestFit="1" customWidth="1"/>
    <col min="7750" max="7750" width="9.75" style="3063" bestFit="1" customWidth="1"/>
    <col min="7751" max="7751" width="11.375" style="3063" bestFit="1" customWidth="1"/>
    <col min="7752" max="7752" width="9.75" style="3063" bestFit="1" customWidth="1"/>
    <col min="7753" max="7753" width="11.375" style="3063" bestFit="1" customWidth="1"/>
    <col min="7754" max="7754" width="9.75" style="3063" bestFit="1" customWidth="1"/>
    <col min="7755" max="7755" width="11.375" style="3063" bestFit="1" customWidth="1"/>
    <col min="7756" max="7756" width="9.75" style="3063" bestFit="1" customWidth="1"/>
    <col min="7757" max="7757" width="11.375" style="3063" bestFit="1" customWidth="1"/>
    <col min="7758" max="7758" width="9.75" style="3063" bestFit="1" customWidth="1"/>
    <col min="7759" max="7759" width="11.375" style="3063" bestFit="1" customWidth="1"/>
    <col min="7760" max="7760" width="9.75" style="3063" bestFit="1" customWidth="1"/>
    <col min="7761" max="7761" width="10.25" style="3063" bestFit="1" customWidth="1"/>
    <col min="7762" max="7762" width="9.625" style="3063" customWidth="1"/>
    <col min="7763" max="7763" width="10.375" style="3063" customWidth="1"/>
    <col min="7764" max="7764" width="9.25" style="3063" customWidth="1"/>
    <col min="7765" max="7765" width="10" style="3063" customWidth="1"/>
    <col min="7766" max="7766" width="9.75" style="3063" customWidth="1"/>
    <col min="7767" max="7767" width="9.125" style="3063" customWidth="1"/>
    <col min="7768" max="7792" width="9.5" style="3063" customWidth="1"/>
    <col min="7793" max="7793" width="15.5" style="3063" bestFit="1" customWidth="1"/>
    <col min="7794" max="7794" width="13.25" style="3063" bestFit="1" customWidth="1"/>
    <col min="7795" max="7795" width="13.5" style="3063" customWidth="1"/>
    <col min="7796" max="7796" width="12.5" style="3063" bestFit="1" customWidth="1"/>
    <col min="7797" max="7797" width="10.625" style="3063" bestFit="1" customWidth="1"/>
    <col min="7798" max="7798" width="11.375" style="3063" bestFit="1" customWidth="1"/>
    <col min="7799" max="7799" width="11.75" style="3063" bestFit="1" customWidth="1"/>
    <col min="7800" max="7800" width="11.375" style="3063" bestFit="1" customWidth="1"/>
    <col min="7801" max="7801" width="9.375" style="3063" bestFit="1" customWidth="1"/>
    <col min="7802" max="7802" width="11.375" style="3063" bestFit="1" customWidth="1"/>
    <col min="7803" max="7803" width="10.25" style="3063" bestFit="1" customWidth="1"/>
    <col min="7804" max="7804" width="9.375" style="3063" bestFit="1" customWidth="1"/>
    <col min="7805" max="7805" width="11.375" style="3063" bestFit="1" customWidth="1"/>
    <col min="7806" max="7806" width="10.25" style="3063" bestFit="1" customWidth="1"/>
    <col min="7807" max="7807" width="10.125" style="3063" bestFit="1" customWidth="1"/>
    <col min="7808" max="7808" width="10.375" style="3063" bestFit="1" customWidth="1"/>
    <col min="7809" max="7809" width="8.375" style="3063" bestFit="1" customWidth="1"/>
    <col min="7810" max="7810" width="9.125" style="3063" bestFit="1" customWidth="1"/>
    <col min="7811" max="7811" width="10" style="3063" customWidth="1"/>
    <col min="7812" max="7812" width="8.375" style="3063" bestFit="1" customWidth="1"/>
    <col min="7813" max="7813" width="7.875" style="3063"/>
    <col min="7814" max="7814" width="9.25" style="3063" customWidth="1"/>
    <col min="7815" max="7815" width="8.375" style="3063" bestFit="1" customWidth="1"/>
    <col min="7816" max="7816" width="7.875" style="3063"/>
    <col min="7817" max="7817" width="8.625" style="3063" customWidth="1"/>
    <col min="7818" max="7818" width="10.125" style="3063" bestFit="1" customWidth="1"/>
    <col min="7819" max="7819" width="7.875" style="3063"/>
    <col min="7820" max="7820" width="10.125" style="3063" bestFit="1" customWidth="1"/>
    <col min="7821" max="7821" width="8.25" style="3063" bestFit="1" customWidth="1"/>
    <col min="7822" max="7822" width="7.875" style="3063"/>
    <col min="7823" max="7823" width="10.125" style="3063" bestFit="1" customWidth="1"/>
    <col min="7824" max="7824" width="8.25" style="3063" bestFit="1" customWidth="1"/>
    <col min="7825" max="7825" width="7.875" style="3063"/>
    <col min="7826" max="7826" width="10.125" style="3063" bestFit="1" customWidth="1"/>
    <col min="7827" max="7827" width="8.25" style="3063" bestFit="1" customWidth="1"/>
    <col min="7828" max="7828" width="7.875" style="3063"/>
    <col min="7829" max="7829" width="10.125" style="3063" bestFit="1" customWidth="1"/>
    <col min="7830" max="7831" width="8.25" style="3063" bestFit="1" customWidth="1"/>
    <col min="7832" max="7832" width="10.125" style="3063" bestFit="1" customWidth="1"/>
    <col min="7833" max="7833" width="8.25" style="3063" bestFit="1" customWidth="1"/>
    <col min="7834" max="7834" width="7.875" style="3063"/>
    <col min="7835" max="7835" width="10.125" style="3063" bestFit="1" customWidth="1"/>
    <col min="7836" max="7836" width="9.125" style="3063" bestFit="1" customWidth="1"/>
    <col min="7837" max="7837" width="7.875" style="3063"/>
    <col min="7838" max="7838" width="10.125" style="3063" bestFit="1" customWidth="1"/>
    <col min="7839" max="7839" width="9.125" style="3063" bestFit="1" customWidth="1"/>
    <col min="7840" max="7840" width="7.875" style="3063"/>
    <col min="7841" max="7841" width="10.125" style="3063" bestFit="1" customWidth="1"/>
    <col min="7842" max="7842" width="9.125" style="3063" bestFit="1" customWidth="1"/>
    <col min="7843" max="7843" width="7.875" style="3063"/>
    <col min="7844" max="7844" width="10.125" style="3063" bestFit="1" customWidth="1"/>
    <col min="7845" max="7845" width="9.125" style="3063" bestFit="1" customWidth="1"/>
    <col min="7846" max="7846" width="7.875" style="3063"/>
    <col min="7847" max="7847" width="10.125" style="3063" bestFit="1" customWidth="1"/>
    <col min="7848" max="7848" width="9.125" style="3063" bestFit="1" customWidth="1"/>
    <col min="7849" max="7849" width="7.875" style="3063"/>
    <col min="7850" max="7850" width="10.125" style="3063" bestFit="1" customWidth="1"/>
    <col min="7851" max="7852" width="8.25" style="3063" bestFit="1" customWidth="1"/>
    <col min="7853" max="7853" width="9.125" style="3063" bestFit="1" customWidth="1"/>
    <col min="7854" max="7854" width="8.25" style="3063" bestFit="1" customWidth="1"/>
    <col min="7855" max="7855" width="7.875" style="3063"/>
    <col min="7856" max="7856" width="9.125" style="3063" bestFit="1" customWidth="1"/>
    <col min="7857" max="7857" width="8.25" style="3063" bestFit="1" customWidth="1"/>
    <col min="7858" max="7858" width="7.875" style="3063"/>
    <col min="7859" max="7859" width="9.125" style="3063" bestFit="1" customWidth="1"/>
    <col min="7860" max="7860" width="8.25" style="3063" bestFit="1" customWidth="1"/>
    <col min="7861" max="7861" width="7.875" style="3063"/>
    <col min="7862" max="7863" width="8.25" style="3063" bestFit="1" customWidth="1"/>
    <col min="7864" max="7864" width="7.875" style="3063"/>
    <col min="7865" max="7866" width="8.25" style="3063" bestFit="1" customWidth="1"/>
    <col min="7867" max="7867" width="7.875" style="3063"/>
    <col min="7868" max="7868" width="9.875" style="3063" bestFit="1" customWidth="1"/>
    <col min="7869" max="7869" width="11.125" style="3063" bestFit="1" customWidth="1"/>
    <col min="7870" max="7870" width="9.125" style="3063" bestFit="1" customWidth="1"/>
    <col min="7871" max="7871" width="9.875" style="3063" bestFit="1" customWidth="1"/>
    <col min="7872" max="7872" width="11.125" style="3063" bestFit="1" customWidth="1"/>
    <col min="7873" max="7873" width="7.875" style="3063"/>
    <col min="7874" max="7874" width="9" style="3063" customWidth="1"/>
    <col min="7875" max="7875" width="8.625" style="3063" customWidth="1"/>
    <col min="7876" max="7936" width="7.875" style="3063"/>
    <col min="7937" max="7937" width="3.875" style="3063" customWidth="1"/>
    <col min="7938" max="7938" width="10.375" style="3063" customWidth="1"/>
    <col min="7939" max="7939" width="10.75" style="3063" customWidth="1"/>
    <col min="7940" max="7940" width="11.625" style="3063" customWidth="1"/>
    <col min="7941" max="7941" width="10" style="3063" customWidth="1"/>
    <col min="7942" max="7942" width="9.375" style="3063" customWidth="1"/>
    <col min="7943" max="7943" width="10.5" style="3063" customWidth="1"/>
    <col min="7944" max="7944" width="12.5" style="3063" customWidth="1"/>
    <col min="7945" max="7945" width="11.75" style="3063" customWidth="1"/>
    <col min="7946" max="7946" width="10.5" style="3063" customWidth="1"/>
    <col min="7947" max="7947" width="12.125" style="3063" customWidth="1"/>
    <col min="7948" max="7948" width="9.75" style="3063" customWidth="1"/>
    <col min="7949" max="7949" width="10" style="3063" customWidth="1"/>
    <col min="7950" max="7950" width="12.25" style="3063" customWidth="1"/>
    <col min="7951" max="7951" width="9.75" style="3063" customWidth="1"/>
    <col min="7952" max="7952" width="8.625" style="3063" customWidth="1"/>
    <col min="7953" max="7953" width="11.25" style="3063" customWidth="1"/>
    <col min="7954" max="7954" width="11.125" style="3063" customWidth="1"/>
    <col min="7955" max="7955" width="10.625" style="3063" customWidth="1"/>
    <col min="7956" max="7956" width="11.125" style="3063" customWidth="1"/>
    <col min="7957" max="7957" width="10.125" style="3063" customWidth="1"/>
    <col min="7958" max="7958" width="12.125" style="3063" customWidth="1"/>
    <col min="7959" max="7959" width="7.75" style="3063" customWidth="1"/>
    <col min="7960" max="7960" width="8.125" style="3063" customWidth="1"/>
    <col min="7961" max="7963" width="10.875" style="3063" bestFit="1" customWidth="1"/>
    <col min="7964" max="7966" width="11.5" style="3063" customWidth="1"/>
    <col min="7967" max="7967" width="11.75" style="3063" customWidth="1"/>
    <col min="7968" max="7968" width="7.75" style="3063" bestFit="1" customWidth="1"/>
    <col min="7969" max="7969" width="11.5" style="3063" bestFit="1" customWidth="1"/>
    <col min="7970" max="7970" width="7.75" style="3063" bestFit="1" customWidth="1"/>
    <col min="7971" max="7971" width="8.75" style="3063" customWidth="1"/>
    <col min="7972" max="7972" width="9.875" style="3063" bestFit="1" customWidth="1"/>
    <col min="7973" max="7973" width="8" style="3063" customWidth="1"/>
    <col min="7974" max="7977" width="7.75" style="3063" bestFit="1" customWidth="1"/>
    <col min="7978" max="7979" width="12.25" style="3063" customWidth="1"/>
    <col min="7980" max="7980" width="10.25" style="3063" customWidth="1"/>
    <col min="7981" max="7981" width="9.25" style="3063" customWidth="1"/>
    <col min="7982" max="7982" width="11" style="3063" customWidth="1"/>
    <col min="7983" max="7983" width="8.375" style="3063" customWidth="1"/>
    <col min="7984" max="7984" width="9.5" style="3063" customWidth="1"/>
    <col min="7985" max="7985" width="13.25" style="3063" customWidth="1"/>
    <col min="7986" max="7986" width="13" style="3063" customWidth="1"/>
    <col min="7987" max="7989" width="10.875" style="3063" customWidth="1"/>
    <col min="7990" max="7990" width="10.5" style="3063" customWidth="1"/>
    <col min="7991" max="7991" width="6.375" style="3063" customWidth="1"/>
    <col min="7992" max="7992" width="6.25" style="3063" customWidth="1"/>
    <col min="7993" max="7993" width="9.875" style="3063" customWidth="1"/>
    <col min="7994" max="7994" width="10.75" style="3063" customWidth="1"/>
    <col min="7995" max="7995" width="9.5" style="3063" customWidth="1"/>
    <col min="7996" max="7999" width="11" style="3063" customWidth="1"/>
    <col min="8000" max="8000" width="10.625" style="3063" customWidth="1"/>
    <col min="8001" max="8001" width="11.875" style="3063" bestFit="1" customWidth="1"/>
    <col min="8002" max="8002" width="9.75" style="3063" bestFit="1" customWidth="1"/>
    <col min="8003" max="8003" width="11.875" style="3063" bestFit="1" customWidth="1"/>
    <col min="8004" max="8004" width="9.75" style="3063" bestFit="1" customWidth="1"/>
    <col min="8005" max="8005" width="11.875" style="3063" bestFit="1" customWidth="1"/>
    <col min="8006" max="8006" width="9.75" style="3063" bestFit="1" customWidth="1"/>
    <col min="8007" max="8007" width="11.375" style="3063" bestFit="1" customWidth="1"/>
    <col min="8008" max="8008" width="9.75" style="3063" bestFit="1" customWidth="1"/>
    <col min="8009" max="8009" width="11.375" style="3063" bestFit="1" customWidth="1"/>
    <col min="8010" max="8010" width="9.75" style="3063" bestFit="1" customWidth="1"/>
    <col min="8011" max="8011" width="11.375" style="3063" bestFit="1" customWidth="1"/>
    <col min="8012" max="8012" width="9.75" style="3063" bestFit="1" customWidth="1"/>
    <col min="8013" max="8013" width="11.375" style="3063" bestFit="1" customWidth="1"/>
    <col min="8014" max="8014" width="9.75" style="3063" bestFit="1" customWidth="1"/>
    <col min="8015" max="8015" width="11.375" style="3063" bestFit="1" customWidth="1"/>
    <col min="8016" max="8016" width="9.75" style="3063" bestFit="1" customWidth="1"/>
    <col min="8017" max="8017" width="10.25" style="3063" bestFit="1" customWidth="1"/>
    <col min="8018" max="8018" width="9.625" style="3063" customWidth="1"/>
    <col min="8019" max="8019" width="10.375" style="3063" customWidth="1"/>
    <col min="8020" max="8020" width="9.25" style="3063" customWidth="1"/>
    <col min="8021" max="8021" width="10" style="3063" customWidth="1"/>
    <col min="8022" max="8022" width="9.75" style="3063" customWidth="1"/>
    <col min="8023" max="8023" width="9.125" style="3063" customWidth="1"/>
    <col min="8024" max="8048" width="9.5" style="3063" customWidth="1"/>
    <col min="8049" max="8049" width="15.5" style="3063" bestFit="1" customWidth="1"/>
    <col min="8050" max="8050" width="13.25" style="3063" bestFit="1" customWidth="1"/>
    <col min="8051" max="8051" width="13.5" style="3063" customWidth="1"/>
    <col min="8052" max="8052" width="12.5" style="3063" bestFit="1" customWidth="1"/>
    <col min="8053" max="8053" width="10.625" style="3063" bestFit="1" customWidth="1"/>
    <col min="8054" max="8054" width="11.375" style="3063" bestFit="1" customWidth="1"/>
    <col min="8055" max="8055" width="11.75" style="3063" bestFit="1" customWidth="1"/>
    <col min="8056" max="8056" width="11.375" style="3063" bestFit="1" customWidth="1"/>
    <col min="8057" max="8057" width="9.375" style="3063" bestFit="1" customWidth="1"/>
    <col min="8058" max="8058" width="11.375" style="3063" bestFit="1" customWidth="1"/>
    <col min="8059" max="8059" width="10.25" style="3063" bestFit="1" customWidth="1"/>
    <col min="8060" max="8060" width="9.375" style="3063" bestFit="1" customWidth="1"/>
    <col min="8061" max="8061" width="11.375" style="3063" bestFit="1" customWidth="1"/>
    <col min="8062" max="8062" width="10.25" style="3063" bestFit="1" customWidth="1"/>
    <col min="8063" max="8063" width="10.125" style="3063" bestFit="1" customWidth="1"/>
    <col min="8064" max="8064" width="10.375" style="3063" bestFit="1" customWidth="1"/>
    <col min="8065" max="8065" width="8.375" style="3063" bestFit="1" customWidth="1"/>
    <col min="8066" max="8066" width="9.125" style="3063" bestFit="1" customWidth="1"/>
    <col min="8067" max="8067" width="10" style="3063" customWidth="1"/>
    <col min="8068" max="8068" width="8.375" style="3063" bestFit="1" customWidth="1"/>
    <col min="8069" max="8069" width="7.875" style="3063"/>
    <col min="8070" max="8070" width="9.25" style="3063" customWidth="1"/>
    <col min="8071" max="8071" width="8.375" style="3063" bestFit="1" customWidth="1"/>
    <col min="8072" max="8072" width="7.875" style="3063"/>
    <col min="8073" max="8073" width="8.625" style="3063" customWidth="1"/>
    <col min="8074" max="8074" width="10.125" style="3063" bestFit="1" customWidth="1"/>
    <col min="8075" max="8075" width="7.875" style="3063"/>
    <col min="8076" max="8076" width="10.125" style="3063" bestFit="1" customWidth="1"/>
    <col min="8077" max="8077" width="8.25" style="3063" bestFit="1" customWidth="1"/>
    <col min="8078" max="8078" width="7.875" style="3063"/>
    <col min="8079" max="8079" width="10.125" style="3063" bestFit="1" customWidth="1"/>
    <col min="8080" max="8080" width="8.25" style="3063" bestFit="1" customWidth="1"/>
    <col min="8081" max="8081" width="7.875" style="3063"/>
    <col min="8082" max="8082" width="10.125" style="3063" bestFit="1" customWidth="1"/>
    <col min="8083" max="8083" width="8.25" style="3063" bestFit="1" customWidth="1"/>
    <col min="8084" max="8084" width="7.875" style="3063"/>
    <col min="8085" max="8085" width="10.125" style="3063" bestFit="1" customWidth="1"/>
    <col min="8086" max="8087" width="8.25" style="3063" bestFit="1" customWidth="1"/>
    <col min="8088" max="8088" width="10.125" style="3063" bestFit="1" customWidth="1"/>
    <col min="8089" max="8089" width="8.25" style="3063" bestFit="1" customWidth="1"/>
    <col min="8090" max="8090" width="7.875" style="3063"/>
    <col min="8091" max="8091" width="10.125" style="3063" bestFit="1" customWidth="1"/>
    <col min="8092" max="8092" width="9.125" style="3063" bestFit="1" customWidth="1"/>
    <col min="8093" max="8093" width="7.875" style="3063"/>
    <col min="8094" max="8094" width="10.125" style="3063" bestFit="1" customWidth="1"/>
    <col min="8095" max="8095" width="9.125" style="3063" bestFit="1" customWidth="1"/>
    <col min="8096" max="8096" width="7.875" style="3063"/>
    <col min="8097" max="8097" width="10.125" style="3063" bestFit="1" customWidth="1"/>
    <col min="8098" max="8098" width="9.125" style="3063" bestFit="1" customWidth="1"/>
    <col min="8099" max="8099" width="7.875" style="3063"/>
    <col min="8100" max="8100" width="10.125" style="3063" bestFit="1" customWidth="1"/>
    <col min="8101" max="8101" width="9.125" style="3063" bestFit="1" customWidth="1"/>
    <col min="8102" max="8102" width="7.875" style="3063"/>
    <col min="8103" max="8103" width="10.125" style="3063" bestFit="1" customWidth="1"/>
    <col min="8104" max="8104" width="9.125" style="3063" bestFit="1" customWidth="1"/>
    <col min="8105" max="8105" width="7.875" style="3063"/>
    <col min="8106" max="8106" width="10.125" style="3063" bestFit="1" customWidth="1"/>
    <col min="8107" max="8108" width="8.25" style="3063" bestFit="1" customWidth="1"/>
    <col min="8109" max="8109" width="9.125" style="3063" bestFit="1" customWidth="1"/>
    <col min="8110" max="8110" width="8.25" style="3063" bestFit="1" customWidth="1"/>
    <col min="8111" max="8111" width="7.875" style="3063"/>
    <col min="8112" max="8112" width="9.125" style="3063" bestFit="1" customWidth="1"/>
    <col min="8113" max="8113" width="8.25" style="3063" bestFit="1" customWidth="1"/>
    <col min="8114" max="8114" width="7.875" style="3063"/>
    <col min="8115" max="8115" width="9.125" style="3063" bestFit="1" customWidth="1"/>
    <col min="8116" max="8116" width="8.25" style="3063" bestFit="1" customWidth="1"/>
    <col min="8117" max="8117" width="7.875" style="3063"/>
    <col min="8118" max="8119" width="8.25" style="3063" bestFit="1" customWidth="1"/>
    <col min="8120" max="8120" width="7.875" style="3063"/>
    <col min="8121" max="8122" width="8.25" style="3063" bestFit="1" customWidth="1"/>
    <col min="8123" max="8123" width="7.875" style="3063"/>
    <col min="8124" max="8124" width="9.875" style="3063" bestFit="1" customWidth="1"/>
    <col min="8125" max="8125" width="11.125" style="3063" bestFit="1" customWidth="1"/>
    <col min="8126" max="8126" width="9.125" style="3063" bestFit="1" customWidth="1"/>
    <col min="8127" max="8127" width="9.875" style="3063" bestFit="1" customWidth="1"/>
    <col min="8128" max="8128" width="11.125" style="3063" bestFit="1" customWidth="1"/>
    <col min="8129" max="8129" width="7.875" style="3063"/>
    <col min="8130" max="8130" width="9" style="3063" customWidth="1"/>
    <col min="8131" max="8131" width="8.625" style="3063" customWidth="1"/>
    <col min="8132" max="8192" width="7.875" style="3063"/>
    <col min="8193" max="8193" width="3.875" style="3063" customWidth="1"/>
    <col min="8194" max="8194" width="10.375" style="3063" customWidth="1"/>
    <col min="8195" max="8195" width="10.75" style="3063" customWidth="1"/>
    <col min="8196" max="8196" width="11.625" style="3063" customWidth="1"/>
    <col min="8197" max="8197" width="10" style="3063" customWidth="1"/>
    <col min="8198" max="8198" width="9.375" style="3063" customWidth="1"/>
    <col min="8199" max="8199" width="10.5" style="3063" customWidth="1"/>
    <col min="8200" max="8200" width="12.5" style="3063" customWidth="1"/>
    <col min="8201" max="8201" width="11.75" style="3063" customWidth="1"/>
    <col min="8202" max="8202" width="10.5" style="3063" customWidth="1"/>
    <col min="8203" max="8203" width="12.125" style="3063" customWidth="1"/>
    <col min="8204" max="8204" width="9.75" style="3063" customWidth="1"/>
    <col min="8205" max="8205" width="10" style="3063" customWidth="1"/>
    <col min="8206" max="8206" width="12.25" style="3063" customWidth="1"/>
    <col min="8207" max="8207" width="9.75" style="3063" customWidth="1"/>
    <col min="8208" max="8208" width="8.625" style="3063" customWidth="1"/>
    <col min="8209" max="8209" width="11.25" style="3063" customWidth="1"/>
    <col min="8210" max="8210" width="11.125" style="3063" customWidth="1"/>
    <col min="8211" max="8211" width="10.625" style="3063" customWidth="1"/>
    <col min="8212" max="8212" width="11.125" style="3063" customWidth="1"/>
    <col min="8213" max="8213" width="10.125" style="3063" customWidth="1"/>
    <col min="8214" max="8214" width="12.125" style="3063" customWidth="1"/>
    <col min="8215" max="8215" width="7.75" style="3063" customWidth="1"/>
    <col min="8216" max="8216" width="8.125" style="3063" customWidth="1"/>
    <col min="8217" max="8219" width="10.875" style="3063" bestFit="1" customWidth="1"/>
    <col min="8220" max="8222" width="11.5" style="3063" customWidth="1"/>
    <col min="8223" max="8223" width="11.75" style="3063" customWidth="1"/>
    <col min="8224" max="8224" width="7.75" style="3063" bestFit="1" customWidth="1"/>
    <col min="8225" max="8225" width="11.5" style="3063" bestFit="1" customWidth="1"/>
    <col min="8226" max="8226" width="7.75" style="3063" bestFit="1" customWidth="1"/>
    <col min="8227" max="8227" width="8.75" style="3063" customWidth="1"/>
    <col min="8228" max="8228" width="9.875" style="3063" bestFit="1" customWidth="1"/>
    <col min="8229" max="8229" width="8" style="3063" customWidth="1"/>
    <col min="8230" max="8233" width="7.75" style="3063" bestFit="1" customWidth="1"/>
    <col min="8234" max="8235" width="12.25" style="3063" customWidth="1"/>
    <col min="8236" max="8236" width="10.25" style="3063" customWidth="1"/>
    <col min="8237" max="8237" width="9.25" style="3063" customWidth="1"/>
    <col min="8238" max="8238" width="11" style="3063" customWidth="1"/>
    <col min="8239" max="8239" width="8.375" style="3063" customWidth="1"/>
    <col min="8240" max="8240" width="9.5" style="3063" customWidth="1"/>
    <col min="8241" max="8241" width="13.25" style="3063" customWidth="1"/>
    <col min="8242" max="8242" width="13" style="3063" customWidth="1"/>
    <col min="8243" max="8245" width="10.875" style="3063" customWidth="1"/>
    <col min="8246" max="8246" width="10.5" style="3063" customWidth="1"/>
    <col min="8247" max="8247" width="6.375" style="3063" customWidth="1"/>
    <col min="8248" max="8248" width="6.25" style="3063" customWidth="1"/>
    <col min="8249" max="8249" width="9.875" style="3063" customWidth="1"/>
    <col min="8250" max="8250" width="10.75" style="3063" customWidth="1"/>
    <col min="8251" max="8251" width="9.5" style="3063" customWidth="1"/>
    <col min="8252" max="8255" width="11" style="3063" customWidth="1"/>
    <col min="8256" max="8256" width="10.625" style="3063" customWidth="1"/>
    <col min="8257" max="8257" width="11.875" style="3063" bestFit="1" customWidth="1"/>
    <col min="8258" max="8258" width="9.75" style="3063" bestFit="1" customWidth="1"/>
    <col min="8259" max="8259" width="11.875" style="3063" bestFit="1" customWidth="1"/>
    <col min="8260" max="8260" width="9.75" style="3063" bestFit="1" customWidth="1"/>
    <col min="8261" max="8261" width="11.875" style="3063" bestFit="1" customWidth="1"/>
    <col min="8262" max="8262" width="9.75" style="3063" bestFit="1" customWidth="1"/>
    <col min="8263" max="8263" width="11.375" style="3063" bestFit="1" customWidth="1"/>
    <col min="8264" max="8264" width="9.75" style="3063" bestFit="1" customWidth="1"/>
    <col min="8265" max="8265" width="11.375" style="3063" bestFit="1" customWidth="1"/>
    <col min="8266" max="8266" width="9.75" style="3063" bestFit="1" customWidth="1"/>
    <col min="8267" max="8267" width="11.375" style="3063" bestFit="1" customWidth="1"/>
    <col min="8268" max="8268" width="9.75" style="3063" bestFit="1" customWidth="1"/>
    <col min="8269" max="8269" width="11.375" style="3063" bestFit="1" customWidth="1"/>
    <col min="8270" max="8270" width="9.75" style="3063" bestFit="1" customWidth="1"/>
    <col min="8271" max="8271" width="11.375" style="3063" bestFit="1" customWidth="1"/>
    <col min="8272" max="8272" width="9.75" style="3063" bestFit="1" customWidth="1"/>
    <col min="8273" max="8273" width="10.25" style="3063" bestFit="1" customWidth="1"/>
    <col min="8274" max="8274" width="9.625" style="3063" customWidth="1"/>
    <col min="8275" max="8275" width="10.375" style="3063" customWidth="1"/>
    <col min="8276" max="8276" width="9.25" style="3063" customWidth="1"/>
    <col min="8277" max="8277" width="10" style="3063" customWidth="1"/>
    <col min="8278" max="8278" width="9.75" style="3063" customWidth="1"/>
    <col min="8279" max="8279" width="9.125" style="3063" customWidth="1"/>
    <col min="8280" max="8304" width="9.5" style="3063" customWidth="1"/>
    <col min="8305" max="8305" width="15.5" style="3063" bestFit="1" customWidth="1"/>
    <col min="8306" max="8306" width="13.25" style="3063" bestFit="1" customWidth="1"/>
    <col min="8307" max="8307" width="13.5" style="3063" customWidth="1"/>
    <col min="8308" max="8308" width="12.5" style="3063" bestFit="1" customWidth="1"/>
    <col min="8309" max="8309" width="10.625" style="3063" bestFit="1" customWidth="1"/>
    <col min="8310" max="8310" width="11.375" style="3063" bestFit="1" customWidth="1"/>
    <col min="8311" max="8311" width="11.75" style="3063" bestFit="1" customWidth="1"/>
    <col min="8312" max="8312" width="11.375" style="3063" bestFit="1" customWidth="1"/>
    <col min="8313" max="8313" width="9.375" style="3063" bestFit="1" customWidth="1"/>
    <col min="8314" max="8314" width="11.375" style="3063" bestFit="1" customWidth="1"/>
    <col min="8315" max="8315" width="10.25" style="3063" bestFit="1" customWidth="1"/>
    <col min="8316" max="8316" width="9.375" style="3063" bestFit="1" customWidth="1"/>
    <col min="8317" max="8317" width="11.375" style="3063" bestFit="1" customWidth="1"/>
    <col min="8318" max="8318" width="10.25" style="3063" bestFit="1" customWidth="1"/>
    <col min="8319" max="8319" width="10.125" style="3063" bestFit="1" customWidth="1"/>
    <col min="8320" max="8320" width="10.375" style="3063" bestFit="1" customWidth="1"/>
    <col min="8321" max="8321" width="8.375" style="3063" bestFit="1" customWidth="1"/>
    <col min="8322" max="8322" width="9.125" style="3063" bestFit="1" customWidth="1"/>
    <col min="8323" max="8323" width="10" style="3063" customWidth="1"/>
    <col min="8324" max="8324" width="8.375" style="3063" bestFit="1" customWidth="1"/>
    <col min="8325" max="8325" width="7.875" style="3063"/>
    <col min="8326" max="8326" width="9.25" style="3063" customWidth="1"/>
    <col min="8327" max="8327" width="8.375" style="3063" bestFit="1" customWidth="1"/>
    <col min="8328" max="8328" width="7.875" style="3063"/>
    <col min="8329" max="8329" width="8.625" style="3063" customWidth="1"/>
    <col min="8330" max="8330" width="10.125" style="3063" bestFit="1" customWidth="1"/>
    <col min="8331" max="8331" width="7.875" style="3063"/>
    <col min="8332" max="8332" width="10.125" style="3063" bestFit="1" customWidth="1"/>
    <col min="8333" max="8333" width="8.25" style="3063" bestFit="1" customWidth="1"/>
    <col min="8334" max="8334" width="7.875" style="3063"/>
    <col min="8335" max="8335" width="10.125" style="3063" bestFit="1" customWidth="1"/>
    <col min="8336" max="8336" width="8.25" style="3063" bestFit="1" customWidth="1"/>
    <col min="8337" max="8337" width="7.875" style="3063"/>
    <col min="8338" max="8338" width="10.125" style="3063" bestFit="1" customWidth="1"/>
    <col min="8339" max="8339" width="8.25" style="3063" bestFit="1" customWidth="1"/>
    <col min="8340" max="8340" width="7.875" style="3063"/>
    <col min="8341" max="8341" width="10.125" style="3063" bestFit="1" customWidth="1"/>
    <col min="8342" max="8343" width="8.25" style="3063" bestFit="1" customWidth="1"/>
    <col min="8344" max="8344" width="10.125" style="3063" bestFit="1" customWidth="1"/>
    <col min="8345" max="8345" width="8.25" style="3063" bestFit="1" customWidth="1"/>
    <col min="8346" max="8346" width="7.875" style="3063"/>
    <col min="8347" max="8347" width="10.125" style="3063" bestFit="1" customWidth="1"/>
    <col min="8348" max="8348" width="9.125" style="3063" bestFit="1" customWidth="1"/>
    <col min="8349" max="8349" width="7.875" style="3063"/>
    <col min="8350" max="8350" width="10.125" style="3063" bestFit="1" customWidth="1"/>
    <col min="8351" max="8351" width="9.125" style="3063" bestFit="1" customWidth="1"/>
    <col min="8352" max="8352" width="7.875" style="3063"/>
    <col min="8353" max="8353" width="10.125" style="3063" bestFit="1" customWidth="1"/>
    <col min="8354" max="8354" width="9.125" style="3063" bestFit="1" customWidth="1"/>
    <col min="8355" max="8355" width="7.875" style="3063"/>
    <col min="8356" max="8356" width="10.125" style="3063" bestFit="1" customWidth="1"/>
    <col min="8357" max="8357" width="9.125" style="3063" bestFit="1" customWidth="1"/>
    <col min="8358" max="8358" width="7.875" style="3063"/>
    <col min="8359" max="8359" width="10.125" style="3063" bestFit="1" customWidth="1"/>
    <col min="8360" max="8360" width="9.125" style="3063" bestFit="1" customWidth="1"/>
    <col min="8361" max="8361" width="7.875" style="3063"/>
    <col min="8362" max="8362" width="10.125" style="3063" bestFit="1" customWidth="1"/>
    <col min="8363" max="8364" width="8.25" style="3063" bestFit="1" customWidth="1"/>
    <col min="8365" max="8365" width="9.125" style="3063" bestFit="1" customWidth="1"/>
    <col min="8366" max="8366" width="8.25" style="3063" bestFit="1" customWidth="1"/>
    <col min="8367" max="8367" width="7.875" style="3063"/>
    <col min="8368" max="8368" width="9.125" style="3063" bestFit="1" customWidth="1"/>
    <col min="8369" max="8369" width="8.25" style="3063" bestFit="1" customWidth="1"/>
    <col min="8370" max="8370" width="7.875" style="3063"/>
    <col min="8371" max="8371" width="9.125" style="3063" bestFit="1" customWidth="1"/>
    <col min="8372" max="8372" width="8.25" style="3063" bestFit="1" customWidth="1"/>
    <col min="8373" max="8373" width="7.875" style="3063"/>
    <col min="8374" max="8375" width="8.25" style="3063" bestFit="1" customWidth="1"/>
    <col min="8376" max="8376" width="7.875" style="3063"/>
    <col min="8377" max="8378" width="8.25" style="3063" bestFit="1" customWidth="1"/>
    <col min="8379" max="8379" width="7.875" style="3063"/>
    <col min="8380" max="8380" width="9.875" style="3063" bestFit="1" customWidth="1"/>
    <col min="8381" max="8381" width="11.125" style="3063" bestFit="1" customWidth="1"/>
    <col min="8382" max="8382" width="9.125" style="3063" bestFit="1" customWidth="1"/>
    <col min="8383" max="8383" width="9.875" style="3063" bestFit="1" customWidth="1"/>
    <col min="8384" max="8384" width="11.125" style="3063" bestFit="1" customWidth="1"/>
    <col min="8385" max="8385" width="7.875" style="3063"/>
    <col min="8386" max="8386" width="9" style="3063" customWidth="1"/>
    <col min="8387" max="8387" width="8.625" style="3063" customWidth="1"/>
    <col min="8388" max="8448" width="7.875" style="3063"/>
    <col min="8449" max="8449" width="3.875" style="3063" customWidth="1"/>
    <col min="8450" max="8450" width="10.375" style="3063" customWidth="1"/>
    <col min="8451" max="8451" width="10.75" style="3063" customWidth="1"/>
    <col min="8452" max="8452" width="11.625" style="3063" customWidth="1"/>
    <col min="8453" max="8453" width="10" style="3063" customWidth="1"/>
    <col min="8454" max="8454" width="9.375" style="3063" customWidth="1"/>
    <col min="8455" max="8455" width="10.5" style="3063" customWidth="1"/>
    <col min="8456" max="8456" width="12.5" style="3063" customWidth="1"/>
    <col min="8457" max="8457" width="11.75" style="3063" customWidth="1"/>
    <col min="8458" max="8458" width="10.5" style="3063" customWidth="1"/>
    <col min="8459" max="8459" width="12.125" style="3063" customWidth="1"/>
    <col min="8460" max="8460" width="9.75" style="3063" customWidth="1"/>
    <col min="8461" max="8461" width="10" style="3063" customWidth="1"/>
    <col min="8462" max="8462" width="12.25" style="3063" customWidth="1"/>
    <col min="8463" max="8463" width="9.75" style="3063" customWidth="1"/>
    <col min="8464" max="8464" width="8.625" style="3063" customWidth="1"/>
    <col min="8465" max="8465" width="11.25" style="3063" customWidth="1"/>
    <col min="8466" max="8466" width="11.125" style="3063" customWidth="1"/>
    <col min="8467" max="8467" width="10.625" style="3063" customWidth="1"/>
    <col min="8468" max="8468" width="11.125" style="3063" customWidth="1"/>
    <col min="8469" max="8469" width="10.125" style="3063" customWidth="1"/>
    <col min="8470" max="8470" width="12.125" style="3063" customWidth="1"/>
    <col min="8471" max="8471" width="7.75" style="3063" customWidth="1"/>
    <col min="8472" max="8472" width="8.125" style="3063" customWidth="1"/>
    <col min="8473" max="8475" width="10.875" style="3063" bestFit="1" customWidth="1"/>
    <col min="8476" max="8478" width="11.5" style="3063" customWidth="1"/>
    <col min="8479" max="8479" width="11.75" style="3063" customWidth="1"/>
    <col min="8480" max="8480" width="7.75" style="3063" bestFit="1" customWidth="1"/>
    <col min="8481" max="8481" width="11.5" style="3063" bestFit="1" customWidth="1"/>
    <col min="8482" max="8482" width="7.75" style="3063" bestFit="1" customWidth="1"/>
    <col min="8483" max="8483" width="8.75" style="3063" customWidth="1"/>
    <col min="8484" max="8484" width="9.875" style="3063" bestFit="1" customWidth="1"/>
    <col min="8485" max="8485" width="8" style="3063" customWidth="1"/>
    <col min="8486" max="8489" width="7.75" style="3063" bestFit="1" customWidth="1"/>
    <col min="8490" max="8491" width="12.25" style="3063" customWidth="1"/>
    <col min="8492" max="8492" width="10.25" style="3063" customWidth="1"/>
    <col min="8493" max="8493" width="9.25" style="3063" customWidth="1"/>
    <col min="8494" max="8494" width="11" style="3063" customWidth="1"/>
    <col min="8495" max="8495" width="8.375" style="3063" customWidth="1"/>
    <col min="8496" max="8496" width="9.5" style="3063" customWidth="1"/>
    <col min="8497" max="8497" width="13.25" style="3063" customWidth="1"/>
    <col min="8498" max="8498" width="13" style="3063" customWidth="1"/>
    <col min="8499" max="8501" width="10.875" style="3063" customWidth="1"/>
    <col min="8502" max="8502" width="10.5" style="3063" customWidth="1"/>
    <col min="8503" max="8503" width="6.375" style="3063" customWidth="1"/>
    <col min="8504" max="8504" width="6.25" style="3063" customWidth="1"/>
    <col min="8505" max="8505" width="9.875" style="3063" customWidth="1"/>
    <col min="8506" max="8506" width="10.75" style="3063" customWidth="1"/>
    <col min="8507" max="8507" width="9.5" style="3063" customWidth="1"/>
    <col min="8508" max="8511" width="11" style="3063" customWidth="1"/>
    <col min="8512" max="8512" width="10.625" style="3063" customWidth="1"/>
    <col min="8513" max="8513" width="11.875" style="3063" bestFit="1" customWidth="1"/>
    <col min="8514" max="8514" width="9.75" style="3063" bestFit="1" customWidth="1"/>
    <col min="8515" max="8515" width="11.875" style="3063" bestFit="1" customWidth="1"/>
    <col min="8516" max="8516" width="9.75" style="3063" bestFit="1" customWidth="1"/>
    <col min="8517" max="8517" width="11.875" style="3063" bestFit="1" customWidth="1"/>
    <col min="8518" max="8518" width="9.75" style="3063" bestFit="1" customWidth="1"/>
    <col min="8519" max="8519" width="11.375" style="3063" bestFit="1" customWidth="1"/>
    <col min="8520" max="8520" width="9.75" style="3063" bestFit="1" customWidth="1"/>
    <col min="8521" max="8521" width="11.375" style="3063" bestFit="1" customWidth="1"/>
    <col min="8522" max="8522" width="9.75" style="3063" bestFit="1" customWidth="1"/>
    <col min="8523" max="8523" width="11.375" style="3063" bestFit="1" customWidth="1"/>
    <col min="8524" max="8524" width="9.75" style="3063" bestFit="1" customWidth="1"/>
    <col min="8525" max="8525" width="11.375" style="3063" bestFit="1" customWidth="1"/>
    <col min="8526" max="8526" width="9.75" style="3063" bestFit="1" customWidth="1"/>
    <col min="8527" max="8527" width="11.375" style="3063" bestFit="1" customWidth="1"/>
    <col min="8528" max="8528" width="9.75" style="3063" bestFit="1" customWidth="1"/>
    <col min="8529" max="8529" width="10.25" style="3063" bestFit="1" customWidth="1"/>
    <col min="8530" max="8530" width="9.625" style="3063" customWidth="1"/>
    <col min="8531" max="8531" width="10.375" style="3063" customWidth="1"/>
    <col min="8532" max="8532" width="9.25" style="3063" customWidth="1"/>
    <col min="8533" max="8533" width="10" style="3063" customWidth="1"/>
    <col min="8534" max="8534" width="9.75" style="3063" customWidth="1"/>
    <col min="8535" max="8535" width="9.125" style="3063" customWidth="1"/>
    <col min="8536" max="8560" width="9.5" style="3063" customWidth="1"/>
    <col min="8561" max="8561" width="15.5" style="3063" bestFit="1" customWidth="1"/>
    <col min="8562" max="8562" width="13.25" style="3063" bestFit="1" customWidth="1"/>
    <col min="8563" max="8563" width="13.5" style="3063" customWidth="1"/>
    <col min="8564" max="8564" width="12.5" style="3063" bestFit="1" customWidth="1"/>
    <col min="8565" max="8565" width="10.625" style="3063" bestFit="1" customWidth="1"/>
    <col min="8566" max="8566" width="11.375" style="3063" bestFit="1" customWidth="1"/>
    <col min="8567" max="8567" width="11.75" style="3063" bestFit="1" customWidth="1"/>
    <col min="8568" max="8568" width="11.375" style="3063" bestFit="1" customWidth="1"/>
    <col min="8569" max="8569" width="9.375" style="3063" bestFit="1" customWidth="1"/>
    <col min="8570" max="8570" width="11.375" style="3063" bestFit="1" customWidth="1"/>
    <col min="8571" max="8571" width="10.25" style="3063" bestFit="1" customWidth="1"/>
    <col min="8572" max="8572" width="9.375" style="3063" bestFit="1" customWidth="1"/>
    <col min="8573" max="8573" width="11.375" style="3063" bestFit="1" customWidth="1"/>
    <col min="8574" max="8574" width="10.25" style="3063" bestFit="1" customWidth="1"/>
    <col min="8575" max="8575" width="10.125" style="3063" bestFit="1" customWidth="1"/>
    <col min="8576" max="8576" width="10.375" style="3063" bestFit="1" customWidth="1"/>
    <col min="8577" max="8577" width="8.375" style="3063" bestFit="1" customWidth="1"/>
    <col min="8578" max="8578" width="9.125" style="3063" bestFit="1" customWidth="1"/>
    <col min="8579" max="8579" width="10" style="3063" customWidth="1"/>
    <col min="8580" max="8580" width="8.375" style="3063" bestFit="1" customWidth="1"/>
    <col min="8581" max="8581" width="7.875" style="3063"/>
    <col min="8582" max="8582" width="9.25" style="3063" customWidth="1"/>
    <col min="8583" max="8583" width="8.375" style="3063" bestFit="1" customWidth="1"/>
    <col min="8584" max="8584" width="7.875" style="3063"/>
    <col min="8585" max="8585" width="8.625" style="3063" customWidth="1"/>
    <col min="8586" max="8586" width="10.125" style="3063" bestFit="1" customWidth="1"/>
    <col min="8587" max="8587" width="7.875" style="3063"/>
    <col min="8588" max="8588" width="10.125" style="3063" bestFit="1" customWidth="1"/>
    <col min="8589" max="8589" width="8.25" style="3063" bestFit="1" customWidth="1"/>
    <col min="8590" max="8590" width="7.875" style="3063"/>
    <col min="8591" max="8591" width="10.125" style="3063" bestFit="1" customWidth="1"/>
    <col min="8592" max="8592" width="8.25" style="3063" bestFit="1" customWidth="1"/>
    <col min="8593" max="8593" width="7.875" style="3063"/>
    <col min="8594" max="8594" width="10.125" style="3063" bestFit="1" customWidth="1"/>
    <col min="8595" max="8595" width="8.25" style="3063" bestFit="1" customWidth="1"/>
    <col min="8596" max="8596" width="7.875" style="3063"/>
    <col min="8597" max="8597" width="10.125" style="3063" bestFit="1" customWidth="1"/>
    <col min="8598" max="8599" width="8.25" style="3063" bestFit="1" customWidth="1"/>
    <col min="8600" max="8600" width="10.125" style="3063" bestFit="1" customWidth="1"/>
    <col min="8601" max="8601" width="8.25" style="3063" bestFit="1" customWidth="1"/>
    <col min="8602" max="8602" width="7.875" style="3063"/>
    <col min="8603" max="8603" width="10.125" style="3063" bestFit="1" customWidth="1"/>
    <col min="8604" max="8604" width="9.125" style="3063" bestFit="1" customWidth="1"/>
    <col min="8605" max="8605" width="7.875" style="3063"/>
    <col min="8606" max="8606" width="10.125" style="3063" bestFit="1" customWidth="1"/>
    <col min="8607" max="8607" width="9.125" style="3063" bestFit="1" customWidth="1"/>
    <col min="8608" max="8608" width="7.875" style="3063"/>
    <col min="8609" max="8609" width="10.125" style="3063" bestFit="1" customWidth="1"/>
    <col min="8610" max="8610" width="9.125" style="3063" bestFit="1" customWidth="1"/>
    <col min="8611" max="8611" width="7.875" style="3063"/>
    <col min="8612" max="8612" width="10.125" style="3063" bestFit="1" customWidth="1"/>
    <col min="8613" max="8613" width="9.125" style="3063" bestFit="1" customWidth="1"/>
    <col min="8614" max="8614" width="7.875" style="3063"/>
    <col min="8615" max="8615" width="10.125" style="3063" bestFit="1" customWidth="1"/>
    <col min="8616" max="8616" width="9.125" style="3063" bestFit="1" customWidth="1"/>
    <col min="8617" max="8617" width="7.875" style="3063"/>
    <col min="8618" max="8618" width="10.125" style="3063" bestFit="1" customWidth="1"/>
    <col min="8619" max="8620" width="8.25" style="3063" bestFit="1" customWidth="1"/>
    <col min="8621" max="8621" width="9.125" style="3063" bestFit="1" customWidth="1"/>
    <col min="8622" max="8622" width="8.25" style="3063" bestFit="1" customWidth="1"/>
    <col min="8623" max="8623" width="7.875" style="3063"/>
    <col min="8624" max="8624" width="9.125" style="3063" bestFit="1" customWidth="1"/>
    <col min="8625" max="8625" width="8.25" style="3063" bestFit="1" customWidth="1"/>
    <col min="8626" max="8626" width="7.875" style="3063"/>
    <col min="8627" max="8627" width="9.125" style="3063" bestFit="1" customWidth="1"/>
    <col min="8628" max="8628" width="8.25" style="3063" bestFit="1" customWidth="1"/>
    <col min="8629" max="8629" width="7.875" style="3063"/>
    <col min="8630" max="8631" width="8.25" style="3063" bestFit="1" customWidth="1"/>
    <col min="8632" max="8632" width="7.875" style="3063"/>
    <col min="8633" max="8634" width="8.25" style="3063" bestFit="1" customWidth="1"/>
    <col min="8635" max="8635" width="7.875" style="3063"/>
    <col min="8636" max="8636" width="9.875" style="3063" bestFit="1" customWidth="1"/>
    <col min="8637" max="8637" width="11.125" style="3063" bestFit="1" customWidth="1"/>
    <col min="8638" max="8638" width="9.125" style="3063" bestFit="1" customWidth="1"/>
    <col min="8639" max="8639" width="9.875" style="3063" bestFit="1" customWidth="1"/>
    <col min="8640" max="8640" width="11.125" style="3063" bestFit="1" customWidth="1"/>
    <col min="8641" max="8641" width="7.875" style="3063"/>
    <col min="8642" max="8642" width="9" style="3063" customWidth="1"/>
    <col min="8643" max="8643" width="8.625" style="3063" customWidth="1"/>
    <col min="8644" max="8704" width="7.875" style="3063"/>
    <col min="8705" max="8705" width="3.875" style="3063" customWidth="1"/>
    <col min="8706" max="8706" width="10.375" style="3063" customWidth="1"/>
    <col min="8707" max="8707" width="10.75" style="3063" customWidth="1"/>
    <col min="8708" max="8708" width="11.625" style="3063" customWidth="1"/>
    <col min="8709" max="8709" width="10" style="3063" customWidth="1"/>
    <col min="8710" max="8710" width="9.375" style="3063" customWidth="1"/>
    <col min="8711" max="8711" width="10.5" style="3063" customWidth="1"/>
    <col min="8712" max="8712" width="12.5" style="3063" customWidth="1"/>
    <col min="8713" max="8713" width="11.75" style="3063" customWidth="1"/>
    <col min="8714" max="8714" width="10.5" style="3063" customWidth="1"/>
    <col min="8715" max="8715" width="12.125" style="3063" customWidth="1"/>
    <col min="8716" max="8716" width="9.75" style="3063" customWidth="1"/>
    <col min="8717" max="8717" width="10" style="3063" customWidth="1"/>
    <col min="8718" max="8718" width="12.25" style="3063" customWidth="1"/>
    <col min="8719" max="8719" width="9.75" style="3063" customWidth="1"/>
    <col min="8720" max="8720" width="8.625" style="3063" customWidth="1"/>
    <col min="8721" max="8721" width="11.25" style="3063" customWidth="1"/>
    <col min="8722" max="8722" width="11.125" style="3063" customWidth="1"/>
    <col min="8723" max="8723" width="10.625" style="3063" customWidth="1"/>
    <col min="8724" max="8724" width="11.125" style="3063" customWidth="1"/>
    <col min="8725" max="8725" width="10.125" style="3063" customWidth="1"/>
    <col min="8726" max="8726" width="12.125" style="3063" customWidth="1"/>
    <col min="8727" max="8727" width="7.75" style="3063" customWidth="1"/>
    <col min="8728" max="8728" width="8.125" style="3063" customWidth="1"/>
    <col min="8729" max="8731" width="10.875" style="3063" bestFit="1" customWidth="1"/>
    <col min="8732" max="8734" width="11.5" style="3063" customWidth="1"/>
    <col min="8735" max="8735" width="11.75" style="3063" customWidth="1"/>
    <col min="8736" max="8736" width="7.75" style="3063" bestFit="1" customWidth="1"/>
    <col min="8737" max="8737" width="11.5" style="3063" bestFit="1" customWidth="1"/>
    <col min="8738" max="8738" width="7.75" style="3063" bestFit="1" customWidth="1"/>
    <col min="8739" max="8739" width="8.75" style="3063" customWidth="1"/>
    <col min="8740" max="8740" width="9.875" style="3063" bestFit="1" customWidth="1"/>
    <col min="8741" max="8741" width="8" style="3063" customWidth="1"/>
    <col min="8742" max="8745" width="7.75" style="3063" bestFit="1" customWidth="1"/>
    <col min="8746" max="8747" width="12.25" style="3063" customWidth="1"/>
    <col min="8748" max="8748" width="10.25" style="3063" customWidth="1"/>
    <col min="8749" max="8749" width="9.25" style="3063" customWidth="1"/>
    <col min="8750" max="8750" width="11" style="3063" customWidth="1"/>
    <col min="8751" max="8751" width="8.375" style="3063" customWidth="1"/>
    <col min="8752" max="8752" width="9.5" style="3063" customWidth="1"/>
    <col min="8753" max="8753" width="13.25" style="3063" customWidth="1"/>
    <col min="8754" max="8754" width="13" style="3063" customWidth="1"/>
    <col min="8755" max="8757" width="10.875" style="3063" customWidth="1"/>
    <col min="8758" max="8758" width="10.5" style="3063" customWidth="1"/>
    <col min="8759" max="8759" width="6.375" style="3063" customWidth="1"/>
    <col min="8760" max="8760" width="6.25" style="3063" customWidth="1"/>
    <col min="8761" max="8761" width="9.875" style="3063" customWidth="1"/>
    <col min="8762" max="8762" width="10.75" style="3063" customWidth="1"/>
    <col min="8763" max="8763" width="9.5" style="3063" customWidth="1"/>
    <col min="8764" max="8767" width="11" style="3063" customWidth="1"/>
    <col min="8768" max="8768" width="10.625" style="3063" customWidth="1"/>
    <col min="8769" max="8769" width="11.875" style="3063" bestFit="1" customWidth="1"/>
    <col min="8770" max="8770" width="9.75" style="3063" bestFit="1" customWidth="1"/>
    <col min="8771" max="8771" width="11.875" style="3063" bestFit="1" customWidth="1"/>
    <col min="8772" max="8772" width="9.75" style="3063" bestFit="1" customWidth="1"/>
    <col min="8773" max="8773" width="11.875" style="3063" bestFit="1" customWidth="1"/>
    <col min="8774" max="8774" width="9.75" style="3063" bestFit="1" customWidth="1"/>
    <col min="8775" max="8775" width="11.375" style="3063" bestFit="1" customWidth="1"/>
    <col min="8776" max="8776" width="9.75" style="3063" bestFit="1" customWidth="1"/>
    <col min="8777" max="8777" width="11.375" style="3063" bestFit="1" customWidth="1"/>
    <col min="8778" max="8778" width="9.75" style="3063" bestFit="1" customWidth="1"/>
    <col min="8779" max="8779" width="11.375" style="3063" bestFit="1" customWidth="1"/>
    <col min="8780" max="8780" width="9.75" style="3063" bestFit="1" customWidth="1"/>
    <col min="8781" max="8781" width="11.375" style="3063" bestFit="1" customWidth="1"/>
    <col min="8782" max="8782" width="9.75" style="3063" bestFit="1" customWidth="1"/>
    <col min="8783" max="8783" width="11.375" style="3063" bestFit="1" customWidth="1"/>
    <col min="8784" max="8784" width="9.75" style="3063" bestFit="1" customWidth="1"/>
    <col min="8785" max="8785" width="10.25" style="3063" bestFit="1" customWidth="1"/>
    <col min="8786" max="8786" width="9.625" style="3063" customWidth="1"/>
    <col min="8787" max="8787" width="10.375" style="3063" customWidth="1"/>
    <col min="8788" max="8788" width="9.25" style="3063" customWidth="1"/>
    <col min="8789" max="8789" width="10" style="3063" customWidth="1"/>
    <col min="8790" max="8790" width="9.75" style="3063" customWidth="1"/>
    <col min="8791" max="8791" width="9.125" style="3063" customWidth="1"/>
    <col min="8792" max="8816" width="9.5" style="3063" customWidth="1"/>
    <col min="8817" max="8817" width="15.5" style="3063" bestFit="1" customWidth="1"/>
    <col min="8818" max="8818" width="13.25" style="3063" bestFit="1" customWidth="1"/>
    <col min="8819" max="8819" width="13.5" style="3063" customWidth="1"/>
    <col min="8820" max="8820" width="12.5" style="3063" bestFit="1" customWidth="1"/>
    <col min="8821" max="8821" width="10.625" style="3063" bestFit="1" customWidth="1"/>
    <col min="8822" max="8822" width="11.375" style="3063" bestFit="1" customWidth="1"/>
    <col min="8823" max="8823" width="11.75" style="3063" bestFit="1" customWidth="1"/>
    <col min="8824" max="8824" width="11.375" style="3063" bestFit="1" customWidth="1"/>
    <col min="8825" max="8825" width="9.375" style="3063" bestFit="1" customWidth="1"/>
    <col min="8826" max="8826" width="11.375" style="3063" bestFit="1" customWidth="1"/>
    <col min="8827" max="8827" width="10.25" style="3063" bestFit="1" customWidth="1"/>
    <col min="8828" max="8828" width="9.375" style="3063" bestFit="1" customWidth="1"/>
    <col min="8829" max="8829" width="11.375" style="3063" bestFit="1" customWidth="1"/>
    <col min="8830" max="8830" width="10.25" style="3063" bestFit="1" customWidth="1"/>
    <col min="8831" max="8831" width="10.125" style="3063" bestFit="1" customWidth="1"/>
    <col min="8832" max="8832" width="10.375" style="3063" bestFit="1" customWidth="1"/>
    <col min="8833" max="8833" width="8.375" style="3063" bestFit="1" customWidth="1"/>
    <col min="8834" max="8834" width="9.125" style="3063" bestFit="1" customWidth="1"/>
    <col min="8835" max="8835" width="10" style="3063" customWidth="1"/>
    <col min="8836" max="8836" width="8.375" style="3063" bestFit="1" customWidth="1"/>
    <col min="8837" max="8837" width="7.875" style="3063"/>
    <col min="8838" max="8838" width="9.25" style="3063" customWidth="1"/>
    <col min="8839" max="8839" width="8.375" style="3063" bestFit="1" customWidth="1"/>
    <col min="8840" max="8840" width="7.875" style="3063"/>
    <col min="8841" max="8841" width="8.625" style="3063" customWidth="1"/>
    <col min="8842" max="8842" width="10.125" style="3063" bestFit="1" customWidth="1"/>
    <col min="8843" max="8843" width="7.875" style="3063"/>
    <col min="8844" max="8844" width="10.125" style="3063" bestFit="1" customWidth="1"/>
    <col min="8845" max="8845" width="8.25" style="3063" bestFit="1" customWidth="1"/>
    <col min="8846" max="8846" width="7.875" style="3063"/>
    <col min="8847" max="8847" width="10.125" style="3063" bestFit="1" customWidth="1"/>
    <col min="8848" max="8848" width="8.25" style="3063" bestFit="1" customWidth="1"/>
    <col min="8849" max="8849" width="7.875" style="3063"/>
    <col min="8850" max="8850" width="10.125" style="3063" bestFit="1" customWidth="1"/>
    <col min="8851" max="8851" width="8.25" style="3063" bestFit="1" customWidth="1"/>
    <col min="8852" max="8852" width="7.875" style="3063"/>
    <col min="8853" max="8853" width="10.125" style="3063" bestFit="1" customWidth="1"/>
    <col min="8854" max="8855" width="8.25" style="3063" bestFit="1" customWidth="1"/>
    <col min="8856" max="8856" width="10.125" style="3063" bestFit="1" customWidth="1"/>
    <col min="8857" max="8857" width="8.25" style="3063" bestFit="1" customWidth="1"/>
    <col min="8858" max="8858" width="7.875" style="3063"/>
    <col min="8859" max="8859" width="10.125" style="3063" bestFit="1" customWidth="1"/>
    <col min="8860" max="8860" width="9.125" style="3063" bestFit="1" customWidth="1"/>
    <col min="8861" max="8861" width="7.875" style="3063"/>
    <col min="8862" max="8862" width="10.125" style="3063" bestFit="1" customWidth="1"/>
    <col min="8863" max="8863" width="9.125" style="3063" bestFit="1" customWidth="1"/>
    <col min="8864" max="8864" width="7.875" style="3063"/>
    <col min="8865" max="8865" width="10.125" style="3063" bestFit="1" customWidth="1"/>
    <col min="8866" max="8866" width="9.125" style="3063" bestFit="1" customWidth="1"/>
    <col min="8867" max="8867" width="7.875" style="3063"/>
    <col min="8868" max="8868" width="10.125" style="3063" bestFit="1" customWidth="1"/>
    <col min="8869" max="8869" width="9.125" style="3063" bestFit="1" customWidth="1"/>
    <col min="8870" max="8870" width="7.875" style="3063"/>
    <col min="8871" max="8871" width="10.125" style="3063" bestFit="1" customWidth="1"/>
    <col min="8872" max="8872" width="9.125" style="3063" bestFit="1" customWidth="1"/>
    <col min="8873" max="8873" width="7.875" style="3063"/>
    <col min="8874" max="8874" width="10.125" style="3063" bestFit="1" customWidth="1"/>
    <col min="8875" max="8876" width="8.25" style="3063" bestFit="1" customWidth="1"/>
    <col min="8877" max="8877" width="9.125" style="3063" bestFit="1" customWidth="1"/>
    <col min="8878" max="8878" width="8.25" style="3063" bestFit="1" customWidth="1"/>
    <col min="8879" max="8879" width="7.875" style="3063"/>
    <col min="8880" max="8880" width="9.125" style="3063" bestFit="1" customWidth="1"/>
    <col min="8881" max="8881" width="8.25" style="3063" bestFit="1" customWidth="1"/>
    <col min="8882" max="8882" width="7.875" style="3063"/>
    <col min="8883" max="8883" width="9.125" style="3063" bestFit="1" customWidth="1"/>
    <col min="8884" max="8884" width="8.25" style="3063" bestFit="1" customWidth="1"/>
    <col min="8885" max="8885" width="7.875" style="3063"/>
    <col min="8886" max="8887" width="8.25" style="3063" bestFit="1" customWidth="1"/>
    <col min="8888" max="8888" width="7.875" style="3063"/>
    <col min="8889" max="8890" width="8.25" style="3063" bestFit="1" customWidth="1"/>
    <col min="8891" max="8891" width="7.875" style="3063"/>
    <col min="8892" max="8892" width="9.875" style="3063" bestFit="1" customWidth="1"/>
    <col min="8893" max="8893" width="11.125" style="3063" bestFit="1" customWidth="1"/>
    <col min="8894" max="8894" width="9.125" style="3063" bestFit="1" customWidth="1"/>
    <col min="8895" max="8895" width="9.875" style="3063" bestFit="1" customWidth="1"/>
    <col min="8896" max="8896" width="11.125" style="3063" bestFit="1" customWidth="1"/>
    <col min="8897" max="8897" width="7.875" style="3063"/>
    <col min="8898" max="8898" width="9" style="3063" customWidth="1"/>
    <col min="8899" max="8899" width="8.625" style="3063" customWidth="1"/>
    <col min="8900" max="8960" width="7.875" style="3063"/>
    <col min="8961" max="8961" width="3.875" style="3063" customWidth="1"/>
    <col min="8962" max="8962" width="10.375" style="3063" customWidth="1"/>
    <col min="8963" max="8963" width="10.75" style="3063" customWidth="1"/>
    <col min="8964" max="8964" width="11.625" style="3063" customWidth="1"/>
    <col min="8965" max="8965" width="10" style="3063" customWidth="1"/>
    <col min="8966" max="8966" width="9.375" style="3063" customWidth="1"/>
    <col min="8967" max="8967" width="10.5" style="3063" customWidth="1"/>
    <col min="8968" max="8968" width="12.5" style="3063" customWidth="1"/>
    <col min="8969" max="8969" width="11.75" style="3063" customWidth="1"/>
    <col min="8970" max="8970" width="10.5" style="3063" customWidth="1"/>
    <col min="8971" max="8971" width="12.125" style="3063" customWidth="1"/>
    <col min="8972" max="8972" width="9.75" style="3063" customWidth="1"/>
    <col min="8973" max="8973" width="10" style="3063" customWidth="1"/>
    <col min="8974" max="8974" width="12.25" style="3063" customWidth="1"/>
    <col min="8975" max="8975" width="9.75" style="3063" customWidth="1"/>
    <col min="8976" max="8976" width="8.625" style="3063" customWidth="1"/>
    <col min="8977" max="8977" width="11.25" style="3063" customWidth="1"/>
    <col min="8978" max="8978" width="11.125" style="3063" customWidth="1"/>
    <col min="8979" max="8979" width="10.625" style="3063" customWidth="1"/>
    <col min="8980" max="8980" width="11.125" style="3063" customWidth="1"/>
    <col min="8981" max="8981" width="10.125" style="3063" customWidth="1"/>
    <col min="8982" max="8982" width="12.125" style="3063" customWidth="1"/>
    <col min="8983" max="8983" width="7.75" style="3063" customWidth="1"/>
    <col min="8984" max="8984" width="8.125" style="3063" customWidth="1"/>
    <col min="8985" max="8987" width="10.875" style="3063" bestFit="1" customWidth="1"/>
    <col min="8988" max="8990" width="11.5" style="3063" customWidth="1"/>
    <col min="8991" max="8991" width="11.75" style="3063" customWidth="1"/>
    <col min="8992" max="8992" width="7.75" style="3063" bestFit="1" customWidth="1"/>
    <col min="8993" max="8993" width="11.5" style="3063" bestFit="1" customWidth="1"/>
    <col min="8994" max="8994" width="7.75" style="3063" bestFit="1" customWidth="1"/>
    <col min="8995" max="8995" width="8.75" style="3063" customWidth="1"/>
    <col min="8996" max="8996" width="9.875" style="3063" bestFit="1" customWidth="1"/>
    <col min="8997" max="8997" width="8" style="3063" customWidth="1"/>
    <col min="8998" max="9001" width="7.75" style="3063" bestFit="1" customWidth="1"/>
    <col min="9002" max="9003" width="12.25" style="3063" customWidth="1"/>
    <col min="9004" max="9004" width="10.25" style="3063" customWidth="1"/>
    <col min="9005" max="9005" width="9.25" style="3063" customWidth="1"/>
    <col min="9006" max="9006" width="11" style="3063" customWidth="1"/>
    <col min="9007" max="9007" width="8.375" style="3063" customWidth="1"/>
    <col min="9008" max="9008" width="9.5" style="3063" customWidth="1"/>
    <col min="9009" max="9009" width="13.25" style="3063" customWidth="1"/>
    <col min="9010" max="9010" width="13" style="3063" customWidth="1"/>
    <col min="9011" max="9013" width="10.875" style="3063" customWidth="1"/>
    <col min="9014" max="9014" width="10.5" style="3063" customWidth="1"/>
    <col min="9015" max="9015" width="6.375" style="3063" customWidth="1"/>
    <col min="9016" max="9016" width="6.25" style="3063" customWidth="1"/>
    <col min="9017" max="9017" width="9.875" style="3063" customWidth="1"/>
    <col min="9018" max="9018" width="10.75" style="3063" customWidth="1"/>
    <col min="9019" max="9019" width="9.5" style="3063" customWidth="1"/>
    <col min="9020" max="9023" width="11" style="3063" customWidth="1"/>
    <col min="9024" max="9024" width="10.625" style="3063" customWidth="1"/>
    <col min="9025" max="9025" width="11.875" style="3063" bestFit="1" customWidth="1"/>
    <col min="9026" max="9026" width="9.75" style="3063" bestFit="1" customWidth="1"/>
    <col min="9027" max="9027" width="11.875" style="3063" bestFit="1" customWidth="1"/>
    <col min="9028" max="9028" width="9.75" style="3063" bestFit="1" customWidth="1"/>
    <col min="9029" max="9029" width="11.875" style="3063" bestFit="1" customWidth="1"/>
    <col min="9030" max="9030" width="9.75" style="3063" bestFit="1" customWidth="1"/>
    <col min="9031" max="9031" width="11.375" style="3063" bestFit="1" customWidth="1"/>
    <col min="9032" max="9032" width="9.75" style="3063" bestFit="1" customWidth="1"/>
    <col min="9033" max="9033" width="11.375" style="3063" bestFit="1" customWidth="1"/>
    <col min="9034" max="9034" width="9.75" style="3063" bestFit="1" customWidth="1"/>
    <col min="9035" max="9035" width="11.375" style="3063" bestFit="1" customWidth="1"/>
    <col min="9036" max="9036" width="9.75" style="3063" bestFit="1" customWidth="1"/>
    <col min="9037" max="9037" width="11.375" style="3063" bestFit="1" customWidth="1"/>
    <col min="9038" max="9038" width="9.75" style="3063" bestFit="1" customWidth="1"/>
    <col min="9039" max="9039" width="11.375" style="3063" bestFit="1" customWidth="1"/>
    <col min="9040" max="9040" width="9.75" style="3063" bestFit="1" customWidth="1"/>
    <col min="9041" max="9041" width="10.25" style="3063" bestFit="1" customWidth="1"/>
    <col min="9042" max="9042" width="9.625" style="3063" customWidth="1"/>
    <col min="9043" max="9043" width="10.375" style="3063" customWidth="1"/>
    <col min="9044" max="9044" width="9.25" style="3063" customWidth="1"/>
    <col min="9045" max="9045" width="10" style="3063" customWidth="1"/>
    <col min="9046" max="9046" width="9.75" style="3063" customWidth="1"/>
    <col min="9047" max="9047" width="9.125" style="3063" customWidth="1"/>
    <col min="9048" max="9072" width="9.5" style="3063" customWidth="1"/>
    <col min="9073" max="9073" width="15.5" style="3063" bestFit="1" customWidth="1"/>
    <col min="9074" max="9074" width="13.25" style="3063" bestFit="1" customWidth="1"/>
    <col min="9075" max="9075" width="13.5" style="3063" customWidth="1"/>
    <col min="9076" max="9076" width="12.5" style="3063" bestFit="1" customWidth="1"/>
    <col min="9077" max="9077" width="10.625" style="3063" bestFit="1" customWidth="1"/>
    <col min="9078" max="9078" width="11.375" style="3063" bestFit="1" customWidth="1"/>
    <col min="9079" max="9079" width="11.75" style="3063" bestFit="1" customWidth="1"/>
    <col min="9080" max="9080" width="11.375" style="3063" bestFit="1" customWidth="1"/>
    <col min="9081" max="9081" width="9.375" style="3063" bestFit="1" customWidth="1"/>
    <col min="9082" max="9082" width="11.375" style="3063" bestFit="1" customWidth="1"/>
    <col min="9083" max="9083" width="10.25" style="3063" bestFit="1" customWidth="1"/>
    <col min="9084" max="9084" width="9.375" style="3063" bestFit="1" customWidth="1"/>
    <col min="9085" max="9085" width="11.375" style="3063" bestFit="1" customWidth="1"/>
    <col min="9086" max="9086" width="10.25" style="3063" bestFit="1" customWidth="1"/>
    <col min="9087" max="9087" width="10.125" style="3063" bestFit="1" customWidth="1"/>
    <col min="9088" max="9088" width="10.375" style="3063" bestFit="1" customWidth="1"/>
    <col min="9089" max="9089" width="8.375" style="3063" bestFit="1" customWidth="1"/>
    <col min="9090" max="9090" width="9.125" style="3063" bestFit="1" customWidth="1"/>
    <col min="9091" max="9091" width="10" style="3063" customWidth="1"/>
    <col min="9092" max="9092" width="8.375" style="3063" bestFit="1" customWidth="1"/>
    <col min="9093" max="9093" width="7.875" style="3063"/>
    <col min="9094" max="9094" width="9.25" style="3063" customWidth="1"/>
    <col min="9095" max="9095" width="8.375" style="3063" bestFit="1" customWidth="1"/>
    <col min="9096" max="9096" width="7.875" style="3063"/>
    <col min="9097" max="9097" width="8.625" style="3063" customWidth="1"/>
    <col min="9098" max="9098" width="10.125" style="3063" bestFit="1" customWidth="1"/>
    <col min="9099" max="9099" width="7.875" style="3063"/>
    <col min="9100" max="9100" width="10.125" style="3063" bestFit="1" customWidth="1"/>
    <col min="9101" max="9101" width="8.25" style="3063" bestFit="1" customWidth="1"/>
    <col min="9102" max="9102" width="7.875" style="3063"/>
    <col min="9103" max="9103" width="10.125" style="3063" bestFit="1" customWidth="1"/>
    <col min="9104" max="9104" width="8.25" style="3063" bestFit="1" customWidth="1"/>
    <col min="9105" max="9105" width="7.875" style="3063"/>
    <col min="9106" max="9106" width="10.125" style="3063" bestFit="1" customWidth="1"/>
    <col min="9107" max="9107" width="8.25" style="3063" bestFit="1" customWidth="1"/>
    <col min="9108" max="9108" width="7.875" style="3063"/>
    <col min="9109" max="9109" width="10.125" style="3063" bestFit="1" customWidth="1"/>
    <col min="9110" max="9111" width="8.25" style="3063" bestFit="1" customWidth="1"/>
    <col min="9112" max="9112" width="10.125" style="3063" bestFit="1" customWidth="1"/>
    <col min="9113" max="9113" width="8.25" style="3063" bestFit="1" customWidth="1"/>
    <col min="9114" max="9114" width="7.875" style="3063"/>
    <col min="9115" max="9115" width="10.125" style="3063" bestFit="1" customWidth="1"/>
    <col min="9116" max="9116" width="9.125" style="3063" bestFit="1" customWidth="1"/>
    <col min="9117" max="9117" width="7.875" style="3063"/>
    <col min="9118" max="9118" width="10.125" style="3063" bestFit="1" customWidth="1"/>
    <col min="9119" max="9119" width="9.125" style="3063" bestFit="1" customWidth="1"/>
    <col min="9120" max="9120" width="7.875" style="3063"/>
    <col min="9121" max="9121" width="10.125" style="3063" bestFit="1" customWidth="1"/>
    <col min="9122" max="9122" width="9.125" style="3063" bestFit="1" customWidth="1"/>
    <col min="9123" max="9123" width="7.875" style="3063"/>
    <col min="9124" max="9124" width="10.125" style="3063" bestFit="1" customWidth="1"/>
    <col min="9125" max="9125" width="9.125" style="3063" bestFit="1" customWidth="1"/>
    <col min="9126" max="9126" width="7.875" style="3063"/>
    <col min="9127" max="9127" width="10.125" style="3063" bestFit="1" customWidth="1"/>
    <col min="9128" max="9128" width="9.125" style="3063" bestFit="1" customWidth="1"/>
    <col min="9129" max="9129" width="7.875" style="3063"/>
    <col min="9130" max="9130" width="10.125" style="3063" bestFit="1" customWidth="1"/>
    <col min="9131" max="9132" width="8.25" style="3063" bestFit="1" customWidth="1"/>
    <col min="9133" max="9133" width="9.125" style="3063" bestFit="1" customWidth="1"/>
    <col min="9134" max="9134" width="8.25" style="3063" bestFit="1" customWidth="1"/>
    <col min="9135" max="9135" width="7.875" style="3063"/>
    <col min="9136" max="9136" width="9.125" style="3063" bestFit="1" customWidth="1"/>
    <col min="9137" max="9137" width="8.25" style="3063" bestFit="1" customWidth="1"/>
    <col min="9138" max="9138" width="7.875" style="3063"/>
    <col min="9139" max="9139" width="9.125" style="3063" bestFit="1" customWidth="1"/>
    <col min="9140" max="9140" width="8.25" style="3063" bestFit="1" customWidth="1"/>
    <col min="9141" max="9141" width="7.875" style="3063"/>
    <col min="9142" max="9143" width="8.25" style="3063" bestFit="1" customWidth="1"/>
    <col min="9144" max="9144" width="7.875" style="3063"/>
    <col min="9145" max="9146" width="8.25" style="3063" bestFit="1" customWidth="1"/>
    <col min="9147" max="9147" width="7.875" style="3063"/>
    <col min="9148" max="9148" width="9.875" style="3063" bestFit="1" customWidth="1"/>
    <col min="9149" max="9149" width="11.125" style="3063" bestFit="1" customWidth="1"/>
    <col min="9150" max="9150" width="9.125" style="3063" bestFit="1" customWidth="1"/>
    <col min="9151" max="9151" width="9.875" style="3063" bestFit="1" customWidth="1"/>
    <col min="9152" max="9152" width="11.125" style="3063" bestFit="1" customWidth="1"/>
    <col min="9153" max="9153" width="7.875" style="3063"/>
    <col min="9154" max="9154" width="9" style="3063" customWidth="1"/>
    <col min="9155" max="9155" width="8.625" style="3063" customWidth="1"/>
    <col min="9156" max="9216" width="7.875" style="3063"/>
    <col min="9217" max="9217" width="3.875" style="3063" customWidth="1"/>
    <col min="9218" max="9218" width="10.375" style="3063" customWidth="1"/>
    <col min="9219" max="9219" width="10.75" style="3063" customWidth="1"/>
    <col min="9220" max="9220" width="11.625" style="3063" customWidth="1"/>
    <col min="9221" max="9221" width="10" style="3063" customWidth="1"/>
    <col min="9222" max="9222" width="9.375" style="3063" customWidth="1"/>
    <col min="9223" max="9223" width="10.5" style="3063" customWidth="1"/>
    <col min="9224" max="9224" width="12.5" style="3063" customWidth="1"/>
    <col min="9225" max="9225" width="11.75" style="3063" customWidth="1"/>
    <col min="9226" max="9226" width="10.5" style="3063" customWidth="1"/>
    <col min="9227" max="9227" width="12.125" style="3063" customWidth="1"/>
    <col min="9228" max="9228" width="9.75" style="3063" customWidth="1"/>
    <col min="9229" max="9229" width="10" style="3063" customWidth="1"/>
    <col min="9230" max="9230" width="12.25" style="3063" customWidth="1"/>
    <col min="9231" max="9231" width="9.75" style="3063" customWidth="1"/>
    <col min="9232" max="9232" width="8.625" style="3063" customWidth="1"/>
    <col min="9233" max="9233" width="11.25" style="3063" customWidth="1"/>
    <col min="9234" max="9234" width="11.125" style="3063" customWidth="1"/>
    <col min="9235" max="9235" width="10.625" style="3063" customWidth="1"/>
    <col min="9236" max="9236" width="11.125" style="3063" customWidth="1"/>
    <col min="9237" max="9237" width="10.125" style="3063" customWidth="1"/>
    <col min="9238" max="9238" width="12.125" style="3063" customWidth="1"/>
    <col min="9239" max="9239" width="7.75" style="3063" customWidth="1"/>
    <col min="9240" max="9240" width="8.125" style="3063" customWidth="1"/>
    <col min="9241" max="9243" width="10.875" style="3063" bestFit="1" customWidth="1"/>
    <col min="9244" max="9246" width="11.5" style="3063" customWidth="1"/>
    <col min="9247" max="9247" width="11.75" style="3063" customWidth="1"/>
    <col min="9248" max="9248" width="7.75" style="3063" bestFit="1" customWidth="1"/>
    <col min="9249" max="9249" width="11.5" style="3063" bestFit="1" customWidth="1"/>
    <col min="9250" max="9250" width="7.75" style="3063" bestFit="1" customWidth="1"/>
    <col min="9251" max="9251" width="8.75" style="3063" customWidth="1"/>
    <col min="9252" max="9252" width="9.875" style="3063" bestFit="1" customWidth="1"/>
    <col min="9253" max="9253" width="8" style="3063" customWidth="1"/>
    <col min="9254" max="9257" width="7.75" style="3063" bestFit="1" customWidth="1"/>
    <col min="9258" max="9259" width="12.25" style="3063" customWidth="1"/>
    <col min="9260" max="9260" width="10.25" style="3063" customWidth="1"/>
    <col min="9261" max="9261" width="9.25" style="3063" customWidth="1"/>
    <col min="9262" max="9262" width="11" style="3063" customWidth="1"/>
    <col min="9263" max="9263" width="8.375" style="3063" customWidth="1"/>
    <col min="9264" max="9264" width="9.5" style="3063" customWidth="1"/>
    <col min="9265" max="9265" width="13.25" style="3063" customWidth="1"/>
    <col min="9266" max="9266" width="13" style="3063" customWidth="1"/>
    <col min="9267" max="9269" width="10.875" style="3063" customWidth="1"/>
    <col min="9270" max="9270" width="10.5" style="3063" customWidth="1"/>
    <col min="9271" max="9271" width="6.375" style="3063" customWidth="1"/>
    <col min="9272" max="9272" width="6.25" style="3063" customWidth="1"/>
    <col min="9273" max="9273" width="9.875" style="3063" customWidth="1"/>
    <col min="9274" max="9274" width="10.75" style="3063" customWidth="1"/>
    <col min="9275" max="9275" width="9.5" style="3063" customWidth="1"/>
    <col min="9276" max="9279" width="11" style="3063" customWidth="1"/>
    <col min="9280" max="9280" width="10.625" style="3063" customWidth="1"/>
    <col min="9281" max="9281" width="11.875" style="3063" bestFit="1" customWidth="1"/>
    <col min="9282" max="9282" width="9.75" style="3063" bestFit="1" customWidth="1"/>
    <col min="9283" max="9283" width="11.875" style="3063" bestFit="1" customWidth="1"/>
    <col min="9284" max="9284" width="9.75" style="3063" bestFit="1" customWidth="1"/>
    <col min="9285" max="9285" width="11.875" style="3063" bestFit="1" customWidth="1"/>
    <col min="9286" max="9286" width="9.75" style="3063" bestFit="1" customWidth="1"/>
    <col min="9287" max="9287" width="11.375" style="3063" bestFit="1" customWidth="1"/>
    <col min="9288" max="9288" width="9.75" style="3063" bestFit="1" customWidth="1"/>
    <col min="9289" max="9289" width="11.375" style="3063" bestFit="1" customWidth="1"/>
    <col min="9290" max="9290" width="9.75" style="3063" bestFit="1" customWidth="1"/>
    <col min="9291" max="9291" width="11.375" style="3063" bestFit="1" customWidth="1"/>
    <col min="9292" max="9292" width="9.75" style="3063" bestFit="1" customWidth="1"/>
    <col min="9293" max="9293" width="11.375" style="3063" bestFit="1" customWidth="1"/>
    <col min="9294" max="9294" width="9.75" style="3063" bestFit="1" customWidth="1"/>
    <col min="9295" max="9295" width="11.375" style="3063" bestFit="1" customWidth="1"/>
    <col min="9296" max="9296" width="9.75" style="3063" bestFit="1" customWidth="1"/>
    <col min="9297" max="9297" width="10.25" style="3063" bestFit="1" customWidth="1"/>
    <col min="9298" max="9298" width="9.625" style="3063" customWidth="1"/>
    <col min="9299" max="9299" width="10.375" style="3063" customWidth="1"/>
    <col min="9300" max="9300" width="9.25" style="3063" customWidth="1"/>
    <col min="9301" max="9301" width="10" style="3063" customWidth="1"/>
    <col min="9302" max="9302" width="9.75" style="3063" customWidth="1"/>
    <col min="9303" max="9303" width="9.125" style="3063" customWidth="1"/>
    <col min="9304" max="9328" width="9.5" style="3063" customWidth="1"/>
    <col min="9329" max="9329" width="15.5" style="3063" bestFit="1" customWidth="1"/>
    <col min="9330" max="9330" width="13.25" style="3063" bestFit="1" customWidth="1"/>
    <col min="9331" max="9331" width="13.5" style="3063" customWidth="1"/>
    <col min="9332" max="9332" width="12.5" style="3063" bestFit="1" customWidth="1"/>
    <col min="9333" max="9333" width="10.625" style="3063" bestFit="1" customWidth="1"/>
    <col min="9334" max="9334" width="11.375" style="3063" bestFit="1" customWidth="1"/>
    <col min="9335" max="9335" width="11.75" style="3063" bestFit="1" customWidth="1"/>
    <col min="9336" max="9336" width="11.375" style="3063" bestFit="1" customWidth="1"/>
    <col min="9337" max="9337" width="9.375" style="3063" bestFit="1" customWidth="1"/>
    <col min="9338" max="9338" width="11.375" style="3063" bestFit="1" customWidth="1"/>
    <col min="9339" max="9339" width="10.25" style="3063" bestFit="1" customWidth="1"/>
    <col min="9340" max="9340" width="9.375" style="3063" bestFit="1" customWidth="1"/>
    <col min="9341" max="9341" width="11.375" style="3063" bestFit="1" customWidth="1"/>
    <col min="9342" max="9342" width="10.25" style="3063" bestFit="1" customWidth="1"/>
    <col min="9343" max="9343" width="10.125" style="3063" bestFit="1" customWidth="1"/>
    <col min="9344" max="9344" width="10.375" style="3063" bestFit="1" customWidth="1"/>
    <col min="9345" max="9345" width="8.375" style="3063" bestFit="1" customWidth="1"/>
    <col min="9346" max="9346" width="9.125" style="3063" bestFit="1" customWidth="1"/>
    <col min="9347" max="9347" width="10" style="3063" customWidth="1"/>
    <col min="9348" max="9348" width="8.375" style="3063" bestFit="1" customWidth="1"/>
    <col min="9349" max="9349" width="7.875" style="3063"/>
    <col min="9350" max="9350" width="9.25" style="3063" customWidth="1"/>
    <col min="9351" max="9351" width="8.375" style="3063" bestFit="1" customWidth="1"/>
    <col min="9352" max="9352" width="7.875" style="3063"/>
    <col min="9353" max="9353" width="8.625" style="3063" customWidth="1"/>
    <col min="9354" max="9354" width="10.125" style="3063" bestFit="1" customWidth="1"/>
    <col min="9355" max="9355" width="7.875" style="3063"/>
    <col min="9356" max="9356" width="10.125" style="3063" bestFit="1" customWidth="1"/>
    <col min="9357" max="9357" width="8.25" style="3063" bestFit="1" customWidth="1"/>
    <col min="9358" max="9358" width="7.875" style="3063"/>
    <col min="9359" max="9359" width="10.125" style="3063" bestFit="1" customWidth="1"/>
    <col min="9360" max="9360" width="8.25" style="3063" bestFit="1" customWidth="1"/>
    <col min="9361" max="9361" width="7.875" style="3063"/>
    <col min="9362" max="9362" width="10.125" style="3063" bestFit="1" customWidth="1"/>
    <col min="9363" max="9363" width="8.25" style="3063" bestFit="1" customWidth="1"/>
    <col min="9364" max="9364" width="7.875" style="3063"/>
    <col min="9365" max="9365" width="10.125" style="3063" bestFit="1" customWidth="1"/>
    <col min="9366" max="9367" width="8.25" style="3063" bestFit="1" customWidth="1"/>
    <col min="9368" max="9368" width="10.125" style="3063" bestFit="1" customWidth="1"/>
    <col min="9369" max="9369" width="8.25" style="3063" bestFit="1" customWidth="1"/>
    <col min="9370" max="9370" width="7.875" style="3063"/>
    <col min="9371" max="9371" width="10.125" style="3063" bestFit="1" customWidth="1"/>
    <col min="9372" max="9372" width="9.125" style="3063" bestFit="1" customWidth="1"/>
    <col min="9373" max="9373" width="7.875" style="3063"/>
    <col min="9374" max="9374" width="10.125" style="3063" bestFit="1" customWidth="1"/>
    <col min="9375" max="9375" width="9.125" style="3063" bestFit="1" customWidth="1"/>
    <col min="9376" max="9376" width="7.875" style="3063"/>
    <col min="9377" max="9377" width="10.125" style="3063" bestFit="1" customWidth="1"/>
    <col min="9378" max="9378" width="9.125" style="3063" bestFit="1" customWidth="1"/>
    <col min="9379" max="9379" width="7.875" style="3063"/>
    <col min="9380" max="9380" width="10.125" style="3063" bestFit="1" customWidth="1"/>
    <col min="9381" max="9381" width="9.125" style="3063" bestFit="1" customWidth="1"/>
    <col min="9382" max="9382" width="7.875" style="3063"/>
    <col min="9383" max="9383" width="10.125" style="3063" bestFit="1" customWidth="1"/>
    <col min="9384" max="9384" width="9.125" style="3063" bestFit="1" customWidth="1"/>
    <col min="9385" max="9385" width="7.875" style="3063"/>
    <col min="9386" max="9386" width="10.125" style="3063" bestFit="1" customWidth="1"/>
    <col min="9387" max="9388" width="8.25" style="3063" bestFit="1" customWidth="1"/>
    <col min="9389" max="9389" width="9.125" style="3063" bestFit="1" customWidth="1"/>
    <col min="9390" max="9390" width="8.25" style="3063" bestFit="1" customWidth="1"/>
    <col min="9391" max="9391" width="7.875" style="3063"/>
    <col min="9392" max="9392" width="9.125" style="3063" bestFit="1" customWidth="1"/>
    <col min="9393" max="9393" width="8.25" style="3063" bestFit="1" customWidth="1"/>
    <col min="9394" max="9394" width="7.875" style="3063"/>
    <col min="9395" max="9395" width="9.125" style="3063" bestFit="1" customWidth="1"/>
    <col min="9396" max="9396" width="8.25" style="3063" bestFit="1" customWidth="1"/>
    <col min="9397" max="9397" width="7.875" style="3063"/>
    <col min="9398" max="9399" width="8.25" style="3063" bestFit="1" customWidth="1"/>
    <col min="9400" max="9400" width="7.875" style="3063"/>
    <col min="9401" max="9402" width="8.25" style="3063" bestFit="1" customWidth="1"/>
    <col min="9403" max="9403" width="7.875" style="3063"/>
    <col min="9404" max="9404" width="9.875" style="3063" bestFit="1" customWidth="1"/>
    <col min="9405" max="9405" width="11.125" style="3063" bestFit="1" customWidth="1"/>
    <col min="9406" max="9406" width="9.125" style="3063" bestFit="1" customWidth="1"/>
    <col min="9407" max="9407" width="9.875" style="3063" bestFit="1" customWidth="1"/>
    <col min="9408" max="9408" width="11.125" style="3063" bestFit="1" customWidth="1"/>
    <col min="9409" max="9409" width="7.875" style="3063"/>
    <col min="9410" max="9410" width="9" style="3063" customWidth="1"/>
    <col min="9411" max="9411" width="8.625" style="3063" customWidth="1"/>
    <col min="9412" max="9472" width="7.875" style="3063"/>
    <col min="9473" max="9473" width="3.875" style="3063" customWidth="1"/>
    <col min="9474" max="9474" width="10.375" style="3063" customWidth="1"/>
    <col min="9475" max="9475" width="10.75" style="3063" customWidth="1"/>
    <col min="9476" max="9476" width="11.625" style="3063" customWidth="1"/>
    <col min="9477" max="9477" width="10" style="3063" customWidth="1"/>
    <col min="9478" max="9478" width="9.375" style="3063" customWidth="1"/>
    <col min="9479" max="9479" width="10.5" style="3063" customWidth="1"/>
    <col min="9480" max="9480" width="12.5" style="3063" customWidth="1"/>
    <col min="9481" max="9481" width="11.75" style="3063" customWidth="1"/>
    <col min="9482" max="9482" width="10.5" style="3063" customWidth="1"/>
    <col min="9483" max="9483" width="12.125" style="3063" customWidth="1"/>
    <col min="9484" max="9484" width="9.75" style="3063" customWidth="1"/>
    <col min="9485" max="9485" width="10" style="3063" customWidth="1"/>
    <col min="9486" max="9486" width="12.25" style="3063" customWidth="1"/>
    <col min="9487" max="9487" width="9.75" style="3063" customWidth="1"/>
    <col min="9488" max="9488" width="8.625" style="3063" customWidth="1"/>
    <col min="9489" max="9489" width="11.25" style="3063" customWidth="1"/>
    <col min="9490" max="9490" width="11.125" style="3063" customWidth="1"/>
    <col min="9491" max="9491" width="10.625" style="3063" customWidth="1"/>
    <col min="9492" max="9492" width="11.125" style="3063" customWidth="1"/>
    <col min="9493" max="9493" width="10.125" style="3063" customWidth="1"/>
    <col min="9494" max="9494" width="12.125" style="3063" customWidth="1"/>
    <col min="9495" max="9495" width="7.75" style="3063" customWidth="1"/>
    <col min="9496" max="9496" width="8.125" style="3063" customWidth="1"/>
    <col min="9497" max="9499" width="10.875" style="3063" bestFit="1" customWidth="1"/>
    <col min="9500" max="9502" width="11.5" style="3063" customWidth="1"/>
    <col min="9503" max="9503" width="11.75" style="3063" customWidth="1"/>
    <col min="9504" max="9504" width="7.75" style="3063" bestFit="1" customWidth="1"/>
    <col min="9505" max="9505" width="11.5" style="3063" bestFit="1" customWidth="1"/>
    <col min="9506" max="9506" width="7.75" style="3063" bestFit="1" customWidth="1"/>
    <col min="9507" max="9507" width="8.75" style="3063" customWidth="1"/>
    <col min="9508" max="9508" width="9.875" style="3063" bestFit="1" customWidth="1"/>
    <col min="9509" max="9509" width="8" style="3063" customWidth="1"/>
    <col min="9510" max="9513" width="7.75" style="3063" bestFit="1" customWidth="1"/>
    <col min="9514" max="9515" width="12.25" style="3063" customWidth="1"/>
    <col min="9516" max="9516" width="10.25" style="3063" customWidth="1"/>
    <col min="9517" max="9517" width="9.25" style="3063" customWidth="1"/>
    <col min="9518" max="9518" width="11" style="3063" customWidth="1"/>
    <col min="9519" max="9519" width="8.375" style="3063" customWidth="1"/>
    <col min="9520" max="9520" width="9.5" style="3063" customWidth="1"/>
    <col min="9521" max="9521" width="13.25" style="3063" customWidth="1"/>
    <col min="9522" max="9522" width="13" style="3063" customWidth="1"/>
    <col min="9523" max="9525" width="10.875" style="3063" customWidth="1"/>
    <col min="9526" max="9526" width="10.5" style="3063" customWidth="1"/>
    <col min="9527" max="9527" width="6.375" style="3063" customWidth="1"/>
    <col min="9528" max="9528" width="6.25" style="3063" customWidth="1"/>
    <col min="9529" max="9529" width="9.875" style="3063" customWidth="1"/>
    <col min="9530" max="9530" width="10.75" style="3063" customWidth="1"/>
    <col min="9531" max="9531" width="9.5" style="3063" customWidth="1"/>
    <col min="9532" max="9535" width="11" style="3063" customWidth="1"/>
    <col min="9536" max="9536" width="10.625" style="3063" customWidth="1"/>
    <col min="9537" max="9537" width="11.875" style="3063" bestFit="1" customWidth="1"/>
    <col min="9538" max="9538" width="9.75" style="3063" bestFit="1" customWidth="1"/>
    <col min="9539" max="9539" width="11.875" style="3063" bestFit="1" customWidth="1"/>
    <col min="9540" max="9540" width="9.75" style="3063" bestFit="1" customWidth="1"/>
    <col min="9541" max="9541" width="11.875" style="3063" bestFit="1" customWidth="1"/>
    <col min="9542" max="9542" width="9.75" style="3063" bestFit="1" customWidth="1"/>
    <col min="9543" max="9543" width="11.375" style="3063" bestFit="1" customWidth="1"/>
    <col min="9544" max="9544" width="9.75" style="3063" bestFit="1" customWidth="1"/>
    <col min="9545" max="9545" width="11.375" style="3063" bestFit="1" customWidth="1"/>
    <col min="9546" max="9546" width="9.75" style="3063" bestFit="1" customWidth="1"/>
    <col min="9547" max="9547" width="11.375" style="3063" bestFit="1" customWidth="1"/>
    <col min="9548" max="9548" width="9.75" style="3063" bestFit="1" customWidth="1"/>
    <col min="9549" max="9549" width="11.375" style="3063" bestFit="1" customWidth="1"/>
    <col min="9550" max="9550" width="9.75" style="3063" bestFit="1" customWidth="1"/>
    <col min="9551" max="9551" width="11.375" style="3063" bestFit="1" customWidth="1"/>
    <col min="9552" max="9552" width="9.75" style="3063" bestFit="1" customWidth="1"/>
    <col min="9553" max="9553" width="10.25" style="3063" bestFit="1" customWidth="1"/>
    <col min="9554" max="9554" width="9.625" style="3063" customWidth="1"/>
    <col min="9555" max="9555" width="10.375" style="3063" customWidth="1"/>
    <col min="9556" max="9556" width="9.25" style="3063" customWidth="1"/>
    <col min="9557" max="9557" width="10" style="3063" customWidth="1"/>
    <col min="9558" max="9558" width="9.75" style="3063" customWidth="1"/>
    <col min="9559" max="9559" width="9.125" style="3063" customWidth="1"/>
    <col min="9560" max="9584" width="9.5" style="3063" customWidth="1"/>
    <col min="9585" max="9585" width="15.5" style="3063" bestFit="1" customWidth="1"/>
    <col min="9586" max="9586" width="13.25" style="3063" bestFit="1" customWidth="1"/>
    <col min="9587" max="9587" width="13.5" style="3063" customWidth="1"/>
    <col min="9588" max="9588" width="12.5" style="3063" bestFit="1" customWidth="1"/>
    <col min="9589" max="9589" width="10.625" style="3063" bestFit="1" customWidth="1"/>
    <col min="9590" max="9590" width="11.375" style="3063" bestFit="1" customWidth="1"/>
    <col min="9591" max="9591" width="11.75" style="3063" bestFit="1" customWidth="1"/>
    <col min="9592" max="9592" width="11.375" style="3063" bestFit="1" customWidth="1"/>
    <col min="9593" max="9593" width="9.375" style="3063" bestFit="1" customWidth="1"/>
    <col min="9594" max="9594" width="11.375" style="3063" bestFit="1" customWidth="1"/>
    <col min="9595" max="9595" width="10.25" style="3063" bestFit="1" customWidth="1"/>
    <col min="9596" max="9596" width="9.375" style="3063" bestFit="1" customWidth="1"/>
    <col min="9597" max="9597" width="11.375" style="3063" bestFit="1" customWidth="1"/>
    <col min="9598" max="9598" width="10.25" style="3063" bestFit="1" customWidth="1"/>
    <col min="9599" max="9599" width="10.125" style="3063" bestFit="1" customWidth="1"/>
    <col min="9600" max="9600" width="10.375" style="3063" bestFit="1" customWidth="1"/>
    <col min="9601" max="9601" width="8.375" style="3063" bestFit="1" customWidth="1"/>
    <col min="9602" max="9602" width="9.125" style="3063" bestFit="1" customWidth="1"/>
    <col min="9603" max="9603" width="10" style="3063" customWidth="1"/>
    <col min="9604" max="9604" width="8.375" style="3063" bestFit="1" customWidth="1"/>
    <col min="9605" max="9605" width="7.875" style="3063"/>
    <col min="9606" max="9606" width="9.25" style="3063" customWidth="1"/>
    <col min="9607" max="9607" width="8.375" style="3063" bestFit="1" customWidth="1"/>
    <col min="9608" max="9608" width="7.875" style="3063"/>
    <col min="9609" max="9609" width="8.625" style="3063" customWidth="1"/>
    <col min="9610" max="9610" width="10.125" style="3063" bestFit="1" customWidth="1"/>
    <col min="9611" max="9611" width="7.875" style="3063"/>
    <col min="9612" max="9612" width="10.125" style="3063" bestFit="1" customWidth="1"/>
    <col min="9613" max="9613" width="8.25" style="3063" bestFit="1" customWidth="1"/>
    <col min="9614" max="9614" width="7.875" style="3063"/>
    <col min="9615" max="9615" width="10.125" style="3063" bestFit="1" customWidth="1"/>
    <col min="9616" max="9616" width="8.25" style="3063" bestFit="1" customWidth="1"/>
    <col min="9617" max="9617" width="7.875" style="3063"/>
    <col min="9618" max="9618" width="10.125" style="3063" bestFit="1" customWidth="1"/>
    <col min="9619" max="9619" width="8.25" style="3063" bestFit="1" customWidth="1"/>
    <col min="9620" max="9620" width="7.875" style="3063"/>
    <col min="9621" max="9621" width="10.125" style="3063" bestFit="1" customWidth="1"/>
    <col min="9622" max="9623" width="8.25" style="3063" bestFit="1" customWidth="1"/>
    <col min="9624" max="9624" width="10.125" style="3063" bestFit="1" customWidth="1"/>
    <col min="9625" max="9625" width="8.25" style="3063" bestFit="1" customWidth="1"/>
    <col min="9626" max="9626" width="7.875" style="3063"/>
    <col min="9627" max="9627" width="10.125" style="3063" bestFit="1" customWidth="1"/>
    <col min="9628" max="9628" width="9.125" style="3063" bestFit="1" customWidth="1"/>
    <col min="9629" max="9629" width="7.875" style="3063"/>
    <col min="9630" max="9630" width="10.125" style="3063" bestFit="1" customWidth="1"/>
    <col min="9631" max="9631" width="9.125" style="3063" bestFit="1" customWidth="1"/>
    <col min="9632" max="9632" width="7.875" style="3063"/>
    <col min="9633" max="9633" width="10.125" style="3063" bestFit="1" customWidth="1"/>
    <col min="9634" max="9634" width="9.125" style="3063" bestFit="1" customWidth="1"/>
    <col min="9635" max="9635" width="7.875" style="3063"/>
    <col min="9636" max="9636" width="10.125" style="3063" bestFit="1" customWidth="1"/>
    <col min="9637" max="9637" width="9.125" style="3063" bestFit="1" customWidth="1"/>
    <col min="9638" max="9638" width="7.875" style="3063"/>
    <col min="9639" max="9639" width="10.125" style="3063" bestFit="1" customWidth="1"/>
    <col min="9640" max="9640" width="9.125" style="3063" bestFit="1" customWidth="1"/>
    <col min="9641" max="9641" width="7.875" style="3063"/>
    <col min="9642" max="9642" width="10.125" style="3063" bestFit="1" customWidth="1"/>
    <col min="9643" max="9644" width="8.25" style="3063" bestFit="1" customWidth="1"/>
    <col min="9645" max="9645" width="9.125" style="3063" bestFit="1" customWidth="1"/>
    <col min="9646" max="9646" width="8.25" style="3063" bestFit="1" customWidth="1"/>
    <col min="9647" max="9647" width="7.875" style="3063"/>
    <col min="9648" max="9648" width="9.125" style="3063" bestFit="1" customWidth="1"/>
    <col min="9649" max="9649" width="8.25" style="3063" bestFit="1" customWidth="1"/>
    <col min="9650" max="9650" width="7.875" style="3063"/>
    <col min="9651" max="9651" width="9.125" style="3063" bestFit="1" customWidth="1"/>
    <col min="9652" max="9652" width="8.25" style="3063" bestFit="1" customWidth="1"/>
    <col min="9653" max="9653" width="7.875" style="3063"/>
    <col min="9654" max="9655" width="8.25" style="3063" bestFit="1" customWidth="1"/>
    <col min="9656" max="9656" width="7.875" style="3063"/>
    <col min="9657" max="9658" width="8.25" style="3063" bestFit="1" customWidth="1"/>
    <col min="9659" max="9659" width="7.875" style="3063"/>
    <col min="9660" max="9660" width="9.875" style="3063" bestFit="1" customWidth="1"/>
    <col min="9661" max="9661" width="11.125" style="3063" bestFit="1" customWidth="1"/>
    <col min="9662" max="9662" width="9.125" style="3063" bestFit="1" customWidth="1"/>
    <col min="9663" max="9663" width="9.875" style="3063" bestFit="1" customWidth="1"/>
    <col min="9664" max="9664" width="11.125" style="3063" bestFit="1" customWidth="1"/>
    <col min="9665" max="9665" width="7.875" style="3063"/>
    <col min="9666" max="9666" width="9" style="3063" customWidth="1"/>
    <col min="9667" max="9667" width="8.625" style="3063" customWidth="1"/>
    <col min="9668" max="9728" width="7.875" style="3063"/>
    <col min="9729" max="9729" width="3.875" style="3063" customWidth="1"/>
    <col min="9730" max="9730" width="10.375" style="3063" customWidth="1"/>
    <col min="9731" max="9731" width="10.75" style="3063" customWidth="1"/>
    <col min="9732" max="9732" width="11.625" style="3063" customWidth="1"/>
    <col min="9733" max="9733" width="10" style="3063" customWidth="1"/>
    <col min="9734" max="9734" width="9.375" style="3063" customWidth="1"/>
    <col min="9735" max="9735" width="10.5" style="3063" customWidth="1"/>
    <col min="9736" max="9736" width="12.5" style="3063" customWidth="1"/>
    <col min="9737" max="9737" width="11.75" style="3063" customWidth="1"/>
    <col min="9738" max="9738" width="10.5" style="3063" customWidth="1"/>
    <col min="9739" max="9739" width="12.125" style="3063" customWidth="1"/>
    <col min="9740" max="9740" width="9.75" style="3063" customWidth="1"/>
    <col min="9741" max="9741" width="10" style="3063" customWidth="1"/>
    <col min="9742" max="9742" width="12.25" style="3063" customWidth="1"/>
    <col min="9743" max="9743" width="9.75" style="3063" customWidth="1"/>
    <col min="9744" max="9744" width="8.625" style="3063" customWidth="1"/>
    <col min="9745" max="9745" width="11.25" style="3063" customWidth="1"/>
    <col min="9746" max="9746" width="11.125" style="3063" customWidth="1"/>
    <col min="9747" max="9747" width="10.625" style="3063" customWidth="1"/>
    <col min="9748" max="9748" width="11.125" style="3063" customWidth="1"/>
    <col min="9749" max="9749" width="10.125" style="3063" customWidth="1"/>
    <col min="9750" max="9750" width="12.125" style="3063" customWidth="1"/>
    <col min="9751" max="9751" width="7.75" style="3063" customWidth="1"/>
    <col min="9752" max="9752" width="8.125" style="3063" customWidth="1"/>
    <col min="9753" max="9755" width="10.875" style="3063" bestFit="1" customWidth="1"/>
    <col min="9756" max="9758" width="11.5" style="3063" customWidth="1"/>
    <col min="9759" max="9759" width="11.75" style="3063" customWidth="1"/>
    <col min="9760" max="9760" width="7.75" style="3063" bestFit="1" customWidth="1"/>
    <col min="9761" max="9761" width="11.5" style="3063" bestFit="1" customWidth="1"/>
    <col min="9762" max="9762" width="7.75" style="3063" bestFit="1" customWidth="1"/>
    <col min="9763" max="9763" width="8.75" style="3063" customWidth="1"/>
    <col min="9764" max="9764" width="9.875" style="3063" bestFit="1" customWidth="1"/>
    <col min="9765" max="9765" width="8" style="3063" customWidth="1"/>
    <col min="9766" max="9769" width="7.75" style="3063" bestFit="1" customWidth="1"/>
    <col min="9770" max="9771" width="12.25" style="3063" customWidth="1"/>
    <col min="9772" max="9772" width="10.25" style="3063" customWidth="1"/>
    <col min="9773" max="9773" width="9.25" style="3063" customWidth="1"/>
    <col min="9774" max="9774" width="11" style="3063" customWidth="1"/>
    <col min="9775" max="9775" width="8.375" style="3063" customWidth="1"/>
    <col min="9776" max="9776" width="9.5" style="3063" customWidth="1"/>
    <col min="9777" max="9777" width="13.25" style="3063" customWidth="1"/>
    <col min="9778" max="9778" width="13" style="3063" customWidth="1"/>
    <col min="9779" max="9781" width="10.875" style="3063" customWidth="1"/>
    <col min="9782" max="9782" width="10.5" style="3063" customWidth="1"/>
    <col min="9783" max="9783" width="6.375" style="3063" customWidth="1"/>
    <col min="9784" max="9784" width="6.25" style="3063" customWidth="1"/>
    <col min="9785" max="9785" width="9.875" style="3063" customWidth="1"/>
    <col min="9786" max="9786" width="10.75" style="3063" customWidth="1"/>
    <col min="9787" max="9787" width="9.5" style="3063" customWidth="1"/>
    <col min="9788" max="9791" width="11" style="3063" customWidth="1"/>
    <col min="9792" max="9792" width="10.625" style="3063" customWidth="1"/>
    <col min="9793" max="9793" width="11.875" style="3063" bestFit="1" customWidth="1"/>
    <col min="9794" max="9794" width="9.75" style="3063" bestFit="1" customWidth="1"/>
    <col min="9795" max="9795" width="11.875" style="3063" bestFit="1" customWidth="1"/>
    <col min="9796" max="9796" width="9.75" style="3063" bestFit="1" customWidth="1"/>
    <col min="9797" max="9797" width="11.875" style="3063" bestFit="1" customWidth="1"/>
    <col min="9798" max="9798" width="9.75" style="3063" bestFit="1" customWidth="1"/>
    <col min="9799" max="9799" width="11.375" style="3063" bestFit="1" customWidth="1"/>
    <col min="9800" max="9800" width="9.75" style="3063" bestFit="1" customWidth="1"/>
    <col min="9801" max="9801" width="11.375" style="3063" bestFit="1" customWidth="1"/>
    <col min="9802" max="9802" width="9.75" style="3063" bestFit="1" customWidth="1"/>
    <col min="9803" max="9803" width="11.375" style="3063" bestFit="1" customWidth="1"/>
    <col min="9804" max="9804" width="9.75" style="3063" bestFit="1" customWidth="1"/>
    <col min="9805" max="9805" width="11.375" style="3063" bestFit="1" customWidth="1"/>
    <col min="9806" max="9806" width="9.75" style="3063" bestFit="1" customWidth="1"/>
    <col min="9807" max="9807" width="11.375" style="3063" bestFit="1" customWidth="1"/>
    <col min="9808" max="9808" width="9.75" style="3063" bestFit="1" customWidth="1"/>
    <col min="9809" max="9809" width="10.25" style="3063" bestFit="1" customWidth="1"/>
    <col min="9810" max="9810" width="9.625" style="3063" customWidth="1"/>
    <col min="9811" max="9811" width="10.375" style="3063" customWidth="1"/>
    <col min="9812" max="9812" width="9.25" style="3063" customWidth="1"/>
    <col min="9813" max="9813" width="10" style="3063" customWidth="1"/>
    <col min="9814" max="9814" width="9.75" style="3063" customWidth="1"/>
    <col min="9815" max="9815" width="9.125" style="3063" customWidth="1"/>
    <col min="9816" max="9840" width="9.5" style="3063" customWidth="1"/>
    <col min="9841" max="9841" width="15.5" style="3063" bestFit="1" customWidth="1"/>
    <col min="9842" max="9842" width="13.25" style="3063" bestFit="1" customWidth="1"/>
    <col min="9843" max="9843" width="13.5" style="3063" customWidth="1"/>
    <col min="9844" max="9844" width="12.5" style="3063" bestFit="1" customWidth="1"/>
    <col min="9845" max="9845" width="10.625" style="3063" bestFit="1" customWidth="1"/>
    <col min="9846" max="9846" width="11.375" style="3063" bestFit="1" customWidth="1"/>
    <col min="9847" max="9847" width="11.75" style="3063" bestFit="1" customWidth="1"/>
    <col min="9848" max="9848" width="11.375" style="3063" bestFit="1" customWidth="1"/>
    <col min="9849" max="9849" width="9.375" style="3063" bestFit="1" customWidth="1"/>
    <col min="9850" max="9850" width="11.375" style="3063" bestFit="1" customWidth="1"/>
    <col min="9851" max="9851" width="10.25" style="3063" bestFit="1" customWidth="1"/>
    <col min="9852" max="9852" width="9.375" style="3063" bestFit="1" customWidth="1"/>
    <col min="9853" max="9853" width="11.375" style="3063" bestFit="1" customWidth="1"/>
    <col min="9854" max="9854" width="10.25" style="3063" bestFit="1" customWidth="1"/>
    <col min="9855" max="9855" width="10.125" style="3063" bestFit="1" customWidth="1"/>
    <col min="9856" max="9856" width="10.375" style="3063" bestFit="1" customWidth="1"/>
    <col min="9857" max="9857" width="8.375" style="3063" bestFit="1" customWidth="1"/>
    <col min="9858" max="9858" width="9.125" style="3063" bestFit="1" customWidth="1"/>
    <col min="9859" max="9859" width="10" style="3063" customWidth="1"/>
    <col min="9860" max="9860" width="8.375" style="3063" bestFit="1" customWidth="1"/>
    <col min="9861" max="9861" width="7.875" style="3063"/>
    <col min="9862" max="9862" width="9.25" style="3063" customWidth="1"/>
    <col min="9863" max="9863" width="8.375" style="3063" bestFit="1" customWidth="1"/>
    <col min="9864" max="9864" width="7.875" style="3063"/>
    <col min="9865" max="9865" width="8.625" style="3063" customWidth="1"/>
    <col min="9866" max="9866" width="10.125" style="3063" bestFit="1" customWidth="1"/>
    <col min="9867" max="9867" width="7.875" style="3063"/>
    <col min="9868" max="9868" width="10.125" style="3063" bestFit="1" customWidth="1"/>
    <col min="9869" max="9869" width="8.25" style="3063" bestFit="1" customWidth="1"/>
    <col min="9870" max="9870" width="7.875" style="3063"/>
    <col min="9871" max="9871" width="10.125" style="3063" bestFit="1" customWidth="1"/>
    <col min="9872" max="9872" width="8.25" style="3063" bestFit="1" customWidth="1"/>
    <col min="9873" max="9873" width="7.875" style="3063"/>
    <col min="9874" max="9874" width="10.125" style="3063" bestFit="1" customWidth="1"/>
    <col min="9875" max="9875" width="8.25" style="3063" bestFit="1" customWidth="1"/>
    <col min="9876" max="9876" width="7.875" style="3063"/>
    <col min="9877" max="9877" width="10.125" style="3063" bestFit="1" customWidth="1"/>
    <col min="9878" max="9879" width="8.25" style="3063" bestFit="1" customWidth="1"/>
    <col min="9880" max="9880" width="10.125" style="3063" bestFit="1" customWidth="1"/>
    <col min="9881" max="9881" width="8.25" style="3063" bestFit="1" customWidth="1"/>
    <col min="9882" max="9882" width="7.875" style="3063"/>
    <col min="9883" max="9883" width="10.125" style="3063" bestFit="1" customWidth="1"/>
    <col min="9884" max="9884" width="9.125" style="3063" bestFit="1" customWidth="1"/>
    <col min="9885" max="9885" width="7.875" style="3063"/>
    <col min="9886" max="9886" width="10.125" style="3063" bestFit="1" customWidth="1"/>
    <col min="9887" max="9887" width="9.125" style="3063" bestFit="1" customWidth="1"/>
    <col min="9888" max="9888" width="7.875" style="3063"/>
    <col min="9889" max="9889" width="10.125" style="3063" bestFit="1" customWidth="1"/>
    <col min="9890" max="9890" width="9.125" style="3063" bestFit="1" customWidth="1"/>
    <col min="9891" max="9891" width="7.875" style="3063"/>
    <col min="9892" max="9892" width="10.125" style="3063" bestFit="1" customWidth="1"/>
    <col min="9893" max="9893" width="9.125" style="3063" bestFit="1" customWidth="1"/>
    <col min="9894" max="9894" width="7.875" style="3063"/>
    <col min="9895" max="9895" width="10.125" style="3063" bestFit="1" customWidth="1"/>
    <col min="9896" max="9896" width="9.125" style="3063" bestFit="1" customWidth="1"/>
    <col min="9897" max="9897" width="7.875" style="3063"/>
    <col min="9898" max="9898" width="10.125" style="3063" bestFit="1" customWidth="1"/>
    <col min="9899" max="9900" width="8.25" style="3063" bestFit="1" customWidth="1"/>
    <col min="9901" max="9901" width="9.125" style="3063" bestFit="1" customWidth="1"/>
    <col min="9902" max="9902" width="8.25" style="3063" bestFit="1" customWidth="1"/>
    <col min="9903" max="9903" width="7.875" style="3063"/>
    <col min="9904" max="9904" width="9.125" style="3063" bestFit="1" customWidth="1"/>
    <col min="9905" max="9905" width="8.25" style="3063" bestFit="1" customWidth="1"/>
    <col min="9906" max="9906" width="7.875" style="3063"/>
    <col min="9907" max="9907" width="9.125" style="3063" bestFit="1" customWidth="1"/>
    <col min="9908" max="9908" width="8.25" style="3063" bestFit="1" customWidth="1"/>
    <col min="9909" max="9909" width="7.875" style="3063"/>
    <col min="9910" max="9911" width="8.25" style="3063" bestFit="1" customWidth="1"/>
    <col min="9912" max="9912" width="7.875" style="3063"/>
    <col min="9913" max="9914" width="8.25" style="3063" bestFit="1" customWidth="1"/>
    <col min="9915" max="9915" width="7.875" style="3063"/>
    <col min="9916" max="9916" width="9.875" style="3063" bestFit="1" customWidth="1"/>
    <col min="9917" max="9917" width="11.125" style="3063" bestFit="1" customWidth="1"/>
    <col min="9918" max="9918" width="9.125" style="3063" bestFit="1" customWidth="1"/>
    <col min="9919" max="9919" width="9.875" style="3063" bestFit="1" customWidth="1"/>
    <col min="9920" max="9920" width="11.125" style="3063" bestFit="1" customWidth="1"/>
    <col min="9921" max="9921" width="7.875" style="3063"/>
    <col min="9922" max="9922" width="9" style="3063" customWidth="1"/>
    <col min="9923" max="9923" width="8.625" style="3063" customWidth="1"/>
    <col min="9924" max="9984" width="7.875" style="3063"/>
    <col min="9985" max="9985" width="3.875" style="3063" customWidth="1"/>
    <col min="9986" max="9986" width="10.375" style="3063" customWidth="1"/>
    <col min="9987" max="9987" width="10.75" style="3063" customWidth="1"/>
    <col min="9988" max="9988" width="11.625" style="3063" customWidth="1"/>
    <col min="9989" max="9989" width="10" style="3063" customWidth="1"/>
    <col min="9990" max="9990" width="9.375" style="3063" customWidth="1"/>
    <col min="9991" max="9991" width="10.5" style="3063" customWidth="1"/>
    <col min="9992" max="9992" width="12.5" style="3063" customWidth="1"/>
    <col min="9993" max="9993" width="11.75" style="3063" customWidth="1"/>
    <col min="9994" max="9994" width="10.5" style="3063" customWidth="1"/>
    <col min="9995" max="9995" width="12.125" style="3063" customWidth="1"/>
    <col min="9996" max="9996" width="9.75" style="3063" customWidth="1"/>
    <col min="9997" max="9997" width="10" style="3063" customWidth="1"/>
    <col min="9998" max="9998" width="12.25" style="3063" customWidth="1"/>
    <col min="9999" max="9999" width="9.75" style="3063" customWidth="1"/>
    <col min="10000" max="10000" width="8.625" style="3063" customWidth="1"/>
    <col min="10001" max="10001" width="11.25" style="3063" customWidth="1"/>
    <col min="10002" max="10002" width="11.125" style="3063" customWidth="1"/>
    <col min="10003" max="10003" width="10.625" style="3063" customWidth="1"/>
    <col min="10004" max="10004" width="11.125" style="3063" customWidth="1"/>
    <col min="10005" max="10005" width="10.125" style="3063" customWidth="1"/>
    <col min="10006" max="10006" width="12.125" style="3063" customWidth="1"/>
    <col min="10007" max="10007" width="7.75" style="3063" customWidth="1"/>
    <col min="10008" max="10008" width="8.125" style="3063" customWidth="1"/>
    <col min="10009" max="10011" width="10.875" style="3063" bestFit="1" customWidth="1"/>
    <col min="10012" max="10014" width="11.5" style="3063" customWidth="1"/>
    <col min="10015" max="10015" width="11.75" style="3063" customWidth="1"/>
    <col min="10016" max="10016" width="7.75" style="3063" bestFit="1" customWidth="1"/>
    <col min="10017" max="10017" width="11.5" style="3063" bestFit="1" customWidth="1"/>
    <col min="10018" max="10018" width="7.75" style="3063" bestFit="1" customWidth="1"/>
    <col min="10019" max="10019" width="8.75" style="3063" customWidth="1"/>
    <col min="10020" max="10020" width="9.875" style="3063" bestFit="1" customWidth="1"/>
    <col min="10021" max="10021" width="8" style="3063" customWidth="1"/>
    <col min="10022" max="10025" width="7.75" style="3063" bestFit="1" customWidth="1"/>
    <col min="10026" max="10027" width="12.25" style="3063" customWidth="1"/>
    <col min="10028" max="10028" width="10.25" style="3063" customWidth="1"/>
    <col min="10029" max="10029" width="9.25" style="3063" customWidth="1"/>
    <col min="10030" max="10030" width="11" style="3063" customWidth="1"/>
    <col min="10031" max="10031" width="8.375" style="3063" customWidth="1"/>
    <col min="10032" max="10032" width="9.5" style="3063" customWidth="1"/>
    <col min="10033" max="10033" width="13.25" style="3063" customWidth="1"/>
    <col min="10034" max="10034" width="13" style="3063" customWidth="1"/>
    <col min="10035" max="10037" width="10.875" style="3063" customWidth="1"/>
    <col min="10038" max="10038" width="10.5" style="3063" customWidth="1"/>
    <col min="10039" max="10039" width="6.375" style="3063" customWidth="1"/>
    <col min="10040" max="10040" width="6.25" style="3063" customWidth="1"/>
    <col min="10041" max="10041" width="9.875" style="3063" customWidth="1"/>
    <col min="10042" max="10042" width="10.75" style="3063" customWidth="1"/>
    <col min="10043" max="10043" width="9.5" style="3063" customWidth="1"/>
    <col min="10044" max="10047" width="11" style="3063" customWidth="1"/>
    <col min="10048" max="10048" width="10.625" style="3063" customWidth="1"/>
    <col min="10049" max="10049" width="11.875" style="3063" bestFit="1" customWidth="1"/>
    <col min="10050" max="10050" width="9.75" style="3063" bestFit="1" customWidth="1"/>
    <col min="10051" max="10051" width="11.875" style="3063" bestFit="1" customWidth="1"/>
    <col min="10052" max="10052" width="9.75" style="3063" bestFit="1" customWidth="1"/>
    <col min="10053" max="10053" width="11.875" style="3063" bestFit="1" customWidth="1"/>
    <col min="10054" max="10054" width="9.75" style="3063" bestFit="1" customWidth="1"/>
    <col min="10055" max="10055" width="11.375" style="3063" bestFit="1" customWidth="1"/>
    <col min="10056" max="10056" width="9.75" style="3063" bestFit="1" customWidth="1"/>
    <col min="10057" max="10057" width="11.375" style="3063" bestFit="1" customWidth="1"/>
    <col min="10058" max="10058" width="9.75" style="3063" bestFit="1" customWidth="1"/>
    <col min="10059" max="10059" width="11.375" style="3063" bestFit="1" customWidth="1"/>
    <col min="10060" max="10060" width="9.75" style="3063" bestFit="1" customWidth="1"/>
    <col min="10061" max="10061" width="11.375" style="3063" bestFit="1" customWidth="1"/>
    <col min="10062" max="10062" width="9.75" style="3063" bestFit="1" customWidth="1"/>
    <col min="10063" max="10063" width="11.375" style="3063" bestFit="1" customWidth="1"/>
    <col min="10064" max="10064" width="9.75" style="3063" bestFit="1" customWidth="1"/>
    <col min="10065" max="10065" width="10.25" style="3063" bestFit="1" customWidth="1"/>
    <col min="10066" max="10066" width="9.625" style="3063" customWidth="1"/>
    <col min="10067" max="10067" width="10.375" style="3063" customWidth="1"/>
    <col min="10068" max="10068" width="9.25" style="3063" customWidth="1"/>
    <col min="10069" max="10069" width="10" style="3063" customWidth="1"/>
    <col min="10070" max="10070" width="9.75" style="3063" customWidth="1"/>
    <col min="10071" max="10071" width="9.125" style="3063" customWidth="1"/>
    <col min="10072" max="10096" width="9.5" style="3063" customWidth="1"/>
    <col min="10097" max="10097" width="15.5" style="3063" bestFit="1" customWidth="1"/>
    <col min="10098" max="10098" width="13.25" style="3063" bestFit="1" customWidth="1"/>
    <col min="10099" max="10099" width="13.5" style="3063" customWidth="1"/>
    <col min="10100" max="10100" width="12.5" style="3063" bestFit="1" customWidth="1"/>
    <col min="10101" max="10101" width="10.625" style="3063" bestFit="1" customWidth="1"/>
    <col min="10102" max="10102" width="11.375" style="3063" bestFit="1" customWidth="1"/>
    <col min="10103" max="10103" width="11.75" style="3063" bestFit="1" customWidth="1"/>
    <col min="10104" max="10104" width="11.375" style="3063" bestFit="1" customWidth="1"/>
    <col min="10105" max="10105" width="9.375" style="3063" bestFit="1" customWidth="1"/>
    <col min="10106" max="10106" width="11.375" style="3063" bestFit="1" customWidth="1"/>
    <col min="10107" max="10107" width="10.25" style="3063" bestFit="1" customWidth="1"/>
    <col min="10108" max="10108" width="9.375" style="3063" bestFit="1" customWidth="1"/>
    <col min="10109" max="10109" width="11.375" style="3063" bestFit="1" customWidth="1"/>
    <col min="10110" max="10110" width="10.25" style="3063" bestFit="1" customWidth="1"/>
    <col min="10111" max="10111" width="10.125" style="3063" bestFit="1" customWidth="1"/>
    <col min="10112" max="10112" width="10.375" style="3063" bestFit="1" customWidth="1"/>
    <col min="10113" max="10113" width="8.375" style="3063" bestFit="1" customWidth="1"/>
    <col min="10114" max="10114" width="9.125" style="3063" bestFit="1" customWidth="1"/>
    <col min="10115" max="10115" width="10" style="3063" customWidth="1"/>
    <col min="10116" max="10116" width="8.375" style="3063" bestFit="1" customWidth="1"/>
    <col min="10117" max="10117" width="7.875" style="3063"/>
    <col min="10118" max="10118" width="9.25" style="3063" customWidth="1"/>
    <col min="10119" max="10119" width="8.375" style="3063" bestFit="1" customWidth="1"/>
    <col min="10120" max="10120" width="7.875" style="3063"/>
    <col min="10121" max="10121" width="8.625" style="3063" customWidth="1"/>
    <col min="10122" max="10122" width="10.125" style="3063" bestFit="1" customWidth="1"/>
    <col min="10123" max="10123" width="7.875" style="3063"/>
    <col min="10124" max="10124" width="10.125" style="3063" bestFit="1" customWidth="1"/>
    <col min="10125" max="10125" width="8.25" style="3063" bestFit="1" customWidth="1"/>
    <col min="10126" max="10126" width="7.875" style="3063"/>
    <col min="10127" max="10127" width="10.125" style="3063" bestFit="1" customWidth="1"/>
    <col min="10128" max="10128" width="8.25" style="3063" bestFit="1" customWidth="1"/>
    <col min="10129" max="10129" width="7.875" style="3063"/>
    <col min="10130" max="10130" width="10.125" style="3063" bestFit="1" customWidth="1"/>
    <col min="10131" max="10131" width="8.25" style="3063" bestFit="1" customWidth="1"/>
    <col min="10132" max="10132" width="7.875" style="3063"/>
    <col min="10133" max="10133" width="10.125" style="3063" bestFit="1" customWidth="1"/>
    <col min="10134" max="10135" width="8.25" style="3063" bestFit="1" customWidth="1"/>
    <col min="10136" max="10136" width="10.125" style="3063" bestFit="1" customWidth="1"/>
    <col min="10137" max="10137" width="8.25" style="3063" bestFit="1" customWidth="1"/>
    <col min="10138" max="10138" width="7.875" style="3063"/>
    <col min="10139" max="10139" width="10.125" style="3063" bestFit="1" customWidth="1"/>
    <col min="10140" max="10140" width="9.125" style="3063" bestFit="1" customWidth="1"/>
    <col min="10141" max="10141" width="7.875" style="3063"/>
    <col min="10142" max="10142" width="10.125" style="3063" bestFit="1" customWidth="1"/>
    <col min="10143" max="10143" width="9.125" style="3063" bestFit="1" customWidth="1"/>
    <col min="10144" max="10144" width="7.875" style="3063"/>
    <col min="10145" max="10145" width="10.125" style="3063" bestFit="1" customWidth="1"/>
    <col min="10146" max="10146" width="9.125" style="3063" bestFit="1" customWidth="1"/>
    <col min="10147" max="10147" width="7.875" style="3063"/>
    <col min="10148" max="10148" width="10.125" style="3063" bestFit="1" customWidth="1"/>
    <col min="10149" max="10149" width="9.125" style="3063" bestFit="1" customWidth="1"/>
    <col min="10150" max="10150" width="7.875" style="3063"/>
    <col min="10151" max="10151" width="10.125" style="3063" bestFit="1" customWidth="1"/>
    <col min="10152" max="10152" width="9.125" style="3063" bestFit="1" customWidth="1"/>
    <col min="10153" max="10153" width="7.875" style="3063"/>
    <col min="10154" max="10154" width="10.125" style="3063" bestFit="1" customWidth="1"/>
    <col min="10155" max="10156" width="8.25" style="3063" bestFit="1" customWidth="1"/>
    <col min="10157" max="10157" width="9.125" style="3063" bestFit="1" customWidth="1"/>
    <col min="10158" max="10158" width="8.25" style="3063" bestFit="1" customWidth="1"/>
    <col min="10159" max="10159" width="7.875" style="3063"/>
    <col min="10160" max="10160" width="9.125" style="3063" bestFit="1" customWidth="1"/>
    <col min="10161" max="10161" width="8.25" style="3063" bestFit="1" customWidth="1"/>
    <col min="10162" max="10162" width="7.875" style="3063"/>
    <col min="10163" max="10163" width="9.125" style="3063" bestFit="1" customWidth="1"/>
    <col min="10164" max="10164" width="8.25" style="3063" bestFit="1" customWidth="1"/>
    <col min="10165" max="10165" width="7.875" style="3063"/>
    <col min="10166" max="10167" width="8.25" style="3063" bestFit="1" customWidth="1"/>
    <col min="10168" max="10168" width="7.875" style="3063"/>
    <col min="10169" max="10170" width="8.25" style="3063" bestFit="1" customWidth="1"/>
    <col min="10171" max="10171" width="7.875" style="3063"/>
    <col min="10172" max="10172" width="9.875" style="3063" bestFit="1" customWidth="1"/>
    <col min="10173" max="10173" width="11.125" style="3063" bestFit="1" customWidth="1"/>
    <col min="10174" max="10174" width="9.125" style="3063" bestFit="1" customWidth="1"/>
    <col min="10175" max="10175" width="9.875" style="3063" bestFit="1" customWidth="1"/>
    <col min="10176" max="10176" width="11.125" style="3063" bestFit="1" customWidth="1"/>
    <col min="10177" max="10177" width="7.875" style="3063"/>
    <col min="10178" max="10178" width="9" style="3063" customWidth="1"/>
    <col min="10179" max="10179" width="8.625" style="3063" customWidth="1"/>
    <col min="10180" max="10240" width="7.875" style="3063"/>
    <col min="10241" max="10241" width="3.875" style="3063" customWidth="1"/>
    <col min="10242" max="10242" width="10.375" style="3063" customWidth="1"/>
    <col min="10243" max="10243" width="10.75" style="3063" customWidth="1"/>
    <col min="10244" max="10244" width="11.625" style="3063" customWidth="1"/>
    <col min="10245" max="10245" width="10" style="3063" customWidth="1"/>
    <col min="10246" max="10246" width="9.375" style="3063" customWidth="1"/>
    <col min="10247" max="10247" width="10.5" style="3063" customWidth="1"/>
    <col min="10248" max="10248" width="12.5" style="3063" customWidth="1"/>
    <col min="10249" max="10249" width="11.75" style="3063" customWidth="1"/>
    <col min="10250" max="10250" width="10.5" style="3063" customWidth="1"/>
    <col min="10251" max="10251" width="12.125" style="3063" customWidth="1"/>
    <col min="10252" max="10252" width="9.75" style="3063" customWidth="1"/>
    <col min="10253" max="10253" width="10" style="3063" customWidth="1"/>
    <col min="10254" max="10254" width="12.25" style="3063" customWidth="1"/>
    <col min="10255" max="10255" width="9.75" style="3063" customWidth="1"/>
    <col min="10256" max="10256" width="8.625" style="3063" customWidth="1"/>
    <col min="10257" max="10257" width="11.25" style="3063" customWidth="1"/>
    <col min="10258" max="10258" width="11.125" style="3063" customWidth="1"/>
    <col min="10259" max="10259" width="10.625" style="3063" customWidth="1"/>
    <col min="10260" max="10260" width="11.125" style="3063" customWidth="1"/>
    <col min="10261" max="10261" width="10.125" style="3063" customWidth="1"/>
    <col min="10262" max="10262" width="12.125" style="3063" customWidth="1"/>
    <col min="10263" max="10263" width="7.75" style="3063" customWidth="1"/>
    <col min="10264" max="10264" width="8.125" style="3063" customWidth="1"/>
    <col min="10265" max="10267" width="10.875" style="3063" bestFit="1" customWidth="1"/>
    <col min="10268" max="10270" width="11.5" style="3063" customWidth="1"/>
    <col min="10271" max="10271" width="11.75" style="3063" customWidth="1"/>
    <col min="10272" max="10272" width="7.75" style="3063" bestFit="1" customWidth="1"/>
    <col min="10273" max="10273" width="11.5" style="3063" bestFit="1" customWidth="1"/>
    <col min="10274" max="10274" width="7.75" style="3063" bestFit="1" customWidth="1"/>
    <col min="10275" max="10275" width="8.75" style="3063" customWidth="1"/>
    <col min="10276" max="10276" width="9.875" style="3063" bestFit="1" customWidth="1"/>
    <col min="10277" max="10277" width="8" style="3063" customWidth="1"/>
    <col min="10278" max="10281" width="7.75" style="3063" bestFit="1" customWidth="1"/>
    <col min="10282" max="10283" width="12.25" style="3063" customWidth="1"/>
    <col min="10284" max="10284" width="10.25" style="3063" customWidth="1"/>
    <col min="10285" max="10285" width="9.25" style="3063" customWidth="1"/>
    <col min="10286" max="10286" width="11" style="3063" customWidth="1"/>
    <col min="10287" max="10287" width="8.375" style="3063" customWidth="1"/>
    <col min="10288" max="10288" width="9.5" style="3063" customWidth="1"/>
    <col min="10289" max="10289" width="13.25" style="3063" customWidth="1"/>
    <col min="10290" max="10290" width="13" style="3063" customWidth="1"/>
    <col min="10291" max="10293" width="10.875" style="3063" customWidth="1"/>
    <col min="10294" max="10294" width="10.5" style="3063" customWidth="1"/>
    <col min="10295" max="10295" width="6.375" style="3063" customWidth="1"/>
    <col min="10296" max="10296" width="6.25" style="3063" customWidth="1"/>
    <col min="10297" max="10297" width="9.875" style="3063" customWidth="1"/>
    <col min="10298" max="10298" width="10.75" style="3063" customWidth="1"/>
    <col min="10299" max="10299" width="9.5" style="3063" customWidth="1"/>
    <col min="10300" max="10303" width="11" style="3063" customWidth="1"/>
    <col min="10304" max="10304" width="10.625" style="3063" customWidth="1"/>
    <col min="10305" max="10305" width="11.875" style="3063" bestFit="1" customWidth="1"/>
    <col min="10306" max="10306" width="9.75" style="3063" bestFit="1" customWidth="1"/>
    <col min="10307" max="10307" width="11.875" style="3063" bestFit="1" customWidth="1"/>
    <col min="10308" max="10308" width="9.75" style="3063" bestFit="1" customWidth="1"/>
    <col min="10309" max="10309" width="11.875" style="3063" bestFit="1" customWidth="1"/>
    <col min="10310" max="10310" width="9.75" style="3063" bestFit="1" customWidth="1"/>
    <col min="10311" max="10311" width="11.375" style="3063" bestFit="1" customWidth="1"/>
    <col min="10312" max="10312" width="9.75" style="3063" bestFit="1" customWidth="1"/>
    <col min="10313" max="10313" width="11.375" style="3063" bestFit="1" customWidth="1"/>
    <col min="10314" max="10314" width="9.75" style="3063" bestFit="1" customWidth="1"/>
    <col min="10315" max="10315" width="11.375" style="3063" bestFit="1" customWidth="1"/>
    <col min="10316" max="10316" width="9.75" style="3063" bestFit="1" customWidth="1"/>
    <col min="10317" max="10317" width="11.375" style="3063" bestFit="1" customWidth="1"/>
    <col min="10318" max="10318" width="9.75" style="3063" bestFit="1" customWidth="1"/>
    <col min="10319" max="10319" width="11.375" style="3063" bestFit="1" customWidth="1"/>
    <col min="10320" max="10320" width="9.75" style="3063" bestFit="1" customWidth="1"/>
    <col min="10321" max="10321" width="10.25" style="3063" bestFit="1" customWidth="1"/>
    <col min="10322" max="10322" width="9.625" style="3063" customWidth="1"/>
    <col min="10323" max="10323" width="10.375" style="3063" customWidth="1"/>
    <col min="10324" max="10324" width="9.25" style="3063" customWidth="1"/>
    <col min="10325" max="10325" width="10" style="3063" customWidth="1"/>
    <col min="10326" max="10326" width="9.75" style="3063" customWidth="1"/>
    <col min="10327" max="10327" width="9.125" style="3063" customWidth="1"/>
    <col min="10328" max="10352" width="9.5" style="3063" customWidth="1"/>
    <col min="10353" max="10353" width="15.5" style="3063" bestFit="1" customWidth="1"/>
    <col min="10354" max="10354" width="13.25" style="3063" bestFit="1" customWidth="1"/>
    <col min="10355" max="10355" width="13.5" style="3063" customWidth="1"/>
    <col min="10356" max="10356" width="12.5" style="3063" bestFit="1" customWidth="1"/>
    <col min="10357" max="10357" width="10.625" style="3063" bestFit="1" customWidth="1"/>
    <col min="10358" max="10358" width="11.375" style="3063" bestFit="1" customWidth="1"/>
    <col min="10359" max="10359" width="11.75" style="3063" bestFit="1" customWidth="1"/>
    <col min="10360" max="10360" width="11.375" style="3063" bestFit="1" customWidth="1"/>
    <col min="10361" max="10361" width="9.375" style="3063" bestFit="1" customWidth="1"/>
    <col min="10362" max="10362" width="11.375" style="3063" bestFit="1" customWidth="1"/>
    <col min="10363" max="10363" width="10.25" style="3063" bestFit="1" customWidth="1"/>
    <col min="10364" max="10364" width="9.375" style="3063" bestFit="1" customWidth="1"/>
    <col min="10365" max="10365" width="11.375" style="3063" bestFit="1" customWidth="1"/>
    <col min="10366" max="10366" width="10.25" style="3063" bestFit="1" customWidth="1"/>
    <col min="10367" max="10367" width="10.125" style="3063" bestFit="1" customWidth="1"/>
    <col min="10368" max="10368" width="10.375" style="3063" bestFit="1" customWidth="1"/>
    <col min="10369" max="10369" width="8.375" style="3063" bestFit="1" customWidth="1"/>
    <col min="10370" max="10370" width="9.125" style="3063" bestFit="1" customWidth="1"/>
    <col min="10371" max="10371" width="10" style="3063" customWidth="1"/>
    <col min="10372" max="10372" width="8.375" style="3063" bestFit="1" customWidth="1"/>
    <col min="10373" max="10373" width="7.875" style="3063"/>
    <col min="10374" max="10374" width="9.25" style="3063" customWidth="1"/>
    <col min="10375" max="10375" width="8.375" style="3063" bestFit="1" customWidth="1"/>
    <col min="10376" max="10376" width="7.875" style="3063"/>
    <col min="10377" max="10377" width="8.625" style="3063" customWidth="1"/>
    <col min="10378" max="10378" width="10.125" style="3063" bestFit="1" customWidth="1"/>
    <col min="10379" max="10379" width="7.875" style="3063"/>
    <col min="10380" max="10380" width="10.125" style="3063" bestFit="1" customWidth="1"/>
    <col min="10381" max="10381" width="8.25" style="3063" bestFit="1" customWidth="1"/>
    <col min="10382" max="10382" width="7.875" style="3063"/>
    <col min="10383" max="10383" width="10.125" style="3063" bestFit="1" customWidth="1"/>
    <col min="10384" max="10384" width="8.25" style="3063" bestFit="1" customWidth="1"/>
    <col min="10385" max="10385" width="7.875" style="3063"/>
    <col min="10386" max="10386" width="10.125" style="3063" bestFit="1" customWidth="1"/>
    <col min="10387" max="10387" width="8.25" style="3063" bestFit="1" customWidth="1"/>
    <col min="10388" max="10388" width="7.875" style="3063"/>
    <col min="10389" max="10389" width="10.125" style="3063" bestFit="1" customWidth="1"/>
    <col min="10390" max="10391" width="8.25" style="3063" bestFit="1" customWidth="1"/>
    <col min="10392" max="10392" width="10.125" style="3063" bestFit="1" customWidth="1"/>
    <col min="10393" max="10393" width="8.25" style="3063" bestFit="1" customWidth="1"/>
    <col min="10394" max="10394" width="7.875" style="3063"/>
    <col min="10395" max="10395" width="10.125" style="3063" bestFit="1" customWidth="1"/>
    <col min="10396" max="10396" width="9.125" style="3063" bestFit="1" customWidth="1"/>
    <col min="10397" max="10397" width="7.875" style="3063"/>
    <col min="10398" max="10398" width="10.125" style="3063" bestFit="1" customWidth="1"/>
    <col min="10399" max="10399" width="9.125" style="3063" bestFit="1" customWidth="1"/>
    <col min="10400" max="10400" width="7.875" style="3063"/>
    <col min="10401" max="10401" width="10.125" style="3063" bestFit="1" customWidth="1"/>
    <col min="10402" max="10402" width="9.125" style="3063" bestFit="1" customWidth="1"/>
    <col min="10403" max="10403" width="7.875" style="3063"/>
    <col min="10404" max="10404" width="10.125" style="3063" bestFit="1" customWidth="1"/>
    <col min="10405" max="10405" width="9.125" style="3063" bestFit="1" customWidth="1"/>
    <col min="10406" max="10406" width="7.875" style="3063"/>
    <col min="10407" max="10407" width="10.125" style="3063" bestFit="1" customWidth="1"/>
    <col min="10408" max="10408" width="9.125" style="3063" bestFit="1" customWidth="1"/>
    <col min="10409" max="10409" width="7.875" style="3063"/>
    <col min="10410" max="10410" width="10.125" style="3063" bestFit="1" customWidth="1"/>
    <col min="10411" max="10412" width="8.25" style="3063" bestFit="1" customWidth="1"/>
    <col min="10413" max="10413" width="9.125" style="3063" bestFit="1" customWidth="1"/>
    <col min="10414" max="10414" width="8.25" style="3063" bestFit="1" customWidth="1"/>
    <col min="10415" max="10415" width="7.875" style="3063"/>
    <col min="10416" max="10416" width="9.125" style="3063" bestFit="1" customWidth="1"/>
    <col min="10417" max="10417" width="8.25" style="3063" bestFit="1" customWidth="1"/>
    <col min="10418" max="10418" width="7.875" style="3063"/>
    <col min="10419" max="10419" width="9.125" style="3063" bestFit="1" customWidth="1"/>
    <col min="10420" max="10420" width="8.25" style="3063" bestFit="1" customWidth="1"/>
    <col min="10421" max="10421" width="7.875" style="3063"/>
    <col min="10422" max="10423" width="8.25" style="3063" bestFit="1" customWidth="1"/>
    <col min="10424" max="10424" width="7.875" style="3063"/>
    <col min="10425" max="10426" width="8.25" style="3063" bestFit="1" customWidth="1"/>
    <col min="10427" max="10427" width="7.875" style="3063"/>
    <col min="10428" max="10428" width="9.875" style="3063" bestFit="1" customWidth="1"/>
    <col min="10429" max="10429" width="11.125" style="3063" bestFit="1" customWidth="1"/>
    <col min="10430" max="10430" width="9.125" style="3063" bestFit="1" customWidth="1"/>
    <col min="10431" max="10431" width="9.875" style="3063" bestFit="1" customWidth="1"/>
    <col min="10432" max="10432" width="11.125" style="3063" bestFit="1" customWidth="1"/>
    <col min="10433" max="10433" width="7.875" style="3063"/>
    <col min="10434" max="10434" width="9" style="3063" customWidth="1"/>
    <col min="10435" max="10435" width="8.625" style="3063" customWidth="1"/>
    <col min="10436" max="10496" width="7.875" style="3063"/>
    <col min="10497" max="10497" width="3.875" style="3063" customWidth="1"/>
    <col min="10498" max="10498" width="10.375" style="3063" customWidth="1"/>
    <col min="10499" max="10499" width="10.75" style="3063" customWidth="1"/>
    <col min="10500" max="10500" width="11.625" style="3063" customWidth="1"/>
    <col min="10501" max="10501" width="10" style="3063" customWidth="1"/>
    <col min="10502" max="10502" width="9.375" style="3063" customWidth="1"/>
    <col min="10503" max="10503" width="10.5" style="3063" customWidth="1"/>
    <col min="10504" max="10504" width="12.5" style="3063" customWidth="1"/>
    <col min="10505" max="10505" width="11.75" style="3063" customWidth="1"/>
    <col min="10506" max="10506" width="10.5" style="3063" customWidth="1"/>
    <col min="10507" max="10507" width="12.125" style="3063" customWidth="1"/>
    <col min="10508" max="10508" width="9.75" style="3063" customWidth="1"/>
    <col min="10509" max="10509" width="10" style="3063" customWidth="1"/>
    <col min="10510" max="10510" width="12.25" style="3063" customWidth="1"/>
    <col min="10511" max="10511" width="9.75" style="3063" customWidth="1"/>
    <col min="10512" max="10512" width="8.625" style="3063" customWidth="1"/>
    <col min="10513" max="10513" width="11.25" style="3063" customWidth="1"/>
    <col min="10514" max="10514" width="11.125" style="3063" customWidth="1"/>
    <col min="10515" max="10515" width="10.625" style="3063" customWidth="1"/>
    <col min="10516" max="10516" width="11.125" style="3063" customWidth="1"/>
    <col min="10517" max="10517" width="10.125" style="3063" customWidth="1"/>
    <col min="10518" max="10518" width="12.125" style="3063" customWidth="1"/>
    <col min="10519" max="10519" width="7.75" style="3063" customWidth="1"/>
    <col min="10520" max="10520" width="8.125" style="3063" customWidth="1"/>
    <col min="10521" max="10523" width="10.875" style="3063" bestFit="1" customWidth="1"/>
    <col min="10524" max="10526" width="11.5" style="3063" customWidth="1"/>
    <col min="10527" max="10527" width="11.75" style="3063" customWidth="1"/>
    <col min="10528" max="10528" width="7.75" style="3063" bestFit="1" customWidth="1"/>
    <col min="10529" max="10529" width="11.5" style="3063" bestFit="1" customWidth="1"/>
    <col min="10530" max="10530" width="7.75" style="3063" bestFit="1" customWidth="1"/>
    <col min="10531" max="10531" width="8.75" style="3063" customWidth="1"/>
    <col min="10532" max="10532" width="9.875" style="3063" bestFit="1" customWidth="1"/>
    <col min="10533" max="10533" width="8" style="3063" customWidth="1"/>
    <col min="10534" max="10537" width="7.75" style="3063" bestFit="1" customWidth="1"/>
    <col min="10538" max="10539" width="12.25" style="3063" customWidth="1"/>
    <col min="10540" max="10540" width="10.25" style="3063" customWidth="1"/>
    <col min="10541" max="10541" width="9.25" style="3063" customWidth="1"/>
    <col min="10542" max="10542" width="11" style="3063" customWidth="1"/>
    <col min="10543" max="10543" width="8.375" style="3063" customWidth="1"/>
    <col min="10544" max="10544" width="9.5" style="3063" customWidth="1"/>
    <col min="10545" max="10545" width="13.25" style="3063" customWidth="1"/>
    <col min="10546" max="10546" width="13" style="3063" customWidth="1"/>
    <col min="10547" max="10549" width="10.875" style="3063" customWidth="1"/>
    <col min="10550" max="10550" width="10.5" style="3063" customWidth="1"/>
    <col min="10551" max="10551" width="6.375" style="3063" customWidth="1"/>
    <col min="10552" max="10552" width="6.25" style="3063" customWidth="1"/>
    <col min="10553" max="10553" width="9.875" style="3063" customWidth="1"/>
    <col min="10554" max="10554" width="10.75" style="3063" customWidth="1"/>
    <col min="10555" max="10555" width="9.5" style="3063" customWidth="1"/>
    <col min="10556" max="10559" width="11" style="3063" customWidth="1"/>
    <col min="10560" max="10560" width="10.625" style="3063" customWidth="1"/>
    <col min="10561" max="10561" width="11.875" style="3063" bestFit="1" customWidth="1"/>
    <col min="10562" max="10562" width="9.75" style="3063" bestFit="1" customWidth="1"/>
    <col min="10563" max="10563" width="11.875" style="3063" bestFit="1" customWidth="1"/>
    <col min="10564" max="10564" width="9.75" style="3063" bestFit="1" customWidth="1"/>
    <col min="10565" max="10565" width="11.875" style="3063" bestFit="1" customWidth="1"/>
    <col min="10566" max="10566" width="9.75" style="3063" bestFit="1" customWidth="1"/>
    <col min="10567" max="10567" width="11.375" style="3063" bestFit="1" customWidth="1"/>
    <col min="10568" max="10568" width="9.75" style="3063" bestFit="1" customWidth="1"/>
    <col min="10569" max="10569" width="11.375" style="3063" bestFit="1" customWidth="1"/>
    <col min="10570" max="10570" width="9.75" style="3063" bestFit="1" customWidth="1"/>
    <col min="10571" max="10571" width="11.375" style="3063" bestFit="1" customWidth="1"/>
    <col min="10572" max="10572" width="9.75" style="3063" bestFit="1" customWidth="1"/>
    <col min="10573" max="10573" width="11.375" style="3063" bestFit="1" customWidth="1"/>
    <col min="10574" max="10574" width="9.75" style="3063" bestFit="1" customWidth="1"/>
    <col min="10575" max="10575" width="11.375" style="3063" bestFit="1" customWidth="1"/>
    <col min="10576" max="10576" width="9.75" style="3063" bestFit="1" customWidth="1"/>
    <col min="10577" max="10577" width="10.25" style="3063" bestFit="1" customWidth="1"/>
    <col min="10578" max="10578" width="9.625" style="3063" customWidth="1"/>
    <col min="10579" max="10579" width="10.375" style="3063" customWidth="1"/>
    <col min="10580" max="10580" width="9.25" style="3063" customWidth="1"/>
    <col min="10581" max="10581" width="10" style="3063" customWidth="1"/>
    <col min="10582" max="10582" width="9.75" style="3063" customWidth="1"/>
    <col min="10583" max="10583" width="9.125" style="3063" customWidth="1"/>
    <col min="10584" max="10608" width="9.5" style="3063" customWidth="1"/>
    <col min="10609" max="10609" width="15.5" style="3063" bestFit="1" customWidth="1"/>
    <col min="10610" max="10610" width="13.25" style="3063" bestFit="1" customWidth="1"/>
    <col min="10611" max="10611" width="13.5" style="3063" customWidth="1"/>
    <col min="10612" max="10612" width="12.5" style="3063" bestFit="1" customWidth="1"/>
    <col min="10613" max="10613" width="10.625" style="3063" bestFit="1" customWidth="1"/>
    <col min="10614" max="10614" width="11.375" style="3063" bestFit="1" customWidth="1"/>
    <col min="10615" max="10615" width="11.75" style="3063" bestFit="1" customWidth="1"/>
    <col min="10616" max="10616" width="11.375" style="3063" bestFit="1" customWidth="1"/>
    <col min="10617" max="10617" width="9.375" style="3063" bestFit="1" customWidth="1"/>
    <col min="10618" max="10618" width="11.375" style="3063" bestFit="1" customWidth="1"/>
    <col min="10619" max="10619" width="10.25" style="3063" bestFit="1" customWidth="1"/>
    <col min="10620" max="10620" width="9.375" style="3063" bestFit="1" customWidth="1"/>
    <col min="10621" max="10621" width="11.375" style="3063" bestFit="1" customWidth="1"/>
    <col min="10622" max="10622" width="10.25" style="3063" bestFit="1" customWidth="1"/>
    <col min="10623" max="10623" width="10.125" style="3063" bestFit="1" customWidth="1"/>
    <col min="10624" max="10624" width="10.375" style="3063" bestFit="1" customWidth="1"/>
    <col min="10625" max="10625" width="8.375" style="3063" bestFit="1" customWidth="1"/>
    <col min="10626" max="10626" width="9.125" style="3063" bestFit="1" customWidth="1"/>
    <col min="10627" max="10627" width="10" style="3063" customWidth="1"/>
    <col min="10628" max="10628" width="8.375" style="3063" bestFit="1" customWidth="1"/>
    <col min="10629" max="10629" width="7.875" style="3063"/>
    <col min="10630" max="10630" width="9.25" style="3063" customWidth="1"/>
    <col min="10631" max="10631" width="8.375" style="3063" bestFit="1" customWidth="1"/>
    <col min="10632" max="10632" width="7.875" style="3063"/>
    <col min="10633" max="10633" width="8.625" style="3063" customWidth="1"/>
    <col min="10634" max="10634" width="10.125" style="3063" bestFit="1" customWidth="1"/>
    <col min="10635" max="10635" width="7.875" style="3063"/>
    <col min="10636" max="10636" width="10.125" style="3063" bestFit="1" customWidth="1"/>
    <col min="10637" max="10637" width="8.25" style="3063" bestFit="1" customWidth="1"/>
    <col min="10638" max="10638" width="7.875" style="3063"/>
    <col min="10639" max="10639" width="10.125" style="3063" bestFit="1" customWidth="1"/>
    <col min="10640" max="10640" width="8.25" style="3063" bestFit="1" customWidth="1"/>
    <col min="10641" max="10641" width="7.875" style="3063"/>
    <col min="10642" max="10642" width="10.125" style="3063" bestFit="1" customWidth="1"/>
    <col min="10643" max="10643" width="8.25" style="3063" bestFit="1" customWidth="1"/>
    <col min="10644" max="10644" width="7.875" style="3063"/>
    <col min="10645" max="10645" width="10.125" style="3063" bestFit="1" customWidth="1"/>
    <col min="10646" max="10647" width="8.25" style="3063" bestFit="1" customWidth="1"/>
    <col min="10648" max="10648" width="10.125" style="3063" bestFit="1" customWidth="1"/>
    <col min="10649" max="10649" width="8.25" style="3063" bestFit="1" customWidth="1"/>
    <col min="10650" max="10650" width="7.875" style="3063"/>
    <col min="10651" max="10651" width="10.125" style="3063" bestFit="1" customWidth="1"/>
    <col min="10652" max="10652" width="9.125" style="3063" bestFit="1" customWidth="1"/>
    <col min="10653" max="10653" width="7.875" style="3063"/>
    <col min="10654" max="10654" width="10.125" style="3063" bestFit="1" customWidth="1"/>
    <col min="10655" max="10655" width="9.125" style="3063" bestFit="1" customWidth="1"/>
    <col min="10656" max="10656" width="7.875" style="3063"/>
    <col min="10657" max="10657" width="10.125" style="3063" bestFit="1" customWidth="1"/>
    <col min="10658" max="10658" width="9.125" style="3063" bestFit="1" customWidth="1"/>
    <col min="10659" max="10659" width="7.875" style="3063"/>
    <col min="10660" max="10660" width="10.125" style="3063" bestFit="1" customWidth="1"/>
    <col min="10661" max="10661" width="9.125" style="3063" bestFit="1" customWidth="1"/>
    <col min="10662" max="10662" width="7.875" style="3063"/>
    <col min="10663" max="10663" width="10.125" style="3063" bestFit="1" customWidth="1"/>
    <col min="10664" max="10664" width="9.125" style="3063" bestFit="1" customWidth="1"/>
    <col min="10665" max="10665" width="7.875" style="3063"/>
    <col min="10666" max="10666" width="10.125" style="3063" bestFit="1" customWidth="1"/>
    <col min="10667" max="10668" width="8.25" style="3063" bestFit="1" customWidth="1"/>
    <col min="10669" max="10669" width="9.125" style="3063" bestFit="1" customWidth="1"/>
    <col min="10670" max="10670" width="8.25" style="3063" bestFit="1" customWidth="1"/>
    <col min="10671" max="10671" width="7.875" style="3063"/>
    <col min="10672" max="10672" width="9.125" style="3063" bestFit="1" customWidth="1"/>
    <col min="10673" max="10673" width="8.25" style="3063" bestFit="1" customWidth="1"/>
    <col min="10674" max="10674" width="7.875" style="3063"/>
    <col min="10675" max="10675" width="9.125" style="3063" bestFit="1" customWidth="1"/>
    <col min="10676" max="10676" width="8.25" style="3063" bestFit="1" customWidth="1"/>
    <col min="10677" max="10677" width="7.875" style="3063"/>
    <col min="10678" max="10679" width="8.25" style="3063" bestFit="1" customWidth="1"/>
    <col min="10680" max="10680" width="7.875" style="3063"/>
    <col min="10681" max="10682" width="8.25" style="3063" bestFit="1" customWidth="1"/>
    <col min="10683" max="10683" width="7.875" style="3063"/>
    <col min="10684" max="10684" width="9.875" style="3063" bestFit="1" customWidth="1"/>
    <col min="10685" max="10685" width="11.125" style="3063" bestFit="1" customWidth="1"/>
    <col min="10686" max="10686" width="9.125" style="3063" bestFit="1" customWidth="1"/>
    <col min="10687" max="10687" width="9.875" style="3063" bestFit="1" customWidth="1"/>
    <col min="10688" max="10688" width="11.125" style="3063" bestFit="1" customWidth="1"/>
    <col min="10689" max="10689" width="7.875" style="3063"/>
    <col min="10690" max="10690" width="9" style="3063" customWidth="1"/>
    <col min="10691" max="10691" width="8.625" style="3063" customWidth="1"/>
    <col min="10692" max="10752" width="7.875" style="3063"/>
    <col min="10753" max="10753" width="3.875" style="3063" customWidth="1"/>
    <col min="10754" max="10754" width="10.375" style="3063" customWidth="1"/>
    <col min="10755" max="10755" width="10.75" style="3063" customWidth="1"/>
    <col min="10756" max="10756" width="11.625" style="3063" customWidth="1"/>
    <col min="10757" max="10757" width="10" style="3063" customWidth="1"/>
    <col min="10758" max="10758" width="9.375" style="3063" customWidth="1"/>
    <col min="10759" max="10759" width="10.5" style="3063" customWidth="1"/>
    <col min="10760" max="10760" width="12.5" style="3063" customWidth="1"/>
    <col min="10761" max="10761" width="11.75" style="3063" customWidth="1"/>
    <col min="10762" max="10762" width="10.5" style="3063" customWidth="1"/>
    <col min="10763" max="10763" width="12.125" style="3063" customWidth="1"/>
    <col min="10764" max="10764" width="9.75" style="3063" customWidth="1"/>
    <col min="10765" max="10765" width="10" style="3063" customWidth="1"/>
    <col min="10766" max="10766" width="12.25" style="3063" customWidth="1"/>
    <col min="10767" max="10767" width="9.75" style="3063" customWidth="1"/>
    <col min="10768" max="10768" width="8.625" style="3063" customWidth="1"/>
    <col min="10769" max="10769" width="11.25" style="3063" customWidth="1"/>
    <col min="10770" max="10770" width="11.125" style="3063" customWidth="1"/>
    <col min="10771" max="10771" width="10.625" style="3063" customWidth="1"/>
    <col min="10772" max="10772" width="11.125" style="3063" customWidth="1"/>
    <col min="10773" max="10773" width="10.125" style="3063" customWidth="1"/>
    <col min="10774" max="10774" width="12.125" style="3063" customWidth="1"/>
    <col min="10775" max="10775" width="7.75" style="3063" customWidth="1"/>
    <col min="10776" max="10776" width="8.125" style="3063" customWidth="1"/>
    <col min="10777" max="10779" width="10.875" style="3063" bestFit="1" customWidth="1"/>
    <col min="10780" max="10782" width="11.5" style="3063" customWidth="1"/>
    <col min="10783" max="10783" width="11.75" style="3063" customWidth="1"/>
    <col min="10784" max="10784" width="7.75" style="3063" bestFit="1" customWidth="1"/>
    <col min="10785" max="10785" width="11.5" style="3063" bestFit="1" customWidth="1"/>
    <col min="10786" max="10786" width="7.75" style="3063" bestFit="1" customWidth="1"/>
    <col min="10787" max="10787" width="8.75" style="3063" customWidth="1"/>
    <col min="10788" max="10788" width="9.875" style="3063" bestFit="1" customWidth="1"/>
    <col min="10789" max="10789" width="8" style="3063" customWidth="1"/>
    <col min="10790" max="10793" width="7.75" style="3063" bestFit="1" customWidth="1"/>
    <col min="10794" max="10795" width="12.25" style="3063" customWidth="1"/>
    <col min="10796" max="10796" width="10.25" style="3063" customWidth="1"/>
    <col min="10797" max="10797" width="9.25" style="3063" customWidth="1"/>
    <col min="10798" max="10798" width="11" style="3063" customWidth="1"/>
    <col min="10799" max="10799" width="8.375" style="3063" customWidth="1"/>
    <col min="10800" max="10800" width="9.5" style="3063" customWidth="1"/>
    <col min="10801" max="10801" width="13.25" style="3063" customWidth="1"/>
    <col min="10802" max="10802" width="13" style="3063" customWidth="1"/>
    <col min="10803" max="10805" width="10.875" style="3063" customWidth="1"/>
    <col min="10806" max="10806" width="10.5" style="3063" customWidth="1"/>
    <col min="10807" max="10807" width="6.375" style="3063" customWidth="1"/>
    <col min="10808" max="10808" width="6.25" style="3063" customWidth="1"/>
    <col min="10809" max="10809" width="9.875" style="3063" customWidth="1"/>
    <col min="10810" max="10810" width="10.75" style="3063" customWidth="1"/>
    <col min="10811" max="10811" width="9.5" style="3063" customWidth="1"/>
    <col min="10812" max="10815" width="11" style="3063" customWidth="1"/>
    <col min="10816" max="10816" width="10.625" style="3063" customWidth="1"/>
    <col min="10817" max="10817" width="11.875" style="3063" bestFit="1" customWidth="1"/>
    <col min="10818" max="10818" width="9.75" style="3063" bestFit="1" customWidth="1"/>
    <col min="10819" max="10819" width="11.875" style="3063" bestFit="1" customWidth="1"/>
    <col min="10820" max="10820" width="9.75" style="3063" bestFit="1" customWidth="1"/>
    <col min="10821" max="10821" width="11.875" style="3063" bestFit="1" customWidth="1"/>
    <col min="10822" max="10822" width="9.75" style="3063" bestFit="1" customWidth="1"/>
    <col min="10823" max="10823" width="11.375" style="3063" bestFit="1" customWidth="1"/>
    <col min="10824" max="10824" width="9.75" style="3063" bestFit="1" customWidth="1"/>
    <col min="10825" max="10825" width="11.375" style="3063" bestFit="1" customWidth="1"/>
    <col min="10826" max="10826" width="9.75" style="3063" bestFit="1" customWidth="1"/>
    <col min="10827" max="10827" width="11.375" style="3063" bestFit="1" customWidth="1"/>
    <col min="10828" max="10828" width="9.75" style="3063" bestFit="1" customWidth="1"/>
    <col min="10829" max="10829" width="11.375" style="3063" bestFit="1" customWidth="1"/>
    <col min="10830" max="10830" width="9.75" style="3063" bestFit="1" customWidth="1"/>
    <col min="10831" max="10831" width="11.375" style="3063" bestFit="1" customWidth="1"/>
    <col min="10832" max="10832" width="9.75" style="3063" bestFit="1" customWidth="1"/>
    <col min="10833" max="10833" width="10.25" style="3063" bestFit="1" customWidth="1"/>
    <col min="10834" max="10834" width="9.625" style="3063" customWidth="1"/>
    <col min="10835" max="10835" width="10.375" style="3063" customWidth="1"/>
    <col min="10836" max="10836" width="9.25" style="3063" customWidth="1"/>
    <col min="10837" max="10837" width="10" style="3063" customWidth="1"/>
    <col min="10838" max="10838" width="9.75" style="3063" customWidth="1"/>
    <col min="10839" max="10839" width="9.125" style="3063" customWidth="1"/>
    <col min="10840" max="10864" width="9.5" style="3063" customWidth="1"/>
    <col min="10865" max="10865" width="15.5" style="3063" bestFit="1" customWidth="1"/>
    <col min="10866" max="10866" width="13.25" style="3063" bestFit="1" customWidth="1"/>
    <col min="10867" max="10867" width="13.5" style="3063" customWidth="1"/>
    <col min="10868" max="10868" width="12.5" style="3063" bestFit="1" customWidth="1"/>
    <col min="10869" max="10869" width="10.625" style="3063" bestFit="1" customWidth="1"/>
    <col min="10870" max="10870" width="11.375" style="3063" bestFit="1" customWidth="1"/>
    <col min="10871" max="10871" width="11.75" style="3063" bestFit="1" customWidth="1"/>
    <col min="10872" max="10872" width="11.375" style="3063" bestFit="1" customWidth="1"/>
    <col min="10873" max="10873" width="9.375" style="3063" bestFit="1" customWidth="1"/>
    <col min="10874" max="10874" width="11.375" style="3063" bestFit="1" customWidth="1"/>
    <col min="10875" max="10875" width="10.25" style="3063" bestFit="1" customWidth="1"/>
    <col min="10876" max="10876" width="9.375" style="3063" bestFit="1" customWidth="1"/>
    <col min="10877" max="10877" width="11.375" style="3063" bestFit="1" customWidth="1"/>
    <col min="10878" max="10878" width="10.25" style="3063" bestFit="1" customWidth="1"/>
    <col min="10879" max="10879" width="10.125" style="3063" bestFit="1" customWidth="1"/>
    <col min="10880" max="10880" width="10.375" style="3063" bestFit="1" customWidth="1"/>
    <col min="10881" max="10881" width="8.375" style="3063" bestFit="1" customWidth="1"/>
    <col min="10882" max="10882" width="9.125" style="3063" bestFit="1" customWidth="1"/>
    <col min="10883" max="10883" width="10" style="3063" customWidth="1"/>
    <col min="10884" max="10884" width="8.375" style="3063" bestFit="1" customWidth="1"/>
    <col min="10885" max="10885" width="7.875" style="3063"/>
    <col min="10886" max="10886" width="9.25" style="3063" customWidth="1"/>
    <col min="10887" max="10887" width="8.375" style="3063" bestFit="1" customWidth="1"/>
    <col min="10888" max="10888" width="7.875" style="3063"/>
    <col min="10889" max="10889" width="8.625" style="3063" customWidth="1"/>
    <col min="10890" max="10890" width="10.125" style="3063" bestFit="1" customWidth="1"/>
    <col min="10891" max="10891" width="7.875" style="3063"/>
    <col min="10892" max="10892" width="10.125" style="3063" bestFit="1" customWidth="1"/>
    <col min="10893" max="10893" width="8.25" style="3063" bestFit="1" customWidth="1"/>
    <col min="10894" max="10894" width="7.875" style="3063"/>
    <col min="10895" max="10895" width="10.125" style="3063" bestFit="1" customWidth="1"/>
    <col min="10896" max="10896" width="8.25" style="3063" bestFit="1" customWidth="1"/>
    <col min="10897" max="10897" width="7.875" style="3063"/>
    <col min="10898" max="10898" width="10.125" style="3063" bestFit="1" customWidth="1"/>
    <col min="10899" max="10899" width="8.25" style="3063" bestFit="1" customWidth="1"/>
    <col min="10900" max="10900" width="7.875" style="3063"/>
    <col min="10901" max="10901" width="10.125" style="3063" bestFit="1" customWidth="1"/>
    <col min="10902" max="10903" width="8.25" style="3063" bestFit="1" customWidth="1"/>
    <col min="10904" max="10904" width="10.125" style="3063" bestFit="1" customWidth="1"/>
    <col min="10905" max="10905" width="8.25" style="3063" bestFit="1" customWidth="1"/>
    <col min="10906" max="10906" width="7.875" style="3063"/>
    <col min="10907" max="10907" width="10.125" style="3063" bestFit="1" customWidth="1"/>
    <col min="10908" max="10908" width="9.125" style="3063" bestFit="1" customWidth="1"/>
    <col min="10909" max="10909" width="7.875" style="3063"/>
    <col min="10910" max="10910" width="10.125" style="3063" bestFit="1" customWidth="1"/>
    <col min="10911" max="10911" width="9.125" style="3063" bestFit="1" customWidth="1"/>
    <col min="10912" max="10912" width="7.875" style="3063"/>
    <col min="10913" max="10913" width="10.125" style="3063" bestFit="1" customWidth="1"/>
    <col min="10914" max="10914" width="9.125" style="3063" bestFit="1" customWidth="1"/>
    <col min="10915" max="10915" width="7.875" style="3063"/>
    <col min="10916" max="10916" width="10.125" style="3063" bestFit="1" customWidth="1"/>
    <col min="10917" max="10917" width="9.125" style="3063" bestFit="1" customWidth="1"/>
    <col min="10918" max="10918" width="7.875" style="3063"/>
    <col min="10919" max="10919" width="10.125" style="3063" bestFit="1" customWidth="1"/>
    <col min="10920" max="10920" width="9.125" style="3063" bestFit="1" customWidth="1"/>
    <col min="10921" max="10921" width="7.875" style="3063"/>
    <col min="10922" max="10922" width="10.125" style="3063" bestFit="1" customWidth="1"/>
    <col min="10923" max="10924" width="8.25" style="3063" bestFit="1" customWidth="1"/>
    <col min="10925" max="10925" width="9.125" style="3063" bestFit="1" customWidth="1"/>
    <col min="10926" max="10926" width="8.25" style="3063" bestFit="1" customWidth="1"/>
    <col min="10927" max="10927" width="7.875" style="3063"/>
    <col min="10928" max="10928" width="9.125" style="3063" bestFit="1" customWidth="1"/>
    <col min="10929" max="10929" width="8.25" style="3063" bestFit="1" customWidth="1"/>
    <col min="10930" max="10930" width="7.875" style="3063"/>
    <col min="10931" max="10931" width="9.125" style="3063" bestFit="1" customWidth="1"/>
    <col min="10932" max="10932" width="8.25" style="3063" bestFit="1" customWidth="1"/>
    <col min="10933" max="10933" width="7.875" style="3063"/>
    <col min="10934" max="10935" width="8.25" style="3063" bestFit="1" customWidth="1"/>
    <col min="10936" max="10936" width="7.875" style="3063"/>
    <col min="10937" max="10938" width="8.25" style="3063" bestFit="1" customWidth="1"/>
    <col min="10939" max="10939" width="7.875" style="3063"/>
    <col min="10940" max="10940" width="9.875" style="3063" bestFit="1" customWidth="1"/>
    <col min="10941" max="10941" width="11.125" style="3063" bestFit="1" customWidth="1"/>
    <col min="10942" max="10942" width="9.125" style="3063" bestFit="1" customWidth="1"/>
    <col min="10943" max="10943" width="9.875" style="3063" bestFit="1" customWidth="1"/>
    <col min="10944" max="10944" width="11.125" style="3063" bestFit="1" customWidth="1"/>
    <col min="10945" max="10945" width="7.875" style="3063"/>
    <col min="10946" max="10946" width="9" style="3063" customWidth="1"/>
    <col min="10947" max="10947" width="8.625" style="3063" customWidth="1"/>
    <col min="10948" max="11008" width="7.875" style="3063"/>
    <col min="11009" max="11009" width="3.875" style="3063" customWidth="1"/>
    <col min="11010" max="11010" width="10.375" style="3063" customWidth="1"/>
    <col min="11011" max="11011" width="10.75" style="3063" customWidth="1"/>
    <col min="11012" max="11012" width="11.625" style="3063" customWidth="1"/>
    <col min="11013" max="11013" width="10" style="3063" customWidth="1"/>
    <col min="11014" max="11014" width="9.375" style="3063" customWidth="1"/>
    <col min="11015" max="11015" width="10.5" style="3063" customWidth="1"/>
    <col min="11016" max="11016" width="12.5" style="3063" customWidth="1"/>
    <col min="11017" max="11017" width="11.75" style="3063" customWidth="1"/>
    <col min="11018" max="11018" width="10.5" style="3063" customWidth="1"/>
    <col min="11019" max="11019" width="12.125" style="3063" customWidth="1"/>
    <col min="11020" max="11020" width="9.75" style="3063" customWidth="1"/>
    <col min="11021" max="11021" width="10" style="3063" customWidth="1"/>
    <col min="11022" max="11022" width="12.25" style="3063" customWidth="1"/>
    <col min="11023" max="11023" width="9.75" style="3063" customWidth="1"/>
    <col min="11024" max="11024" width="8.625" style="3063" customWidth="1"/>
    <col min="11025" max="11025" width="11.25" style="3063" customWidth="1"/>
    <col min="11026" max="11026" width="11.125" style="3063" customWidth="1"/>
    <col min="11027" max="11027" width="10.625" style="3063" customWidth="1"/>
    <col min="11028" max="11028" width="11.125" style="3063" customWidth="1"/>
    <col min="11029" max="11029" width="10.125" style="3063" customWidth="1"/>
    <col min="11030" max="11030" width="12.125" style="3063" customWidth="1"/>
    <col min="11031" max="11031" width="7.75" style="3063" customWidth="1"/>
    <col min="11032" max="11032" width="8.125" style="3063" customWidth="1"/>
    <col min="11033" max="11035" width="10.875" style="3063" bestFit="1" customWidth="1"/>
    <col min="11036" max="11038" width="11.5" style="3063" customWidth="1"/>
    <col min="11039" max="11039" width="11.75" style="3063" customWidth="1"/>
    <col min="11040" max="11040" width="7.75" style="3063" bestFit="1" customWidth="1"/>
    <col min="11041" max="11041" width="11.5" style="3063" bestFit="1" customWidth="1"/>
    <col min="11042" max="11042" width="7.75" style="3063" bestFit="1" customWidth="1"/>
    <col min="11043" max="11043" width="8.75" style="3063" customWidth="1"/>
    <col min="11044" max="11044" width="9.875" style="3063" bestFit="1" customWidth="1"/>
    <col min="11045" max="11045" width="8" style="3063" customWidth="1"/>
    <col min="11046" max="11049" width="7.75" style="3063" bestFit="1" customWidth="1"/>
    <col min="11050" max="11051" width="12.25" style="3063" customWidth="1"/>
    <col min="11052" max="11052" width="10.25" style="3063" customWidth="1"/>
    <col min="11053" max="11053" width="9.25" style="3063" customWidth="1"/>
    <col min="11054" max="11054" width="11" style="3063" customWidth="1"/>
    <col min="11055" max="11055" width="8.375" style="3063" customWidth="1"/>
    <col min="11056" max="11056" width="9.5" style="3063" customWidth="1"/>
    <col min="11057" max="11057" width="13.25" style="3063" customWidth="1"/>
    <col min="11058" max="11058" width="13" style="3063" customWidth="1"/>
    <col min="11059" max="11061" width="10.875" style="3063" customWidth="1"/>
    <col min="11062" max="11062" width="10.5" style="3063" customWidth="1"/>
    <col min="11063" max="11063" width="6.375" style="3063" customWidth="1"/>
    <col min="11064" max="11064" width="6.25" style="3063" customWidth="1"/>
    <col min="11065" max="11065" width="9.875" style="3063" customWidth="1"/>
    <col min="11066" max="11066" width="10.75" style="3063" customWidth="1"/>
    <col min="11067" max="11067" width="9.5" style="3063" customWidth="1"/>
    <col min="11068" max="11071" width="11" style="3063" customWidth="1"/>
    <col min="11072" max="11072" width="10.625" style="3063" customWidth="1"/>
    <col min="11073" max="11073" width="11.875" style="3063" bestFit="1" customWidth="1"/>
    <col min="11074" max="11074" width="9.75" style="3063" bestFit="1" customWidth="1"/>
    <col min="11075" max="11075" width="11.875" style="3063" bestFit="1" customWidth="1"/>
    <col min="11076" max="11076" width="9.75" style="3063" bestFit="1" customWidth="1"/>
    <col min="11077" max="11077" width="11.875" style="3063" bestFit="1" customWidth="1"/>
    <col min="11078" max="11078" width="9.75" style="3063" bestFit="1" customWidth="1"/>
    <col min="11079" max="11079" width="11.375" style="3063" bestFit="1" customWidth="1"/>
    <col min="11080" max="11080" width="9.75" style="3063" bestFit="1" customWidth="1"/>
    <col min="11081" max="11081" width="11.375" style="3063" bestFit="1" customWidth="1"/>
    <col min="11082" max="11082" width="9.75" style="3063" bestFit="1" customWidth="1"/>
    <col min="11083" max="11083" width="11.375" style="3063" bestFit="1" customWidth="1"/>
    <col min="11084" max="11084" width="9.75" style="3063" bestFit="1" customWidth="1"/>
    <col min="11085" max="11085" width="11.375" style="3063" bestFit="1" customWidth="1"/>
    <col min="11086" max="11086" width="9.75" style="3063" bestFit="1" customWidth="1"/>
    <col min="11087" max="11087" width="11.375" style="3063" bestFit="1" customWidth="1"/>
    <col min="11088" max="11088" width="9.75" style="3063" bestFit="1" customWidth="1"/>
    <col min="11089" max="11089" width="10.25" style="3063" bestFit="1" customWidth="1"/>
    <col min="11090" max="11090" width="9.625" style="3063" customWidth="1"/>
    <col min="11091" max="11091" width="10.375" style="3063" customWidth="1"/>
    <col min="11092" max="11092" width="9.25" style="3063" customWidth="1"/>
    <col min="11093" max="11093" width="10" style="3063" customWidth="1"/>
    <col min="11094" max="11094" width="9.75" style="3063" customWidth="1"/>
    <col min="11095" max="11095" width="9.125" style="3063" customWidth="1"/>
    <col min="11096" max="11120" width="9.5" style="3063" customWidth="1"/>
    <col min="11121" max="11121" width="15.5" style="3063" bestFit="1" customWidth="1"/>
    <col min="11122" max="11122" width="13.25" style="3063" bestFit="1" customWidth="1"/>
    <col min="11123" max="11123" width="13.5" style="3063" customWidth="1"/>
    <col min="11124" max="11124" width="12.5" style="3063" bestFit="1" customWidth="1"/>
    <col min="11125" max="11125" width="10.625" style="3063" bestFit="1" customWidth="1"/>
    <col min="11126" max="11126" width="11.375" style="3063" bestFit="1" customWidth="1"/>
    <col min="11127" max="11127" width="11.75" style="3063" bestFit="1" customWidth="1"/>
    <col min="11128" max="11128" width="11.375" style="3063" bestFit="1" customWidth="1"/>
    <col min="11129" max="11129" width="9.375" style="3063" bestFit="1" customWidth="1"/>
    <col min="11130" max="11130" width="11.375" style="3063" bestFit="1" customWidth="1"/>
    <col min="11131" max="11131" width="10.25" style="3063" bestFit="1" customWidth="1"/>
    <col min="11132" max="11132" width="9.375" style="3063" bestFit="1" customWidth="1"/>
    <col min="11133" max="11133" width="11.375" style="3063" bestFit="1" customWidth="1"/>
    <col min="11134" max="11134" width="10.25" style="3063" bestFit="1" customWidth="1"/>
    <col min="11135" max="11135" width="10.125" style="3063" bestFit="1" customWidth="1"/>
    <col min="11136" max="11136" width="10.375" style="3063" bestFit="1" customWidth="1"/>
    <col min="11137" max="11137" width="8.375" style="3063" bestFit="1" customWidth="1"/>
    <col min="11138" max="11138" width="9.125" style="3063" bestFit="1" customWidth="1"/>
    <col min="11139" max="11139" width="10" style="3063" customWidth="1"/>
    <col min="11140" max="11140" width="8.375" style="3063" bestFit="1" customWidth="1"/>
    <col min="11141" max="11141" width="7.875" style="3063"/>
    <col min="11142" max="11142" width="9.25" style="3063" customWidth="1"/>
    <col min="11143" max="11143" width="8.375" style="3063" bestFit="1" customWidth="1"/>
    <col min="11144" max="11144" width="7.875" style="3063"/>
    <col min="11145" max="11145" width="8.625" style="3063" customWidth="1"/>
    <col min="11146" max="11146" width="10.125" style="3063" bestFit="1" customWidth="1"/>
    <col min="11147" max="11147" width="7.875" style="3063"/>
    <col min="11148" max="11148" width="10.125" style="3063" bestFit="1" customWidth="1"/>
    <col min="11149" max="11149" width="8.25" style="3063" bestFit="1" customWidth="1"/>
    <col min="11150" max="11150" width="7.875" style="3063"/>
    <col min="11151" max="11151" width="10.125" style="3063" bestFit="1" customWidth="1"/>
    <col min="11152" max="11152" width="8.25" style="3063" bestFit="1" customWidth="1"/>
    <col min="11153" max="11153" width="7.875" style="3063"/>
    <col min="11154" max="11154" width="10.125" style="3063" bestFit="1" customWidth="1"/>
    <col min="11155" max="11155" width="8.25" style="3063" bestFit="1" customWidth="1"/>
    <col min="11156" max="11156" width="7.875" style="3063"/>
    <col min="11157" max="11157" width="10.125" style="3063" bestFit="1" customWidth="1"/>
    <col min="11158" max="11159" width="8.25" style="3063" bestFit="1" customWidth="1"/>
    <col min="11160" max="11160" width="10.125" style="3063" bestFit="1" customWidth="1"/>
    <col min="11161" max="11161" width="8.25" style="3063" bestFit="1" customWidth="1"/>
    <col min="11162" max="11162" width="7.875" style="3063"/>
    <col min="11163" max="11163" width="10.125" style="3063" bestFit="1" customWidth="1"/>
    <col min="11164" max="11164" width="9.125" style="3063" bestFit="1" customWidth="1"/>
    <col min="11165" max="11165" width="7.875" style="3063"/>
    <col min="11166" max="11166" width="10.125" style="3063" bestFit="1" customWidth="1"/>
    <col min="11167" max="11167" width="9.125" style="3063" bestFit="1" customWidth="1"/>
    <col min="11168" max="11168" width="7.875" style="3063"/>
    <col min="11169" max="11169" width="10.125" style="3063" bestFit="1" customWidth="1"/>
    <col min="11170" max="11170" width="9.125" style="3063" bestFit="1" customWidth="1"/>
    <col min="11171" max="11171" width="7.875" style="3063"/>
    <col min="11172" max="11172" width="10.125" style="3063" bestFit="1" customWidth="1"/>
    <col min="11173" max="11173" width="9.125" style="3063" bestFit="1" customWidth="1"/>
    <col min="11174" max="11174" width="7.875" style="3063"/>
    <col min="11175" max="11175" width="10.125" style="3063" bestFit="1" customWidth="1"/>
    <col min="11176" max="11176" width="9.125" style="3063" bestFit="1" customWidth="1"/>
    <col min="11177" max="11177" width="7.875" style="3063"/>
    <col min="11178" max="11178" width="10.125" style="3063" bestFit="1" customWidth="1"/>
    <col min="11179" max="11180" width="8.25" style="3063" bestFit="1" customWidth="1"/>
    <col min="11181" max="11181" width="9.125" style="3063" bestFit="1" customWidth="1"/>
    <col min="11182" max="11182" width="8.25" style="3063" bestFit="1" customWidth="1"/>
    <col min="11183" max="11183" width="7.875" style="3063"/>
    <col min="11184" max="11184" width="9.125" style="3063" bestFit="1" customWidth="1"/>
    <col min="11185" max="11185" width="8.25" style="3063" bestFit="1" customWidth="1"/>
    <col min="11186" max="11186" width="7.875" style="3063"/>
    <col min="11187" max="11187" width="9.125" style="3063" bestFit="1" customWidth="1"/>
    <col min="11188" max="11188" width="8.25" style="3063" bestFit="1" customWidth="1"/>
    <col min="11189" max="11189" width="7.875" style="3063"/>
    <col min="11190" max="11191" width="8.25" style="3063" bestFit="1" customWidth="1"/>
    <col min="11192" max="11192" width="7.875" style="3063"/>
    <col min="11193" max="11194" width="8.25" style="3063" bestFit="1" customWidth="1"/>
    <col min="11195" max="11195" width="7.875" style="3063"/>
    <col min="11196" max="11196" width="9.875" style="3063" bestFit="1" customWidth="1"/>
    <col min="11197" max="11197" width="11.125" style="3063" bestFit="1" customWidth="1"/>
    <col min="11198" max="11198" width="9.125" style="3063" bestFit="1" customWidth="1"/>
    <col min="11199" max="11199" width="9.875" style="3063" bestFit="1" customWidth="1"/>
    <col min="11200" max="11200" width="11.125" style="3063" bestFit="1" customWidth="1"/>
    <col min="11201" max="11201" width="7.875" style="3063"/>
    <col min="11202" max="11202" width="9" style="3063" customWidth="1"/>
    <col min="11203" max="11203" width="8.625" style="3063" customWidth="1"/>
    <col min="11204" max="11264" width="7.875" style="3063"/>
    <col min="11265" max="11265" width="3.875" style="3063" customWidth="1"/>
    <col min="11266" max="11266" width="10.375" style="3063" customWidth="1"/>
    <col min="11267" max="11267" width="10.75" style="3063" customWidth="1"/>
    <col min="11268" max="11268" width="11.625" style="3063" customWidth="1"/>
    <col min="11269" max="11269" width="10" style="3063" customWidth="1"/>
    <col min="11270" max="11270" width="9.375" style="3063" customWidth="1"/>
    <col min="11271" max="11271" width="10.5" style="3063" customWidth="1"/>
    <col min="11272" max="11272" width="12.5" style="3063" customWidth="1"/>
    <col min="11273" max="11273" width="11.75" style="3063" customWidth="1"/>
    <col min="11274" max="11274" width="10.5" style="3063" customWidth="1"/>
    <col min="11275" max="11275" width="12.125" style="3063" customWidth="1"/>
    <col min="11276" max="11276" width="9.75" style="3063" customWidth="1"/>
    <col min="11277" max="11277" width="10" style="3063" customWidth="1"/>
    <col min="11278" max="11278" width="12.25" style="3063" customWidth="1"/>
    <col min="11279" max="11279" width="9.75" style="3063" customWidth="1"/>
    <col min="11280" max="11280" width="8.625" style="3063" customWidth="1"/>
    <col min="11281" max="11281" width="11.25" style="3063" customWidth="1"/>
    <col min="11282" max="11282" width="11.125" style="3063" customWidth="1"/>
    <col min="11283" max="11283" width="10.625" style="3063" customWidth="1"/>
    <col min="11284" max="11284" width="11.125" style="3063" customWidth="1"/>
    <col min="11285" max="11285" width="10.125" style="3063" customWidth="1"/>
    <col min="11286" max="11286" width="12.125" style="3063" customWidth="1"/>
    <col min="11287" max="11287" width="7.75" style="3063" customWidth="1"/>
    <col min="11288" max="11288" width="8.125" style="3063" customWidth="1"/>
    <col min="11289" max="11291" width="10.875" style="3063" bestFit="1" customWidth="1"/>
    <col min="11292" max="11294" width="11.5" style="3063" customWidth="1"/>
    <col min="11295" max="11295" width="11.75" style="3063" customWidth="1"/>
    <col min="11296" max="11296" width="7.75" style="3063" bestFit="1" customWidth="1"/>
    <col min="11297" max="11297" width="11.5" style="3063" bestFit="1" customWidth="1"/>
    <col min="11298" max="11298" width="7.75" style="3063" bestFit="1" customWidth="1"/>
    <col min="11299" max="11299" width="8.75" style="3063" customWidth="1"/>
    <col min="11300" max="11300" width="9.875" style="3063" bestFit="1" customWidth="1"/>
    <col min="11301" max="11301" width="8" style="3063" customWidth="1"/>
    <col min="11302" max="11305" width="7.75" style="3063" bestFit="1" customWidth="1"/>
    <col min="11306" max="11307" width="12.25" style="3063" customWidth="1"/>
    <col min="11308" max="11308" width="10.25" style="3063" customWidth="1"/>
    <col min="11309" max="11309" width="9.25" style="3063" customWidth="1"/>
    <col min="11310" max="11310" width="11" style="3063" customWidth="1"/>
    <col min="11311" max="11311" width="8.375" style="3063" customWidth="1"/>
    <col min="11312" max="11312" width="9.5" style="3063" customWidth="1"/>
    <col min="11313" max="11313" width="13.25" style="3063" customWidth="1"/>
    <col min="11314" max="11314" width="13" style="3063" customWidth="1"/>
    <col min="11315" max="11317" width="10.875" style="3063" customWidth="1"/>
    <col min="11318" max="11318" width="10.5" style="3063" customWidth="1"/>
    <col min="11319" max="11319" width="6.375" style="3063" customWidth="1"/>
    <col min="11320" max="11320" width="6.25" style="3063" customWidth="1"/>
    <col min="11321" max="11321" width="9.875" style="3063" customWidth="1"/>
    <col min="11322" max="11322" width="10.75" style="3063" customWidth="1"/>
    <col min="11323" max="11323" width="9.5" style="3063" customWidth="1"/>
    <col min="11324" max="11327" width="11" style="3063" customWidth="1"/>
    <col min="11328" max="11328" width="10.625" style="3063" customWidth="1"/>
    <col min="11329" max="11329" width="11.875" style="3063" bestFit="1" customWidth="1"/>
    <col min="11330" max="11330" width="9.75" style="3063" bestFit="1" customWidth="1"/>
    <col min="11331" max="11331" width="11.875" style="3063" bestFit="1" customWidth="1"/>
    <col min="11332" max="11332" width="9.75" style="3063" bestFit="1" customWidth="1"/>
    <col min="11333" max="11333" width="11.875" style="3063" bestFit="1" customWidth="1"/>
    <col min="11334" max="11334" width="9.75" style="3063" bestFit="1" customWidth="1"/>
    <col min="11335" max="11335" width="11.375" style="3063" bestFit="1" customWidth="1"/>
    <col min="11336" max="11336" width="9.75" style="3063" bestFit="1" customWidth="1"/>
    <col min="11337" max="11337" width="11.375" style="3063" bestFit="1" customWidth="1"/>
    <col min="11338" max="11338" width="9.75" style="3063" bestFit="1" customWidth="1"/>
    <col min="11339" max="11339" width="11.375" style="3063" bestFit="1" customWidth="1"/>
    <col min="11340" max="11340" width="9.75" style="3063" bestFit="1" customWidth="1"/>
    <col min="11341" max="11341" width="11.375" style="3063" bestFit="1" customWidth="1"/>
    <col min="11342" max="11342" width="9.75" style="3063" bestFit="1" customWidth="1"/>
    <col min="11343" max="11343" width="11.375" style="3063" bestFit="1" customWidth="1"/>
    <col min="11344" max="11344" width="9.75" style="3063" bestFit="1" customWidth="1"/>
    <col min="11345" max="11345" width="10.25" style="3063" bestFit="1" customWidth="1"/>
    <col min="11346" max="11346" width="9.625" style="3063" customWidth="1"/>
    <col min="11347" max="11347" width="10.375" style="3063" customWidth="1"/>
    <col min="11348" max="11348" width="9.25" style="3063" customWidth="1"/>
    <col min="11349" max="11349" width="10" style="3063" customWidth="1"/>
    <col min="11350" max="11350" width="9.75" style="3063" customWidth="1"/>
    <col min="11351" max="11351" width="9.125" style="3063" customWidth="1"/>
    <col min="11352" max="11376" width="9.5" style="3063" customWidth="1"/>
    <col min="11377" max="11377" width="15.5" style="3063" bestFit="1" customWidth="1"/>
    <col min="11378" max="11378" width="13.25" style="3063" bestFit="1" customWidth="1"/>
    <col min="11379" max="11379" width="13.5" style="3063" customWidth="1"/>
    <col min="11380" max="11380" width="12.5" style="3063" bestFit="1" customWidth="1"/>
    <col min="11381" max="11381" width="10.625" style="3063" bestFit="1" customWidth="1"/>
    <col min="11382" max="11382" width="11.375" style="3063" bestFit="1" customWidth="1"/>
    <col min="11383" max="11383" width="11.75" style="3063" bestFit="1" customWidth="1"/>
    <col min="11384" max="11384" width="11.375" style="3063" bestFit="1" customWidth="1"/>
    <col min="11385" max="11385" width="9.375" style="3063" bestFit="1" customWidth="1"/>
    <col min="11386" max="11386" width="11.375" style="3063" bestFit="1" customWidth="1"/>
    <col min="11387" max="11387" width="10.25" style="3063" bestFit="1" customWidth="1"/>
    <col min="11388" max="11388" width="9.375" style="3063" bestFit="1" customWidth="1"/>
    <col min="11389" max="11389" width="11.375" style="3063" bestFit="1" customWidth="1"/>
    <col min="11390" max="11390" width="10.25" style="3063" bestFit="1" customWidth="1"/>
    <col min="11391" max="11391" width="10.125" style="3063" bestFit="1" customWidth="1"/>
    <col min="11392" max="11392" width="10.375" style="3063" bestFit="1" customWidth="1"/>
    <col min="11393" max="11393" width="8.375" style="3063" bestFit="1" customWidth="1"/>
    <col min="11394" max="11394" width="9.125" style="3063" bestFit="1" customWidth="1"/>
    <col min="11395" max="11395" width="10" style="3063" customWidth="1"/>
    <col min="11396" max="11396" width="8.375" style="3063" bestFit="1" customWidth="1"/>
    <col min="11397" max="11397" width="7.875" style="3063"/>
    <col min="11398" max="11398" width="9.25" style="3063" customWidth="1"/>
    <col min="11399" max="11399" width="8.375" style="3063" bestFit="1" customWidth="1"/>
    <col min="11400" max="11400" width="7.875" style="3063"/>
    <col min="11401" max="11401" width="8.625" style="3063" customWidth="1"/>
    <col min="11402" max="11402" width="10.125" style="3063" bestFit="1" customWidth="1"/>
    <col min="11403" max="11403" width="7.875" style="3063"/>
    <col min="11404" max="11404" width="10.125" style="3063" bestFit="1" customWidth="1"/>
    <col min="11405" max="11405" width="8.25" style="3063" bestFit="1" customWidth="1"/>
    <col min="11406" max="11406" width="7.875" style="3063"/>
    <col min="11407" max="11407" width="10.125" style="3063" bestFit="1" customWidth="1"/>
    <col min="11408" max="11408" width="8.25" style="3063" bestFit="1" customWidth="1"/>
    <col min="11409" max="11409" width="7.875" style="3063"/>
    <col min="11410" max="11410" width="10.125" style="3063" bestFit="1" customWidth="1"/>
    <col min="11411" max="11411" width="8.25" style="3063" bestFit="1" customWidth="1"/>
    <col min="11412" max="11412" width="7.875" style="3063"/>
    <col min="11413" max="11413" width="10.125" style="3063" bestFit="1" customWidth="1"/>
    <col min="11414" max="11415" width="8.25" style="3063" bestFit="1" customWidth="1"/>
    <col min="11416" max="11416" width="10.125" style="3063" bestFit="1" customWidth="1"/>
    <col min="11417" max="11417" width="8.25" style="3063" bestFit="1" customWidth="1"/>
    <col min="11418" max="11418" width="7.875" style="3063"/>
    <col min="11419" max="11419" width="10.125" style="3063" bestFit="1" customWidth="1"/>
    <col min="11420" max="11420" width="9.125" style="3063" bestFit="1" customWidth="1"/>
    <col min="11421" max="11421" width="7.875" style="3063"/>
    <col min="11422" max="11422" width="10.125" style="3063" bestFit="1" customWidth="1"/>
    <col min="11423" max="11423" width="9.125" style="3063" bestFit="1" customWidth="1"/>
    <col min="11424" max="11424" width="7.875" style="3063"/>
    <col min="11425" max="11425" width="10.125" style="3063" bestFit="1" customWidth="1"/>
    <col min="11426" max="11426" width="9.125" style="3063" bestFit="1" customWidth="1"/>
    <col min="11427" max="11427" width="7.875" style="3063"/>
    <col min="11428" max="11428" width="10.125" style="3063" bestFit="1" customWidth="1"/>
    <col min="11429" max="11429" width="9.125" style="3063" bestFit="1" customWidth="1"/>
    <col min="11430" max="11430" width="7.875" style="3063"/>
    <col min="11431" max="11431" width="10.125" style="3063" bestFit="1" customWidth="1"/>
    <col min="11432" max="11432" width="9.125" style="3063" bestFit="1" customWidth="1"/>
    <col min="11433" max="11433" width="7.875" style="3063"/>
    <col min="11434" max="11434" width="10.125" style="3063" bestFit="1" customWidth="1"/>
    <col min="11435" max="11436" width="8.25" style="3063" bestFit="1" customWidth="1"/>
    <col min="11437" max="11437" width="9.125" style="3063" bestFit="1" customWidth="1"/>
    <col min="11438" max="11438" width="8.25" style="3063" bestFit="1" customWidth="1"/>
    <col min="11439" max="11439" width="7.875" style="3063"/>
    <col min="11440" max="11440" width="9.125" style="3063" bestFit="1" customWidth="1"/>
    <col min="11441" max="11441" width="8.25" style="3063" bestFit="1" customWidth="1"/>
    <col min="11442" max="11442" width="7.875" style="3063"/>
    <col min="11443" max="11443" width="9.125" style="3063" bestFit="1" customWidth="1"/>
    <col min="11444" max="11444" width="8.25" style="3063" bestFit="1" customWidth="1"/>
    <col min="11445" max="11445" width="7.875" style="3063"/>
    <col min="11446" max="11447" width="8.25" style="3063" bestFit="1" customWidth="1"/>
    <col min="11448" max="11448" width="7.875" style="3063"/>
    <col min="11449" max="11450" width="8.25" style="3063" bestFit="1" customWidth="1"/>
    <col min="11451" max="11451" width="7.875" style="3063"/>
    <col min="11452" max="11452" width="9.875" style="3063" bestFit="1" customWidth="1"/>
    <col min="11453" max="11453" width="11.125" style="3063" bestFit="1" customWidth="1"/>
    <col min="11454" max="11454" width="9.125" style="3063" bestFit="1" customWidth="1"/>
    <col min="11455" max="11455" width="9.875" style="3063" bestFit="1" customWidth="1"/>
    <col min="11456" max="11456" width="11.125" style="3063" bestFit="1" customWidth="1"/>
    <col min="11457" max="11457" width="7.875" style="3063"/>
    <col min="11458" max="11458" width="9" style="3063" customWidth="1"/>
    <col min="11459" max="11459" width="8.625" style="3063" customWidth="1"/>
    <col min="11460" max="11520" width="7.875" style="3063"/>
    <col min="11521" max="11521" width="3.875" style="3063" customWidth="1"/>
    <col min="11522" max="11522" width="10.375" style="3063" customWidth="1"/>
    <col min="11523" max="11523" width="10.75" style="3063" customWidth="1"/>
    <col min="11524" max="11524" width="11.625" style="3063" customWidth="1"/>
    <col min="11525" max="11525" width="10" style="3063" customWidth="1"/>
    <col min="11526" max="11526" width="9.375" style="3063" customWidth="1"/>
    <col min="11527" max="11527" width="10.5" style="3063" customWidth="1"/>
    <col min="11528" max="11528" width="12.5" style="3063" customWidth="1"/>
    <col min="11529" max="11529" width="11.75" style="3063" customWidth="1"/>
    <col min="11530" max="11530" width="10.5" style="3063" customWidth="1"/>
    <col min="11531" max="11531" width="12.125" style="3063" customWidth="1"/>
    <col min="11532" max="11532" width="9.75" style="3063" customWidth="1"/>
    <col min="11533" max="11533" width="10" style="3063" customWidth="1"/>
    <col min="11534" max="11534" width="12.25" style="3063" customWidth="1"/>
    <col min="11535" max="11535" width="9.75" style="3063" customWidth="1"/>
    <col min="11536" max="11536" width="8.625" style="3063" customWidth="1"/>
    <col min="11537" max="11537" width="11.25" style="3063" customWidth="1"/>
    <col min="11538" max="11538" width="11.125" style="3063" customWidth="1"/>
    <col min="11539" max="11539" width="10.625" style="3063" customWidth="1"/>
    <col min="11540" max="11540" width="11.125" style="3063" customWidth="1"/>
    <col min="11541" max="11541" width="10.125" style="3063" customWidth="1"/>
    <col min="11542" max="11542" width="12.125" style="3063" customWidth="1"/>
    <col min="11543" max="11543" width="7.75" style="3063" customWidth="1"/>
    <col min="11544" max="11544" width="8.125" style="3063" customWidth="1"/>
    <col min="11545" max="11547" width="10.875" style="3063" bestFit="1" customWidth="1"/>
    <col min="11548" max="11550" width="11.5" style="3063" customWidth="1"/>
    <col min="11551" max="11551" width="11.75" style="3063" customWidth="1"/>
    <col min="11552" max="11552" width="7.75" style="3063" bestFit="1" customWidth="1"/>
    <col min="11553" max="11553" width="11.5" style="3063" bestFit="1" customWidth="1"/>
    <col min="11554" max="11554" width="7.75" style="3063" bestFit="1" customWidth="1"/>
    <col min="11555" max="11555" width="8.75" style="3063" customWidth="1"/>
    <col min="11556" max="11556" width="9.875" style="3063" bestFit="1" customWidth="1"/>
    <col min="11557" max="11557" width="8" style="3063" customWidth="1"/>
    <col min="11558" max="11561" width="7.75" style="3063" bestFit="1" customWidth="1"/>
    <col min="11562" max="11563" width="12.25" style="3063" customWidth="1"/>
    <col min="11564" max="11564" width="10.25" style="3063" customWidth="1"/>
    <col min="11565" max="11565" width="9.25" style="3063" customWidth="1"/>
    <col min="11566" max="11566" width="11" style="3063" customWidth="1"/>
    <col min="11567" max="11567" width="8.375" style="3063" customWidth="1"/>
    <col min="11568" max="11568" width="9.5" style="3063" customWidth="1"/>
    <col min="11569" max="11569" width="13.25" style="3063" customWidth="1"/>
    <col min="11570" max="11570" width="13" style="3063" customWidth="1"/>
    <col min="11571" max="11573" width="10.875" style="3063" customWidth="1"/>
    <col min="11574" max="11574" width="10.5" style="3063" customWidth="1"/>
    <col min="11575" max="11575" width="6.375" style="3063" customWidth="1"/>
    <col min="11576" max="11576" width="6.25" style="3063" customWidth="1"/>
    <col min="11577" max="11577" width="9.875" style="3063" customWidth="1"/>
    <col min="11578" max="11578" width="10.75" style="3063" customWidth="1"/>
    <col min="11579" max="11579" width="9.5" style="3063" customWidth="1"/>
    <col min="11580" max="11583" width="11" style="3063" customWidth="1"/>
    <col min="11584" max="11584" width="10.625" style="3063" customWidth="1"/>
    <col min="11585" max="11585" width="11.875" style="3063" bestFit="1" customWidth="1"/>
    <col min="11586" max="11586" width="9.75" style="3063" bestFit="1" customWidth="1"/>
    <col min="11587" max="11587" width="11.875" style="3063" bestFit="1" customWidth="1"/>
    <col min="11588" max="11588" width="9.75" style="3063" bestFit="1" customWidth="1"/>
    <col min="11589" max="11589" width="11.875" style="3063" bestFit="1" customWidth="1"/>
    <col min="11590" max="11590" width="9.75" style="3063" bestFit="1" customWidth="1"/>
    <col min="11591" max="11591" width="11.375" style="3063" bestFit="1" customWidth="1"/>
    <col min="11592" max="11592" width="9.75" style="3063" bestFit="1" customWidth="1"/>
    <col min="11593" max="11593" width="11.375" style="3063" bestFit="1" customWidth="1"/>
    <col min="11594" max="11594" width="9.75" style="3063" bestFit="1" customWidth="1"/>
    <col min="11595" max="11595" width="11.375" style="3063" bestFit="1" customWidth="1"/>
    <col min="11596" max="11596" width="9.75" style="3063" bestFit="1" customWidth="1"/>
    <col min="11597" max="11597" width="11.375" style="3063" bestFit="1" customWidth="1"/>
    <col min="11598" max="11598" width="9.75" style="3063" bestFit="1" customWidth="1"/>
    <col min="11599" max="11599" width="11.375" style="3063" bestFit="1" customWidth="1"/>
    <col min="11600" max="11600" width="9.75" style="3063" bestFit="1" customWidth="1"/>
    <col min="11601" max="11601" width="10.25" style="3063" bestFit="1" customWidth="1"/>
    <col min="11602" max="11602" width="9.625" style="3063" customWidth="1"/>
    <col min="11603" max="11603" width="10.375" style="3063" customWidth="1"/>
    <col min="11604" max="11604" width="9.25" style="3063" customWidth="1"/>
    <col min="11605" max="11605" width="10" style="3063" customWidth="1"/>
    <col min="11606" max="11606" width="9.75" style="3063" customWidth="1"/>
    <col min="11607" max="11607" width="9.125" style="3063" customWidth="1"/>
    <col min="11608" max="11632" width="9.5" style="3063" customWidth="1"/>
    <col min="11633" max="11633" width="15.5" style="3063" bestFit="1" customWidth="1"/>
    <col min="11634" max="11634" width="13.25" style="3063" bestFit="1" customWidth="1"/>
    <col min="11635" max="11635" width="13.5" style="3063" customWidth="1"/>
    <col min="11636" max="11636" width="12.5" style="3063" bestFit="1" customWidth="1"/>
    <col min="11637" max="11637" width="10.625" style="3063" bestFit="1" customWidth="1"/>
    <col min="11638" max="11638" width="11.375" style="3063" bestFit="1" customWidth="1"/>
    <col min="11639" max="11639" width="11.75" style="3063" bestFit="1" customWidth="1"/>
    <col min="11640" max="11640" width="11.375" style="3063" bestFit="1" customWidth="1"/>
    <col min="11641" max="11641" width="9.375" style="3063" bestFit="1" customWidth="1"/>
    <col min="11642" max="11642" width="11.375" style="3063" bestFit="1" customWidth="1"/>
    <col min="11643" max="11643" width="10.25" style="3063" bestFit="1" customWidth="1"/>
    <col min="11644" max="11644" width="9.375" style="3063" bestFit="1" customWidth="1"/>
    <col min="11645" max="11645" width="11.375" style="3063" bestFit="1" customWidth="1"/>
    <col min="11646" max="11646" width="10.25" style="3063" bestFit="1" customWidth="1"/>
    <col min="11647" max="11647" width="10.125" style="3063" bestFit="1" customWidth="1"/>
    <col min="11648" max="11648" width="10.375" style="3063" bestFit="1" customWidth="1"/>
    <col min="11649" max="11649" width="8.375" style="3063" bestFit="1" customWidth="1"/>
    <col min="11650" max="11650" width="9.125" style="3063" bestFit="1" customWidth="1"/>
    <col min="11651" max="11651" width="10" style="3063" customWidth="1"/>
    <col min="11652" max="11652" width="8.375" style="3063" bestFit="1" customWidth="1"/>
    <col min="11653" max="11653" width="7.875" style="3063"/>
    <col min="11654" max="11654" width="9.25" style="3063" customWidth="1"/>
    <col min="11655" max="11655" width="8.375" style="3063" bestFit="1" customWidth="1"/>
    <col min="11656" max="11656" width="7.875" style="3063"/>
    <col min="11657" max="11657" width="8.625" style="3063" customWidth="1"/>
    <col min="11658" max="11658" width="10.125" style="3063" bestFit="1" customWidth="1"/>
    <col min="11659" max="11659" width="7.875" style="3063"/>
    <col min="11660" max="11660" width="10.125" style="3063" bestFit="1" customWidth="1"/>
    <col min="11661" max="11661" width="8.25" style="3063" bestFit="1" customWidth="1"/>
    <col min="11662" max="11662" width="7.875" style="3063"/>
    <col min="11663" max="11663" width="10.125" style="3063" bestFit="1" customWidth="1"/>
    <col min="11664" max="11664" width="8.25" style="3063" bestFit="1" customWidth="1"/>
    <col min="11665" max="11665" width="7.875" style="3063"/>
    <col min="11666" max="11666" width="10.125" style="3063" bestFit="1" customWidth="1"/>
    <col min="11667" max="11667" width="8.25" style="3063" bestFit="1" customWidth="1"/>
    <col min="11668" max="11668" width="7.875" style="3063"/>
    <col min="11669" max="11669" width="10.125" style="3063" bestFit="1" customWidth="1"/>
    <col min="11670" max="11671" width="8.25" style="3063" bestFit="1" customWidth="1"/>
    <col min="11672" max="11672" width="10.125" style="3063" bestFit="1" customWidth="1"/>
    <col min="11673" max="11673" width="8.25" style="3063" bestFit="1" customWidth="1"/>
    <col min="11674" max="11674" width="7.875" style="3063"/>
    <col min="11675" max="11675" width="10.125" style="3063" bestFit="1" customWidth="1"/>
    <col min="11676" max="11676" width="9.125" style="3063" bestFit="1" customWidth="1"/>
    <col min="11677" max="11677" width="7.875" style="3063"/>
    <col min="11678" max="11678" width="10.125" style="3063" bestFit="1" customWidth="1"/>
    <col min="11679" max="11679" width="9.125" style="3063" bestFit="1" customWidth="1"/>
    <col min="11680" max="11680" width="7.875" style="3063"/>
    <col min="11681" max="11681" width="10.125" style="3063" bestFit="1" customWidth="1"/>
    <col min="11682" max="11682" width="9.125" style="3063" bestFit="1" customWidth="1"/>
    <col min="11683" max="11683" width="7.875" style="3063"/>
    <col min="11684" max="11684" width="10.125" style="3063" bestFit="1" customWidth="1"/>
    <col min="11685" max="11685" width="9.125" style="3063" bestFit="1" customWidth="1"/>
    <col min="11686" max="11686" width="7.875" style="3063"/>
    <col min="11687" max="11687" width="10.125" style="3063" bestFit="1" customWidth="1"/>
    <col min="11688" max="11688" width="9.125" style="3063" bestFit="1" customWidth="1"/>
    <col min="11689" max="11689" width="7.875" style="3063"/>
    <col min="11690" max="11690" width="10.125" style="3063" bestFit="1" customWidth="1"/>
    <col min="11691" max="11692" width="8.25" style="3063" bestFit="1" customWidth="1"/>
    <col min="11693" max="11693" width="9.125" style="3063" bestFit="1" customWidth="1"/>
    <col min="11694" max="11694" width="8.25" style="3063" bestFit="1" customWidth="1"/>
    <col min="11695" max="11695" width="7.875" style="3063"/>
    <col min="11696" max="11696" width="9.125" style="3063" bestFit="1" customWidth="1"/>
    <col min="11697" max="11697" width="8.25" style="3063" bestFit="1" customWidth="1"/>
    <col min="11698" max="11698" width="7.875" style="3063"/>
    <col min="11699" max="11699" width="9.125" style="3063" bestFit="1" customWidth="1"/>
    <col min="11700" max="11700" width="8.25" style="3063" bestFit="1" customWidth="1"/>
    <col min="11701" max="11701" width="7.875" style="3063"/>
    <col min="11702" max="11703" width="8.25" style="3063" bestFit="1" customWidth="1"/>
    <col min="11704" max="11704" width="7.875" style="3063"/>
    <col min="11705" max="11706" width="8.25" style="3063" bestFit="1" customWidth="1"/>
    <col min="11707" max="11707" width="7.875" style="3063"/>
    <col min="11708" max="11708" width="9.875" style="3063" bestFit="1" customWidth="1"/>
    <col min="11709" max="11709" width="11.125" style="3063" bestFit="1" customWidth="1"/>
    <col min="11710" max="11710" width="9.125" style="3063" bestFit="1" customWidth="1"/>
    <col min="11711" max="11711" width="9.875" style="3063" bestFit="1" customWidth="1"/>
    <col min="11712" max="11712" width="11.125" style="3063" bestFit="1" customWidth="1"/>
    <col min="11713" max="11713" width="7.875" style="3063"/>
    <col min="11714" max="11714" width="9" style="3063" customWidth="1"/>
    <col min="11715" max="11715" width="8.625" style="3063" customWidth="1"/>
    <col min="11716" max="11776" width="7.875" style="3063"/>
    <col min="11777" max="11777" width="3.875" style="3063" customWidth="1"/>
    <col min="11778" max="11778" width="10.375" style="3063" customWidth="1"/>
    <col min="11779" max="11779" width="10.75" style="3063" customWidth="1"/>
    <col min="11780" max="11780" width="11.625" style="3063" customWidth="1"/>
    <col min="11781" max="11781" width="10" style="3063" customWidth="1"/>
    <col min="11782" max="11782" width="9.375" style="3063" customWidth="1"/>
    <col min="11783" max="11783" width="10.5" style="3063" customWidth="1"/>
    <col min="11784" max="11784" width="12.5" style="3063" customWidth="1"/>
    <col min="11785" max="11785" width="11.75" style="3063" customWidth="1"/>
    <col min="11786" max="11786" width="10.5" style="3063" customWidth="1"/>
    <col min="11787" max="11787" width="12.125" style="3063" customWidth="1"/>
    <col min="11788" max="11788" width="9.75" style="3063" customWidth="1"/>
    <col min="11789" max="11789" width="10" style="3063" customWidth="1"/>
    <col min="11790" max="11790" width="12.25" style="3063" customWidth="1"/>
    <col min="11791" max="11791" width="9.75" style="3063" customWidth="1"/>
    <col min="11792" max="11792" width="8.625" style="3063" customWidth="1"/>
    <col min="11793" max="11793" width="11.25" style="3063" customWidth="1"/>
    <col min="11794" max="11794" width="11.125" style="3063" customWidth="1"/>
    <col min="11795" max="11795" width="10.625" style="3063" customWidth="1"/>
    <col min="11796" max="11796" width="11.125" style="3063" customWidth="1"/>
    <col min="11797" max="11797" width="10.125" style="3063" customWidth="1"/>
    <col min="11798" max="11798" width="12.125" style="3063" customWidth="1"/>
    <col min="11799" max="11799" width="7.75" style="3063" customWidth="1"/>
    <col min="11800" max="11800" width="8.125" style="3063" customWidth="1"/>
    <col min="11801" max="11803" width="10.875" style="3063" bestFit="1" customWidth="1"/>
    <col min="11804" max="11806" width="11.5" style="3063" customWidth="1"/>
    <col min="11807" max="11807" width="11.75" style="3063" customWidth="1"/>
    <col min="11808" max="11808" width="7.75" style="3063" bestFit="1" customWidth="1"/>
    <col min="11809" max="11809" width="11.5" style="3063" bestFit="1" customWidth="1"/>
    <col min="11810" max="11810" width="7.75" style="3063" bestFit="1" customWidth="1"/>
    <col min="11811" max="11811" width="8.75" style="3063" customWidth="1"/>
    <col min="11812" max="11812" width="9.875" style="3063" bestFit="1" customWidth="1"/>
    <col min="11813" max="11813" width="8" style="3063" customWidth="1"/>
    <col min="11814" max="11817" width="7.75" style="3063" bestFit="1" customWidth="1"/>
    <col min="11818" max="11819" width="12.25" style="3063" customWidth="1"/>
    <col min="11820" max="11820" width="10.25" style="3063" customWidth="1"/>
    <col min="11821" max="11821" width="9.25" style="3063" customWidth="1"/>
    <col min="11822" max="11822" width="11" style="3063" customWidth="1"/>
    <col min="11823" max="11823" width="8.375" style="3063" customWidth="1"/>
    <col min="11824" max="11824" width="9.5" style="3063" customWidth="1"/>
    <col min="11825" max="11825" width="13.25" style="3063" customWidth="1"/>
    <col min="11826" max="11826" width="13" style="3063" customWidth="1"/>
    <col min="11827" max="11829" width="10.875" style="3063" customWidth="1"/>
    <col min="11830" max="11830" width="10.5" style="3063" customWidth="1"/>
    <col min="11831" max="11831" width="6.375" style="3063" customWidth="1"/>
    <col min="11832" max="11832" width="6.25" style="3063" customWidth="1"/>
    <col min="11833" max="11833" width="9.875" style="3063" customWidth="1"/>
    <col min="11834" max="11834" width="10.75" style="3063" customWidth="1"/>
    <col min="11835" max="11835" width="9.5" style="3063" customWidth="1"/>
    <col min="11836" max="11839" width="11" style="3063" customWidth="1"/>
    <col min="11840" max="11840" width="10.625" style="3063" customWidth="1"/>
    <col min="11841" max="11841" width="11.875" style="3063" bestFit="1" customWidth="1"/>
    <col min="11842" max="11842" width="9.75" style="3063" bestFit="1" customWidth="1"/>
    <col min="11843" max="11843" width="11.875" style="3063" bestFit="1" customWidth="1"/>
    <col min="11844" max="11844" width="9.75" style="3063" bestFit="1" customWidth="1"/>
    <col min="11845" max="11845" width="11.875" style="3063" bestFit="1" customWidth="1"/>
    <col min="11846" max="11846" width="9.75" style="3063" bestFit="1" customWidth="1"/>
    <col min="11847" max="11847" width="11.375" style="3063" bestFit="1" customWidth="1"/>
    <col min="11848" max="11848" width="9.75" style="3063" bestFit="1" customWidth="1"/>
    <col min="11849" max="11849" width="11.375" style="3063" bestFit="1" customWidth="1"/>
    <col min="11850" max="11850" width="9.75" style="3063" bestFit="1" customWidth="1"/>
    <col min="11851" max="11851" width="11.375" style="3063" bestFit="1" customWidth="1"/>
    <col min="11852" max="11852" width="9.75" style="3063" bestFit="1" customWidth="1"/>
    <col min="11853" max="11853" width="11.375" style="3063" bestFit="1" customWidth="1"/>
    <col min="11854" max="11854" width="9.75" style="3063" bestFit="1" customWidth="1"/>
    <col min="11855" max="11855" width="11.375" style="3063" bestFit="1" customWidth="1"/>
    <col min="11856" max="11856" width="9.75" style="3063" bestFit="1" customWidth="1"/>
    <col min="11857" max="11857" width="10.25" style="3063" bestFit="1" customWidth="1"/>
    <col min="11858" max="11858" width="9.625" style="3063" customWidth="1"/>
    <col min="11859" max="11859" width="10.375" style="3063" customWidth="1"/>
    <col min="11860" max="11860" width="9.25" style="3063" customWidth="1"/>
    <col min="11861" max="11861" width="10" style="3063" customWidth="1"/>
    <col min="11862" max="11862" width="9.75" style="3063" customWidth="1"/>
    <col min="11863" max="11863" width="9.125" style="3063" customWidth="1"/>
    <col min="11864" max="11888" width="9.5" style="3063" customWidth="1"/>
    <col min="11889" max="11889" width="15.5" style="3063" bestFit="1" customWidth="1"/>
    <col min="11890" max="11890" width="13.25" style="3063" bestFit="1" customWidth="1"/>
    <col min="11891" max="11891" width="13.5" style="3063" customWidth="1"/>
    <col min="11892" max="11892" width="12.5" style="3063" bestFit="1" customWidth="1"/>
    <col min="11893" max="11893" width="10.625" style="3063" bestFit="1" customWidth="1"/>
    <col min="11894" max="11894" width="11.375" style="3063" bestFit="1" customWidth="1"/>
    <col min="11895" max="11895" width="11.75" style="3063" bestFit="1" customWidth="1"/>
    <col min="11896" max="11896" width="11.375" style="3063" bestFit="1" customWidth="1"/>
    <col min="11897" max="11897" width="9.375" style="3063" bestFit="1" customWidth="1"/>
    <col min="11898" max="11898" width="11.375" style="3063" bestFit="1" customWidth="1"/>
    <col min="11899" max="11899" width="10.25" style="3063" bestFit="1" customWidth="1"/>
    <col min="11900" max="11900" width="9.375" style="3063" bestFit="1" customWidth="1"/>
    <col min="11901" max="11901" width="11.375" style="3063" bestFit="1" customWidth="1"/>
    <col min="11902" max="11902" width="10.25" style="3063" bestFit="1" customWidth="1"/>
    <col min="11903" max="11903" width="10.125" style="3063" bestFit="1" customWidth="1"/>
    <col min="11904" max="11904" width="10.375" style="3063" bestFit="1" customWidth="1"/>
    <col min="11905" max="11905" width="8.375" style="3063" bestFit="1" customWidth="1"/>
    <col min="11906" max="11906" width="9.125" style="3063" bestFit="1" customWidth="1"/>
    <col min="11907" max="11907" width="10" style="3063" customWidth="1"/>
    <col min="11908" max="11908" width="8.375" style="3063" bestFit="1" customWidth="1"/>
    <col min="11909" max="11909" width="7.875" style="3063"/>
    <col min="11910" max="11910" width="9.25" style="3063" customWidth="1"/>
    <col min="11911" max="11911" width="8.375" style="3063" bestFit="1" customWidth="1"/>
    <col min="11912" max="11912" width="7.875" style="3063"/>
    <col min="11913" max="11913" width="8.625" style="3063" customWidth="1"/>
    <col min="11914" max="11914" width="10.125" style="3063" bestFit="1" customWidth="1"/>
    <col min="11915" max="11915" width="7.875" style="3063"/>
    <col min="11916" max="11916" width="10.125" style="3063" bestFit="1" customWidth="1"/>
    <col min="11917" max="11917" width="8.25" style="3063" bestFit="1" customWidth="1"/>
    <col min="11918" max="11918" width="7.875" style="3063"/>
    <col min="11919" max="11919" width="10.125" style="3063" bestFit="1" customWidth="1"/>
    <col min="11920" max="11920" width="8.25" style="3063" bestFit="1" customWidth="1"/>
    <col min="11921" max="11921" width="7.875" style="3063"/>
    <col min="11922" max="11922" width="10.125" style="3063" bestFit="1" customWidth="1"/>
    <col min="11923" max="11923" width="8.25" style="3063" bestFit="1" customWidth="1"/>
    <col min="11924" max="11924" width="7.875" style="3063"/>
    <col min="11925" max="11925" width="10.125" style="3063" bestFit="1" customWidth="1"/>
    <col min="11926" max="11927" width="8.25" style="3063" bestFit="1" customWidth="1"/>
    <col min="11928" max="11928" width="10.125" style="3063" bestFit="1" customWidth="1"/>
    <col min="11929" max="11929" width="8.25" style="3063" bestFit="1" customWidth="1"/>
    <col min="11930" max="11930" width="7.875" style="3063"/>
    <col min="11931" max="11931" width="10.125" style="3063" bestFit="1" customWidth="1"/>
    <col min="11932" max="11932" width="9.125" style="3063" bestFit="1" customWidth="1"/>
    <col min="11933" max="11933" width="7.875" style="3063"/>
    <col min="11934" max="11934" width="10.125" style="3063" bestFit="1" customWidth="1"/>
    <col min="11935" max="11935" width="9.125" style="3063" bestFit="1" customWidth="1"/>
    <col min="11936" max="11936" width="7.875" style="3063"/>
    <col min="11937" max="11937" width="10.125" style="3063" bestFit="1" customWidth="1"/>
    <col min="11938" max="11938" width="9.125" style="3063" bestFit="1" customWidth="1"/>
    <col min="11939" max="11939" width="7.875" style="3063"/>
    <col min="11940" max="11940" width="10.125" style="3063" bestFit="1" customWidth="1"/>
    <col min="11941" max="11941" width="9.125" style="3063" bestFit="1" customWidth="1"/>
    <col min="11942" max="11942" width="7.875" style="3063"/>
    <col min="11943" max="11943" width="10.125" style="3063" bestFit="1" customWidth="1"/>
    <col min="11944" max="11944" width="9.125" style="3063" bestFit="1" customWidth="1"/>
    <col min="11945" max="11945" width="7.875" style="3063"/>
    <col min="11946" max="11946" width="10.125" style="3063" bestFit="1" customWidth="1"/>
    <col min="11947" max="11948" width="8.25" style="3063" bestFit="1" customWidth="1"/>
    <col min="11949" max="11949" width="9.125" style="3063" bestFit="1" customWidth="1"/>
    <col min="11950" max="11950" width="8.25" style="3063" bestFit="1" customWidth="1"/>
    <col min="11951" max="11951" width="7.875" style="3063"/>
    <col min="11952" max="11952" width="9.125" style="3063" bestFit="1" customWidth="1"/>
    <col min="11953" max="11953" width="8.25" style="3063" bestFit="1" customWidth="1"/>
    <col min="11954" max="11954" width="7.875" style="3063"/>
    <col min="11955" max="11955" width="9.125" style="3063" bestFit="1" customWidth="1"/>
    <col min="11956" max="11956" width="8.25" style="3063" bestFit="1" customWidth="1"/>
    <col min="11957" max="11957" width="7.875" style="3063"/>
    <col min="11958" max="11959" width="8.25" style="3063" bestFit="1" customWidth="1"/>
    <col min="11960" max="11960" width="7.875" style="3063"/>
    <col min="11961" max="11962" width="8.25" style="3063" bestFit="1" customWidth="1"/>
    <col min="11963" max="11963" width="7.875" style="3063"/>
    <col min="11964" max="11964" width="9.875" style="3063" bestFit="1" customWidth="1"/>
    <col min="11965" max="11965" width="11.125" style="3063" bestFit="1" customWidth="1"/>
    <col min="11966" max="11966" width="9.125" style="3063" bestFit="1" customWidth="1"/>
    <col min="11967" max="11967" width="9.875" style="3063" bestFit="1" customWidth="1"/>
    <col min="11968" max="11968" width="11.125" style="3063" bestFit="1" customWidth="1"/>
    <col min="11969" max="11969" width="7.875" style="3063"/>
    <col min="11970" max="11970" width="9" style="3063" customWidth="1"/>
    <col min="11971" max="11971" width="8.625" style="3063" customWidth="1"/>
    <col min="11972" max="12032" width="7.875" style="3063"/>
    <col min="12033" max="12033" width="3.875" style="3063" customWidth="1"/>
    <col min="12034" max="12034" width="10.375" style="3063" customWidth="1"/>
    <col min="12035" max="12035" width="10.75" style="3063" customWidth="1"/>
    <col min="12036" max="12036" width="11.625" style="3063" customWidth="1"/>
    <col min="12037" max="12037" width="10" style="3063" customWidth="1"/>
    <col min="12038" max="12038" width="9.375" style="3063" customWidth="1"/>
    <col min="12039" max="12039" width="10.5" style="3063" customWidth="1"/>
    <col min="12040" max="12040" width="12.5" style="3063" customWidth="1"/>
    <col min="12041" max="12041" width="11.75" style="3063" customWidth="1"/>
    <col min="12042" max="12042" width="10.5" style="3063" customWidth="1"/>
    <col min="12043" max="12043" width="12.125" style="3063" customWidth="1"/>
    <col min="12044" max="12044" width="9.75" style="3063" customWidth="1"/>
    <col min="12045" max="12045" width="10" style="3063" customWidth="1"/>
    <col min="12046" max="12046" width="12.25" style="3063" customWidth="1"/>
    <col min="12047" max="12047" width="9.75" style="3063" customWidth="1"/>
    <col min="12048" max="12048" width="8.625" style="3063" customWidth="1"/>
    <col min="12049" max="12049" width="11.25" style="3063" customWidth="1"/>
    <col min="12050" max="12050" width="11.125" style="3063" customWidth="1"/>
    <col min="12051" max="12051" width="10.625" style="3063" customWidth="1"/>
    <col min="12052" max="12052" width="11.125" style="3063" customWidth="1"/>
    <col min="12053" max="12053" width="10.125" style="3063" customWidth="1"/>
    <col min="12054" max="12054" width="12.125" style="3063" customWidth="1"/>
    <col min="12055" max="12055" width="7.75" style="3063" customWidth="1"/>
    <col min="12056" max="12056" width="8.125" style="3063" customWidth="1"/>
    <col min="12057" max="12059" width="10.875" style="3063" bestFit="1" customWidth="1"/>
    <col min="12060" max="12062" width="11.5" style="3063" customWidth="1"/>
    <col min="12063" max="12063" width="11.75" style="3063" customWidth="1"/>
    <col min="12064" max="12064" width="7.75" style="3063" bestFit="1" customWidth="1"/>
    <col min="12065" max="12065" width="11.5" style="3063" bestFit="1" customWidth="1"/>
    <col min="12066" max="12066" width="7.75" style="3063" bestFit="1" customWidth="1"/>
    <col min="12067" max="12067" width="8.75" style="3063" customWidth="1"/>
    <col min="12068" max="12068" width="9.875" style="3063" bestFit="1" customWidth="1"/>
    <col min="12069" max="12069" width="8" style="3063" customWidth="1"/>
    <col min="12070" max="12073" width="7.75" style="3063" bestFit="1" customWidth="1"/>
    <col min="12074" max="12075" width="12.25" style="3063" customWidth="1"/>
    <col min="12076" max="12076" width="10.25" style="3063" customWidth="1"/>
    <col min="12077" max="12077" width="9.25" style="3063" customWidth="1"/>
    <col min="12078" max="12078" width="11" style="3063" customWidth="1"/>
    <col min="12079" max="12079" width="8.375" style="3063" customWidth="1"/>
    <col min="12080" max="12080" width="9.5" style="3063" customWidth="1"/>
    <col min="12081" max="12081" width="13.25" style="3063" customWidth="1"/>
    <col min="12082" max="12082" width="13" style="3063" customWidth="1"/>
    <col min="12083" max="12085" width="10.875" style="3063" customWidth="1"/>
    <col min="12086" max="12086" width="10.5" style="3063" customWidth="1"/>
    <col min="12087" max="12087" width="6.375" style="3063" customWidth="1"/>
    <col min="12088" max="12088" width="6.25" style="3063" customWidth="1"/>
    <col min="12089" max="12089" width="9.875" style="3063" customWidth="1"/>
    <col min="12090" max="12090" width="10.75" style="3063" customWidth="1"/>
    <col min="12091" max="12091" width="9.5" style="3063" customWidth="1"/>
    <col min="12092" max="12095" width="11" style="3063" customWidth="1"/>
    <col min="12096" max="12096" width="10.625" style="3063" customWidth="1"/>
    <col min="12097" max="12097" width="11.875" style="3063" bestFit="1" customWidth="1"/>
    <col min="12098" max="12098" width="9.75" style="3063" bestFit="1" customWidth="1"/>
    <col min="12099" max="12099" width="11.875" style="3063" bestFit="1" customWidth="1"/>
    <col min="12100" max="12100" width="9.75" style="3063" bestFit="1" customWidth="1"/>
    <col min="12101" max="12101" width="11.875" style="3063" bestFit="1" customWidth="1"/>
    <col min="12102" max="12102" width="9.75" style="3063" bestFit="1" customWidth="1"/>
    <col min="12103" max="12103" width="11.375" style="3063" bestFit="1" customWidth="1"/>
    <col min="12104" max="12104" width="9.75" style="3063" bestFit="1" customWidth="1"/>
    <col min="12105" max="12105" width="11.375" style="3063" bestFit="1" customWidth="1"/>
    <col min="12106" max="12106" width="9.75" style="3063" bestFit="1" customWidth="1"/>
    <col min="12107" max="12107" width="11.375" style="3063" bestFit="1" customWidth="1"/>
    <col min="12108" max="12108" width="9.75" style="3063" bestFit="1" customWidth="1"/>
    <col min="12109" max="12109" width="11.375" style="3063" bestFit="1" customWidth="1"/>
    <col min="12110" max="12110" width="9.75" style="3063" bestFit="1" customWidth="1"/>
    <col min="12111" max="12111" width="11.375" style="3063" bestFit="1" customWidth="1"/>
    <col min="12112" max="12112" width="9.75" style="3063" bestFit="1" customWidth="1"/>
    <col min="12113" max="12113" width="10.25" style="3063" bestFit="1" customWidth="1"/>
    <col min="12114" max="12114" width="9.625" style="3063" customWidth="1"/>
    <col min="12115" max="12115" width="10.375" style="3063" customWidth="1"/>
    <col min="12116" max="12116" width="9.25" style="3063" customWidth="1"/>
    <col min="12117" max="12117" width="10" style="3063" customWidth="1"/>
    <col min="12118" max="12118" width="9.75" style="3063" customWidth="1"/>
    <col min="12119" max="12119" width="9.125" style="3063" customWidth="1"/>
    <col min="12120" max="12144" width="9.5" style="3063" customWidth="1"/>
    <col min="12145" max="12145" width="15.5" style="3063" bestFit="1" customWidth="1"/>
    <col min="12146" max="12146" width="13.25" style="3063" bestFit="1" customWidth="1"/>
    <col min="12147" max="12147" width="13.5" style="3063" customWidth="1"/>
    <col min="12148" max="12148" width="12.5" style="3063" bestFit="1" customWidth="1"/>
    <col min="12149" max="12149" width="10.625" style="3063" bestFit="1" customWidth="1"/>
    <col min="12150" max="12150" width="11.375" style="3063" bestFit="1" customWidth="1"/>
    <col min="12151" max="12151" width="11.75" style="3063" bestFit="1" customWidth="1"/>
    <col min="12152" max="12152" width="11.375" style="3063" bestFit="1" customWidth="1"/>
    <col min="12153" max="12153" width="9.375" style="3063" bestFit="1" customWidth="1"/>
    <col min="12154" max="12154" width="11.375" style="3063" bestFit="1" customWidth="1"/>
    <col min="12155" max="12155" width="10.25" style="3063" bestFit="1" customWidth="1"/>
    <col min="12156" max="12156" width="9.375" style="3063" bestFit="1" customWidth="1"/>
    <col min="12157" max="12157" width="11.375" style="3063" bestFit="1" customWidth="1"/>
    <col min="12158" max="12158" width="10.25" style="3063" bestFit="1" customWidth="1"/>
    <col min="12159" max="12159" width="10.125" style="3063" bestFit="1" customWidth="1"/>
    <col min="12160" max="12160" width="10.375" style="3063" bestFit="1" customWidth="1"/>
    <col min="12161" max="12161" width="8.375" style="3063" bestFit="1" customWidth="1"/>
    <col min="12162" max="12162" width="9.125" style="3063" bestFit="1" customWidth="1"/>
    <col min="12163" max="12163" width="10" style="3063" customWidth="1"/>
    <col min="12164" max="12164" width="8.375" style="3063" bestFit="1" customWidth="1"/>
    <col min="12165" max="12165" width="7.875" style="3063"/>
    <col min="12166" max="12166" width="9.25" style="3063" customWidth="1"/>
    <col min="12167" max="12167" width="8.375" style="3063" bestFit="1" customWidth="1"/>
    <col min="12168" max="12168" width="7.875" style="3063"/>
    <col min="12169" max="12169" width="8.625" style="3063" customWidth="1"/>
    <col min="12170" max="12170" width="10.125" style="3063" bestFit="1" customWidth="1"/>
    <col min="12171" max="12171" width="7.875" style="3063"/>
    <col min="12172" max="12172" width="10.125" style="3063" bestFit="1" customWidth="1"/>
    <col min="12173" max="12173" width="8.25" style="3063" bestFit="1" customWidth="1"/>
    <col min="12174" max="12174" width="7.875" style="3063"/>
    <col min="12175" max="12175" width="10.125" style="3063" bestFit="1" customWidth="1"/>
    <col min="12176" max="12176" width="8.25" style="3063" bestFit="1" customWidth="1"/>
    <col min="12177" max="12177" width="7.875" style="3063"/>
    <col min="12178" max="12178" width="10.125" style="3063" bestFit="1" customWidth="1"/>
    <col min="12179" max="12179" width="8.25" style="3063" bestFit="1" customWidth="1"/>
    <col min="12180" max="12180" width="7.875" style="3063"/>
    <col min="12181" max="12181" width="10.125" style="3063" bestFit="1" customWidth="1"/>
    <col min="12182" max="12183" width="8.25" style="3063" bestFit="1" customWidth="1"/>
    <col min="12184" max="12184" width="10.125" style="3063" bestFit="1" customWidth="1"/>
    <col min="12185" max="12185" width="8.25" style="3063" bestFit="1" customWidth="1"/>
    <col min="12186" max="12186" width="7.875" style="3063"/>
    <col min="12187" max="12187" width="10.125" style="3063" bestFit="1" customWidth="1"/>
    <col min="12188" max="12188" width="9.125" style="3063" bestFit="1" customWidth="1"/>
    <col min="12189" max="12189" width="7.875" style="3063"/>
    <col min="12190" max="12190" width="10.125" style="3063" bestFit="1" customWidth="1"/>
    <col min="12191" max="12191" width="9.125" style="3063" bestFit="1" customWidth="1"/>
    <col min="12192" max="12192" width="7.875" style="3063"/>
    <col min="12193" max="12193" width="10.125" style="3063" bestFit="1" customWidth="1"/>
    <col min="12194" max="12194" width="9.125" style="3063" bestFit="1" customWidth="1"/>
    <col min="12195" max="12195" width="7.875" style="3063"/>
    <col min="12196" max="12196" width="10.125" style="3063" bestFit="1" customWidth="1"/>
    <col min="12197" max="12197" width="9.125" style="3063" bestFit="1" customWidth="1"/>
    <col min="12198" max="12198" width="7.875" style="3063"/>
    <col min="12199" max="12199" width="10.125" style="3063" bestFit="1" customWidth="1"/>
    <col min="12200" max="12200" width="9.125" style="3063" bestFit="1" customWidth="1"/>
    <col min="12201" max="12201" width="7.875" style="3063"/>
    <col min="12202" max="12202" width="10.125" style="3063" bestFit="1" customWidth="1"/>
    <col min="12203" max="12204" width="8.25" style="3063" bestFit="1" customWidth="1"/>
    <col min="12205" max="12205" width="9.125" style="3063" bestFit="1" customWidth="1"/>
    <col min="12206" max="12206" width="8.25" style="3063" bestFit="1" customWidth="1"/>
    <col min="12207" max="12207" width="7.875" style="3063"/>
    <col min="12208" max="12208" width="9.125" style="3063" bestFit="1" customWidth="1"/>
    <col min="12209" max="12209" width="8.25" style="3063" bestFit="1" customWidth="1"/>
    <col min="12210" max="12210" width="7.875" style="3063"/>
    <col min="12211" max="12211" width="9.125" style="3063" bestFit="1" customWidth="1"/>
    <col min="12212" max="12212" width="8.25" style="3063" bestFit="1" customWidth="1"/>
    <col min="12213" max="12213" width="7.875" style="3063"/>
    <col min="12214" max="12215" width="8.25" style="3063" bestFit="1" customWidth="1"/>
    <col min="12216" max="12216" width="7.875" style="3063"/>
    <col min="12217" max="12218" width="8.25" style="3063" bestFit="1" customWidth="1"/>
    <col min="12219" max="12219" width="7.875" style="3063"/>
    <col min="12220" max="12220" width="9.875" style="3063" bestFit="1" customWidth="1"/>
    <col min="12221" max="12221" width="11.125" style="3063" bestFit="1" customWidth="1"/>
    <col min="12222" max="12222" width="9.125" style="3063" bestFit="1" customWidth="1"/>
    <col min="12223" max="12223" width="9.875" style="3063" bestFit="1" customWidth="1"/>
    <col min="12224" max="12224" width="11.125" style="3063" bestFit="1" customWidth="1"/>
    <col min="12225" max="12225" width="7.875" style="3063"/>
    <col min="12226" max="12226" width="9" style="3063" customWidth="1"/>
    <col min="12227" max="12227" width="8.625" style="3063" customWidth="1"/>
    <col min="12228" max="12288" width="7.875" style="3063"/>
    <col min="12289" max="12289" width="3.875" style="3063" customWidth="1"/>
    <col min="12290" max="12290" width="10.375" style="3063" customWidth="1"/>
    <col min="12291" max="12291" width="10.75" style="3063" customWidth="1"/>
    <col min="12292" max="12292" width="11.625" style="3063" customWidth="1"/>
    <col min="12293" max="12293" width="10" style="3063" customWidth="1"/>
    <col min="12294" max="12294" width="9.375" style="3063" customWidth="1"/>
    <col min="12295" max="12295" width="10.5" style="3063" customWidth="1"/>
    <col min="12296" max="12296" width="12.5" style="3063" customWidth="1"/>
    <col min="12297" max="12297" width="11.75" style="3063" customWidth="1"/>
    <col min="12298" max="12298" width="10.5" style="3063" customWidth="1"/>
    <col min="12299" max="12299" width="12.125" style="3063" customWidth="1"/>
    <col min="12300" max="12300" width="9.75" style="3063" customWidth="1"/>
    <col min="12301" max="12301" width="10" style="3063" customWidth="1"/>
    <col min="12302" max="12302" width="12.25" style="3063" customWidth="1"/>
    <col min="12303" max="12303" width="9.75" style="3063" customWidth="1"/>
    <col min="12304" max="12304" width="8.625" style="3063" customWidth="1"/>
    <col min="12305" max="12305" width="11.25" style="3063" customWidth="1"/>
    <col min="12306" max="12306" width="11.125" style="3063" customWidth="1"/>
    <col min="12307" max="12307" width="10.625" style="3063" customWidth="1"/>
    <col min="12308" max="12308" width="11.125" style="3063" customWidth="1"/>
    <col min="12309" max="12309" width="10.125" style="3063" customWidth="1"/>
    <col min="12310" max="12310" width="12.125" style="3063" customWidth="1"/>
    <col min="12311" max="12311" width="7.75" style="3063" customWidth="1"/>
    <col min="12312" max="12312" width="8.125" style="3063" customWidth="1"/>
    <col min="12313" max="12315" width="10.875" style="3063" bestFit="1" customWidth="1"/>
    <col min="12316" max="12318" width="11.5" style="3063" customWidth="1"/>
    <col min="12319" max="12319" width="11.75" style="3063" customWidth="1"/>
    <col min="12320" max="12320" width="7.75" style="3063" bestFit="1" customWidth="1"/>
    <col min="12321" max="12321" width="11.5" style="3063" bestFit="1" customWidth="1"/>
    <col min="12322" max="12322" width="7.75" style="3063" bestFit="1" customWidth="1"/>
    <col min="12323" max="12323" width="8.75" style="3063" customWidth="1"/>
    <col min="12324" max="12324" width="9.875" style="3063" bestFit="1" customWidth="1"/>
    <col min="12325" max="12325" width="8" style="3063" customWidth="1"/>
    <col min="12326" max="12329" width="7.75" style="3063" bestFit="1" customWidth="1"/>
    <col min="12330" max="12331" width="12.25" style="3063" customWidth="1"/>
    <col min="12332" max="12332" width="10.25" style="3063" customWidth="1"/>
    <col min="12333" max="12333" width="9.25" style="3063" customWidth="1"/>
    <col min="12334" max="12334" width="11" style="3063" customWidth="1"/>
    <col min="12335" max="12335" width="8.375" style="3063" customWidth="1"/>
    <col min="12336" max="12336" width="9.5" style="3063" customWidth="1"/>
    <col min="12337" max="12337" width="13.25" style="3063" customWidth="1"/>
    <col min="12338" max="12338" width="13" style="3063" customWidth="1"/>
    <col min="12339" max="12341" width="10.875" style="3063" customWidth="1"/>
    <col min="12342" max="12342" width="10.5" style="3063" customWidth="1"/>
    <col min="12343" max="12343" width="6.375" style="3063" customWidth="1"/>
    <col min="12344" max="12344" width="6.25" style="3063" customWidth="1"/>
    <col min="12345" max="12345" width="9.875" style="3063" customWidth="1"/>
    <col min="12346" max="12346" width="10.75" style="3063" customWidth="1"/>
    <col min="12347" max="12347" width="9.5" style="3063" customWidth="1"/>
    <col min="12348" max="12351" width="11" style="3063" customWidth="1"/>
    <col min="12352" max="12352" width="10.625" style="3063" customWidth="1"/>
    <col min="12353" max="12353" width="11.875" style="3063" bestFit="1" customWidth="1"/>
    <col min="12354" max="12354" width="9.75" style="3063" bestFit="1" customWidth="1"/>
    <col min="12355" max="12355" width="11.875" style="3063" bestFit="1" customWidth="1"/>
    <col min="12356" max="12356" width="9.75" style="3063" bestFit="1" customWidth="1"/>
    <col min="12357" max="12357" width="11.875" style="3063" bestFit="1" customWidth="1"/>
    <col min="12358" max="12358" width="9.75" style="3063" bestFit="1" customWidth="1"/>
    <col min="12359" max="12359" width="11.375" style="3063" bestFit="1" customWidth="1"/>
    <col min="12360" max="12360" width="9.75" style="3063" bestFit="1" customWidth="1"/>
    <col min="12361" max="12361" width="11.375" style="3063" bestFit="1" customWidth="1"/>
    <col min="12362" max="12362" width="9.75" style="3063" bestFit="1" customWidth="1"/>
    <col min="12363" max="12363" width="11.375" style="3063" bestFit="1" customWidth="1"/>
    <col min="12364" max="12364" width="9.75" style="3063" bestFit="1" customWidth="1"/>
    <col min="12365" max="12365" width="11.375" style="3063" bestFit="1" customWidth="1"/>
    <col min="12366" max="12366" width="9.75" style="3063" bestFit="1" customWidth="1"/>
    <col min="12367" max="12367" width="11.375" style="3063" bestFit="1" customWidth="1"/>
    <col min="12368" max="12368" width="9.75" style="3063" bestFit="1" customWidth="1"/>
    <col min="12369" max="12369" width="10.25" style="3063" bestFit="1" customWidth="1"/>
    <col min="12370" max="12370" width="9.625" style="3063" customWidth="1"/>
    <col min="12371" max="12371" width="10.375" style="3063" customWidth="1"/>
    <col min="12372" max="12372" width="9.25" style="3063" customWidth="1"/>
    <col min="12373" max="12373" width="10" style="3063" customWidth="1"/>
    <col min="12374" max="12374" width="9.75" style="3063" customWidth="1"/>
    <col min="12375" max="12375" width="9.125" style="3063" customWidth="1"/>
    <col min="12376" max="12400" width="9.5" style="3063" customWidth="1"/>
    <col min="12401" max="12401" width="15.5" style="3063" bestFit="1" customWidth="1"/>
    <col min="12402" max="12402" width="13.25" style="3063" bestFit="1" customWidth="1"/>
    <col min="12403" max="12403" width="13.5" style="3063" customWidth="1"/>
    <col min="12404" max="12404" width="12.5" style="3063" bestFit="1" customWidth="1"/>
    <col min="12405" max="12405" width="10.625" style="3063" bestFit="1" customWidth="1"/>
    <col min="12406" max="12406" width="11.375" style="3063" bestFit="1" customWidth="1"/>
    <col min="12407" max="12407" width="11.75" style="3063" bestFit="1" customWidth="1"/>
    <col min="12408" max="12408" width="11.375" style="3063" bestFit="1" customWidth="1"/>
    <col min="12409" max="12409" width="9.375" style="3063" bestFit="1" customWidth="1"/>
    <col min="12410" max="12410" width="11.375" style="3063" bestFit="1" customWidth="1"/>
    <col min="12411" max="12411" width="10.25" style="3063" bestFit="1" customWidth="1"/>
    <col min="12412" max="12412" width="9.375" style="3063" bestFit="1" customWidth="1"/>
    <col min="12413" max="12413" width="11.375" style="3063" bestFit="1" customWidth="1"/>
    <col min="12414" max="12414" width="10.25" style="3063" bestFit="1" customWidth="1"/>
    <col min="12415" max="12415" width="10.125" style="3063" bestFit="1" customWidth="1"/>
    <col min="12416" max="12416" width="10.375" style="3063" bestFit="1" customWidth="1"/>
    <col min="12417" max="12417" width="8.375" style="3063" bestFit="1" customWidth="1"/>
    <col min="12418" max="12418" width="9.125" style="3063" bestFit="1" customWidth="1"/>
    <col min="12419" max="12419" width="10" style="3063" customWidth="1"/>
    <col min="12420" max="12420" width="8.375" style="3063" bestFit="1" customWidth="1"/>
    <col min="12421" max="12421" width="7.875" style="3063"/>
    <col min="12422" max="12422" width="9.25" style="3063" customWidth="1"/>
    <col min="12423" max="12423" width="8.375" style="3063" bestFit="1" customWidth="1"/>
    <col min="12424" max="12424" width="7.875" style="3063"/>
    <col min="12425" max="12425" width="8.625" style="3063" customWidth="1"/>
    <col min="12426" max="12426" width="10.125" style="3063" bestFit="1" customWidth="1"/>
    <col min="12427" max="12427" width="7.875" style="3063"/>
    <col min="12428" max="12428" width="10.125" style="3063" bestFit="1" customWidth="1"/>
    <col min="12429" max="12429" width="8.25" style="3063" bestFit="1" customWidth="1"/>
    <col min="12430" max="12430" width="7.875" style="3063"/>
    <col min="12431" max="12431" width="10.125" style="3063" bestFit="1" customWidth="1"/>
    <col min="12432" max="12432" width="8.25" style="3063" bestFit="1" customWidth="1"/>
    <col min="12433" max="12433" width="7.875" style="3063"/>
    <col min="12434" max="12434" width="10.125" style="3063" bestFit="1" customWidth="1"/>
    <col min="12435" max="12435" width="8.25" style="3063" bestFit="1" customWidth="1"/>
    <col min="12436" max="12436" width="7.875" style="3063"/>
    <col min="12437" max="12437" width="10.125" style="3063" bestFit="1" customWidth="1"/>
    <col min="12438" max="12439" width="8.25" style="3063" bestFit="1" customWidth="1"/>
    <col min="12440" max="12440" width="10.125" style="3063" bestFit="1" customWidth="1"/>
    <col min="12441" max="12441" width="8.25" style="3063" bestFit="1" customWidth="1"/>
    <col min="12442" max="12442" width="7.875" style="3063"/>
    <col min="12443" max="12443" width="10.125" style="3063" bestFit="1" customWidth="1"/>
    <col min="12444" max="12444" width="9.125" style="3063" bestFit="1" customWidth="1"/>
    <col min="12445" max="12445" width="7.875" style="3063"/>
    <col min="12446" max="12446" width="10.125" style="3063" bestFit="1" customWidth="1"/>
    <col min="12447" max="12447" width="9.125" style="3063" bestFit="1" customWidth="1"/>
    <col min="12448" max="12448" width="7.875" style="3063"/>
    <col min="12449" max="12449" width="10.125" style="3063" bestFit="1" customWidth="1"/>
    <col min="12450" max="12450" width="9.125" style="3063" bestFit="1" customWidth="1"/>
    <col min="12451" max="12451" width="7.875" style="3063"/>
    <col min="12452" max="12452" width="10.125" style="3063" bestFit="1" customWidth="1"/>
    <col min="12453" max="12453" width="9.125" style="3063" bestFit="1" customWidth="1"/>
    <col min="12454" max="12454" width="7.875" style="3063"/>
    <col min="12455" max="12455" width="10.125" style="3063" bestFit="1" customWidth="1"/>
    <col min="12456" max="12456" width="9.125" style="3063" bestFit="1" customWidth="1"/>
    <col min="12457" max="12457" width="7.875" style="3063"/>
    <col min="12458" max="12458" width="10.125" style="3063" bestFit="1" customWidth="1"/>
    <col min="12459" max="12460" width="8.25" style="3063" bestFit="1" customWidth="1"/>
    <col min="12461" max="12461" width="9.125" style="3063" bestFit="1" customWidth="1"/>
    <col min="12462" max="12462" width="8.25" style="3063" bestFit="1" customWidth="1"/>
    <col min="12463" max="12463" width="7.875" style="3063"/>
    <col min="12464" max="12464" width="9.125" style="3063" bestFit="1" customWidth="1"/>
    <col min="12465" max="12465" width="8.25" style="3063" bestFit="1" customWidth="1"/>
    <col min="12466" max="12466" width="7.875" style="3063"/>
    <col min="12467" max="12467" width="9.125" style="3063" bestFit="1" customWidth="1"/>
    <col min="12468" max="12468" width="8.25" style="3063" bestFit="1" customWidth="1"/>
    <col min="12469" max="12469" width="7.875" style="3063"/>
    <col min="12470" max="12471" width="8.25" style="3063" bestFit="1" customWidth="1"/>
    <col min="12472" max="12472" width="7.875" style="3063"/>
    <col min="12473" max="12474" width="8.25" style="3063" bestFit="1" customWidth="1"/>
    <col min="12475" max="12475" width="7.875" style="3063"/>
    <col min="12476" max="12476" width="9.875" style="3063" bestFit="1" customWidth="1"/>
    <col min="12477" max="12477" width="11.125" style="3063" bestFit="1" customWidth="1"/>
    <col min="12478" max="12478" width="9.125" style="3063" bestFit="1" customWidth="1"/>
    <col min="12479" max="12479" width="9.875" style="3063" bestFit="1" customWidth="1"/>
    <col min="12480" max="12480" width="11.125" style="3063" bestFit="1" customWidth="1"/>
    <col min="12481" max="12481" width="7.875" style="3063"/>
    <col min="12482" max="12482" width="9" style="3063" customWidth="1"/>
    <col min="12483" max="12483" width="8.625" style="3063" customWidth="1"/>
    <col min="12484" max="12544" width="7.875" style="3063"/>
    <col min="12545" max="12545" width="3.875" style="3063" customWidth="1"/>
    <col min="12546" max="12546" width="10.375" style="3063" customWidth="1"/>
    <col min="12547" max="12547" width="10.75" style="3063" customWidth="1"/>
    <col min="12548" max="12548" width="11.625" style="3063" customWidth="1"/>
    <col min="12549" max="12549" width="10" style="3063" customWidth="1"/>
    <col min="12550" max="12550" width="9.375" style="3063" customWidth="1"/>
    <col min="12551" max="12551" width="10.5" style="3063" customWidth="1"/>
    <col min="12552" max="12552" width="12.5" style="3063" customWidth="1"/>
    <col min="12553" max="12553" width="11.75" style="3063" customWidth="1"/>
    <col min="12554" max="12554" width="10.5" style="3063" customWidth="1"/>
    <col min="12555" max="12555" width="12.125" style="3063" customWidth="1"/>
    <col min="12556" max="12556" width="9.75" style="3063" customWidth="1"/>
    <col min="12557" max="12557" width="10" style="3063" customWidth="1"/>
    <col min="12558" max="12558" width="12.25" style="3063" customWidth="1"/>
    <col min="12559" max="12559" width="9.75" style="3063" customWidth="1"/>
    <col min="12560" max="12560" width="8.625" style="3063" customWidth="1"/>
    <col min="12561" max="12561" width="11.25" style="3063" customWidth="1"/>
    <col min="12562" max="12562" width="11.125" style="3063" customWidth="1"/>
    <col min="12563" max="12563" width="10.625" style="3063" customWidth="1"/>
    <col min="12564" max="12564" width="11.125" style="3063" customWidth="1"/>
    <col min="12565" max="12565" width="10.125" style="3063" customWidth="1"/>
    <col min="12566" max="12566" width="12.125" style="3063" customWidth="1"/>
    <col min="12567" max="12567" width="7.75" style="3063" customWidth="1"/>
    <col min="12568" max="12568" width="8.125" style="3063" customWidth="1"/>
    <col min="12569" max="12571" width="10.875" style="3063" bestFit="1" customWidth="1"/>
    <col min="12572" max="12574" width="11.5" style="3063" customWidth="1"/>
    <col min="12575" max="12575" width="11.75" style="3063" customWidth="1"/>
    <col min="12576" max="12576" width="7.75" style="3063" bestFit="1" customWidth="1"/>
    <col min="12577" max="12577" width="11.5" style="3063" bestFit="1" customWidth="1"/>
    <col min="12578" max="12578" width="7.75" style="3063" bestFit="1" customWidth="1"/>
    <col min="12579" max="12579" width="8.75" style="3063" customWidth="1"/>
    <col min="12580" max="12580" width="9.875" style="3063" bestFit="1" customWidth="1"/>
    <col min="12581" max="12581" width="8" style="3063" customWidth="1"/>
    <col min="12582" max="12585" width="7.75" style="3063" bestFit="1" customWidth="1"/>
    <col min="12586" max="12587" width="12.25" style="3063" customWidth="1"/>
    <col min="12588" max="12588" width="10.25" style="3063" customWidth="1"/>
    <col min="12589" max="12589" width="9.25" style="3063" customWidth="1"/>
    <col min="12590" max="12590" width="11" style="3063" customWidth="1"/>
    <col min="12591" max="12591" width="8.375" style="3063" customWidth="1"/>
    <col min="12592" max="12592" width="9.5" style="3063" customWidth="1"/>
    <col min="12593" max="12593" width="13.25" style="3063" customWidth="1"/>
    <col min="12594" max="12594" width="13" style="3063" customWidth="1"/>
    <col min="12595" max="12597" width="10.875" style="3063" customWidth="1"/>
    <col min="12598" max="12598" width="10.5" style="3063" customWidth="1"/>
    <col min="12599" max="12599" width="6.375" style="3063" customWidth="1"/>
    <col min="12600" max="12600" width="6.25" style="3063" customWidth="1"/>
    <col min="12601" max="12601" width="9.875" style="3063" customWidth="1"/>
    <col min="12602" max="12602" width="10.75" style="3063" customWidth="1"/>
    <col min="12603" max="12603" width="9.5" style="3063" customWidth="1"/>
    <col min="12604" max="12607" width="11" style="3063" customWidth="1"/>
    <col min="12608" max="12608" width="10.625" style="3063" customWidth="1"/>
    <col min="12609" max="12609" width="11.875" style="3063" bestFit="1" customWidth="1"/>
    <col min="12610" max="12610" width="9.75" style="3063" bestFit="1" customWidth="1"/>
    <col min="12611" max="12611" width="11.875" style="3063" bestFit="1" customWidth="1"/>
    <col min="12612" max="12612" width="9.75" style="3063" bestFit="1" customWidth="1"/>
    <col min="12613" max="12613" width="11.875" style="3063" bestFit="1" customWidth="1"/>
    <col min="12614" max="12614" width="9.75" style="3063" bestFit="1" customWidth="1"/>
    <col min="12615" max="12615" width="11.375" style="3063" bestFit="1" customWidth="1"/>
    <col min="12616" max="12616" width="9.75" style="3063" bestFit="1" customWidth="1"/>
    <col min="12617" max="12617" width="11.375" style="3063" bestFit="1" customWidth="1"/>
    <col min="12618" max="12618" width="9.75" style="3063" bestFit="1" customWidth="1"/>
    <col min="12619" max="12619" width="11.375" style="3063" bestFit="1" customWidth="1"/>
    <col min="12620" max="12620" width="9.75" style="3063" bestFit="1" customWidth="1"/>
    <col min="12621" max="12621" width="11.375" style="3063" bestFit="1" customWidth="1"/>
    <col min="12622" max="12622" width="9.75" style="3063" bestFit="1" customWidth="1"/>
    <col min="12623" max="12623" width="11.375" style="3063" bestFit="1" customWidth="1"/>
    <col min="12624" max="12624" width="9.75" style="3063" bestFit="1" customWidth="1"/>
    <col min="12625" max="12625" width="10.25" style="3063" bestFit="1" customWidth="1"/>
    <col min="12626" max="12626" width="9.625" style="3063" customWidth="1"/>
    <col min="12627" max="12627" width="10.375" style="3063" customWidth="1"/>
    <col min="12628" max="12628" width="9.25" style="3063" customWidth="1"/>
    <col min="12629" max="12629" width="10" style="3063" customWidth="1"/>
    <col min="12630" max="12630" width="9.75" style="3063" customWidth="1"/>
    <col min="12631" max="12631" width="9.125" style="3063" customWidth="1"/>
    <col min="12632" max="12656" width="9.5" style="3063" customWidth="1"/>
    <col min="12657" max="12657" width="15.5" style="3063" bestFit="1" customWidth="1"/>
    <col min="12658" max="12658" width="13.25" style="3063" bestFit="1" customWidth="1"/>
    <col min="12659" max="12659" width="13.5" style="3063" customWidth="1"/>
    <col min="12660" max="12660" width="12.5" style="3063" bestFit="1" customWidth="1"/>
    <col min="12661" max="12661" width="10.625" style="3063" bestFit="1" customWidth="1"/>
    <col min="12662" max="12662" width="11.375" style="3063" bestFit="1" customWidth="1"/>
    <col min="12663" max="12663" width="11.75" style="3063" bestFit="1" customWidth="1"/>
    <col min="12664" max="12664" width="11.375" style="3063" bestFit="1" customWidth="1"/>
    <col min="12665" max="12665" width="9.375" style="3063" bestFit="1" customWidth="1"/>
    <col min="12666" max="12666" width="11.375" style="3063" bestFit="1" customWidth="1"/>
    <col min="12667" max="12667" width="10.25" style="3063" bestFit="1" customWidth="1"/>
    <col min="12668" max="12668" width="9.375" style="3063" bestFit="1" customWidth="1"/>
    <col min="12669" max="12669" width="11.375" style="3063" bestFit="1" customWidth="1"/>
    <col min="12670" max="12670" width="10.25" style="3063" bestFit="1" customWidth="1"/>
    <col min="12671" max="12671" width="10.125" style="3063" bestFit="1" customWidth="1"/>
    <col min="12672" max="12672" width="10.375" style="3063" bestFit="1" customWidth="1"/>
    <col min="12673" max="12673" width="8.375" style="3063" bestFit="1" customWidth="1"/>
    <col min="12674" max="12674" width="9.125" style="3063" bestFit="1" customWidth="1"/>
    <col min="12675" max="12675" width="10" style="3063" customWidth="1"/>
    <col min="12676" max="12676" width="8.375" style="3063" bestFit="1" customWidth="1"/>
    <col min="12677" max="12677" width="7.875" style="3063"/>
    <col min="12678" max="12678" width="9.25" style="3063" customWidth="1"/>
    <col min="12679" max="12679" width="8.375" style="3063" bestFit="1" customWidth="1"/>
    <col min="12680" max="12680" width="7.875" style="3063"/>
    <col min="12681" max="12681" width="8.625" style="3063" customWidth="1"/>
    <col min="12682" max="12682" width="10.125" style="3063" bestFit="1" customWidth="1"/>
    <col min="12683" max="12683" width="7.875" style="3063"/>
    <col min="12684" max="12684" width="10.125" style="3063" bestFit="1" customWidth="1"/>
    <col min="12685" max="12685" width="8.25" style="3063" bestFit="1" customWidth="1"/>
    <col min="12686" max="12686" width="7.875" style="3063"/>
    <col min="12687" max="12687" width="10.125" style="3063" bestFit="1" customWidth="1"/>
    <col min="12688" max="12688" width="8.25" style="3063" bestFit="1" customWidth="1"/>
    <col min="12689" max="12689" width="7.875" style="3063"/>
    <col min="12690" max="12690" width="10.125" style="3063" bestFit="1" customWidth="1"/>
    <col min="12691" max="12691" width="8.25" style="3063" bestFit="1" customWidth="1"/>
    <col min="12692" max="12692" width="7.875" style="3063"/>
    <col min="12693" max="12693" width="10.125" style="3063" bestFit="1" customWidth="1"/>
    <col min="12694" max="12695" width="8.25" style="3063" bestFit="1" customWidth="1"/>
    <col min="12696" max="12696" width="10.125" style="3063" bestFit="1" customWidth="1"/>
    <col min="12697" max="12697" width="8.25" style="3063" bestFit="1" customWidth="1"/>
    <col min="12698" max="12698" width="7.875" style="3063"/>
    <col min="12699" max="12699" width="10.125" style="3063" bestFit="1" customWidth="1"/>
    <col min="12700" max="12700" width="9.125" style="3063" bestFit="1" customWidth="1"/>
    <col min="12701" max="12701" width="7.875" style="3063"/>
    <col min="12702" max="12702" width="10.125" style="3063" bestFit="1" customWidth="1"/>
    <col min="12703" max="12703" width="9.125" style="3063" bestFit="1" customWidth="1"/>
    <col min="12704" max="12704" width="7.875" style="3063"/>
    <col min="12705" max="12705" width="10.125" style="3063" bestFit="1" customWidth="1"/>
    <col min="12706" max="12706" width="9.125" style="3063" bestFit="1" customWidth="1"/>
    <col min="12707" max="12707" width="7.875" style="3063"/>
    <col min="12708" max="12708" width="10.125" style="3063" bestFit="1" customWidth="1"/>
    <col min="12709" max="12709" width="9.125" style="3063" bestFit="1" customWidth="1"/>
    <col min="12710" max="12710" width="7.875" style="3063"/>
    <col min="12711" max="12711" width="10.125" style="3063" bestFit="1" customWidth="1"/>
    <col min="12712" max="12712" width="9.125" style="3063" bestFit="1" customWidth="1"/>
    <col min="12713" max="12713" width="7.875" style="3063"/>
    <col min="12714" max="12714" width="10.125" style="3063" bestFit="1" customWidth="1"/>
    <col min="12715" max="12716" width="8.25" style="3063" bestFit="1" customWidth="1"/>
    <col min="12717" max="12717" width="9.125" style="3063" bestFit="1" customWidth="1"/>
    <col min="12718" max="12718" width="8.25" style="3063" bestFit="1" customWidth="1"/>
    <col min="12719" max="12719" width="7.875" style="3063"/>
    <col min="12720" max="12720" width="9.125" style="3063" bestFit="1" customWidth="1"/>
    <col min="12721" max="12721" width="8.25" style="3063" bestFit="1" customWidth="1"/>
    <col min="12722" max="12722" width="7.875" style="3063"/>
    <col min="12723" max="12723" width="9.125" style="3063" bestFit="1" customWidth="1"/>
    <col min="12724" max="12724" width="8.25" style="3063" bestFit="1" customWidth="1"/>
    <col min="12725" max="12725" width="7.875" style="3063"/>
    <col min="12726" max="12727" width="8.25" style="3063" bestFit="1" customWidth="1"/>
    <col min="12728" max="12728" width="7.875" style="3063"/>
    <col min="12729" max="12730" width="8.25" style="3063" bestFit="1" customWidth="1"/>
    <col min="12731" max="12731" width="7.875" style="3063"/>
    <col min="12732" max="12732" width="9.875" style="3063" bestFit="1" customWidth="1"/>
    <col min="12733" max="12733" width="11.125" style="3063" bestFit="1" customWidth="1"/>
    <col min="12734" max="12734" width="9.125" style="3063" bestFit="1" customWidth="1"/>
    <col min="12735" max="12735" width="9.875" style="3063" bestFit="1" customWidth="1"/>
    <col min="12736" max="12736" width="11.125" style="3063" bestFit="1" customWidth="1"/>
    <col min="12737" max="12737" width="7.875" style="3063"/>
    <col min="12738" max="12738" width="9" style="3063" customWidth="1"/>
    <col min="12739" max="12739" width="8.625" style="3063" customWidth="1"/>
    <col min="12740" max="12800" width="7.875" style="3063"/>
    <col min="12801" max="12801" width="3.875" style="3063" customWidth="1"/>
    <col min="12802" max="12802" width="10.375" style="3063" customWidth="1"/>
    <col min="12803" max="12803" width="10.75" style="3063" customWidth="1"/>
    <col min="12804" max="12804" width="11.625" style="3063" customWidth="1"/>
    <col min="12805" max="12805" width="10" style="3063" customWidth="1"/>
    <col min="12806" max="12806" width="9.375" style="3063" customWidth="1"/>
    <col min="12807" max="12807" width="10.5" style="3063" customWidth="1"/>
    <col min="12808" max="12808" width="12.5" style="3063" customWidth="1"/>
    <col min="12809" max="12809" width="11.75" style="3063" customWidth="1"/>
    <col min="12810" max="12810" width="10.5" style="3063" customWidth="1"/>
    <col min="12811" max="12811" width="12.125" style="3063" customWidth="1"/>
    <col min="12812" max="12812" width="9.75" style="3063" customWidth="1"/>
    <col min="12813" max="12813" width="10" style="3063" customWidth="1"/>
    <col min="12814" max="12814" width="12.25" style="3063" customWidth="1"/>
    <col min="12815" max="12815" width="9.75" style="3063" customWidth="1"/>
    <col min="12816" max="12816" width="8.625" style="3063" customWidth="1"/>
    <col min="12817" max="12817" width="11.25" style="3063" customWidth="1"/>
    <col min="12818" max="12818" width="11.125" style="3063" customWidth="1"/>
    <col min="12819" max="12819" width="10.625" style="3063" customWidth="1"/>
    <col min="12820" max="12820" width="11.125" style="3063" customWidth="1"/>
    <col min="12821" max="12821" width="10.125" style="3063" customWidth="1"/>
    <col min="12822" max="12822" width="12.125" style="3063" customWidth="1"/>
    <col min="12823" max="12823" width="7.75" style="3063" customWidth="1"/>
    <col min="12824" max="12824" width="8.125" style="3063" customWidth="1"/>
    <col min="12825" max="12827" width="10.875" style="3063" bestFit="1" customWidth="1"/>
    <col min="12828" max="12830" width="11.5" style="3063" customWidth="1"/>
    <col min="12831" max="12831" width="11.75" style="3063" customWidth="1"/>
    <col min="12832" max="12832" width="7.75" style="3063" bestFit="1" customWidth="1"/>
    <col min="12833" max="12833" width="11.5" style="3063" bestFit="1" customWidth="1"/>
    <col min="12834" max="12834" width="7.75" style="3063" bestFit="1" customWidth="1"/>
    <col min="12835" max="12835" width="8.75" style="3063" customWidth="1"/>
    <col min="12836" max="12836" width="9.875" style="3063" bestFit="1" customWidth="1"/>
    <col min="12837" max="12837" width="8" style="3063" customWidth="1"/>
    <col min="12838" max="12841" width="7.75" style="3063" bestFit="1" customWidth="1"/>
    <col min="12842" max="12843" width="12.25" style="3063" customWidth="1"/>
    <col min="12844" max="12844" width="10.25" style="3063" customWidth="1"/>
    <col min="12845" max="12845" width="9.25" style="3063" customWidth="1"/>
    <col min="12846" max="12846" width="11" style="3063" customWidth="1"/>
    <col min="12847" max="12847" width="8.375" style="3063" customWidth="1"/>
    <col min="12848" max="12848" width="9.5" style="3063" customWidth="1"/>
    <col min="12849" max="12849" width="13.25" style="3063" customWidth="1"/>
    <col min="12850" max="12850" width="13" style="3063" customWidth="1"/>
    <col min="12851" max="12853" width="10.875" style="3063" customWidth="1"/>
    <col min="12854" max="12854" width="10.5" style="3063" customWidth="1"/>
    <col min="12855" max="12855" width="6.375" style="3063" customWidth="1"/>
    <col min="12856" max="12856" width="6.25" style="3063" customWidth="1"/>
    <col min="12857" max="12857" width="9.875" style="3063" customWidth="1"/>
    <col min="12858" max="12858" width="10.75" style="3063" customWidth="1"/>
    <col min="12859" max="12859" width="9.5" style="3063" customWidth="1"/>
    <col min="12860" max="12863" width="11" style="3063" customWidth="1"/>
    <col min="12864" max="12864" width="10.625" style="3063" customWidth="1"/>
    <col min="12865" max="12865" width="11.875" style="3063" bestFit="1" customWidth="1"/>
    <col min="12866" max="12866" width="9.75" style="3063" bestFit="1" customWidth="1"/>
    <col min="12867" max="12867" width="11.875" style="3063" bestFit="1" customWidth="1"/>
    <col min="12868" max="12868" width="9.75" style="3063" bestFit="1" customWidth="1"/>
    <col min="12869" max="12869" width="11.875" style="3063" bestFit="1" customWidth="1"/>
    <col min="12870" max="12870" width="9.75" style="3063" bestFit="1" customWidth="1"/>
    <col min="12871" max="12871" width="11.375" style="3063" bestFit="1" customWidth="1"/>
    <col min="12872" max="12872" width="9.75" style="3063" bestFit="1" customWidth="1"/>
    <col min="12873" max="12873" width="11.375" style="3063" bestFit="1" customWidth="1"/>
    <col min="12874" max="12874" width="9.75" style="3063" bestFit="1" customWidth="1"/>
    <col min="12875" max="12875" width="11.375" style="3063" bestFit="1" customWidth="1"/>
    <col min="12876" max="12876" width="9.75" style="3063" bestFit="1" customWidth="1"/>
    <col min="12877" max="12877" width="11.375" style="3063" bestFit="1" customWidth="1"/>
    <col min="12878" max="12878" width="9.75" style="3063" bestFit="1" customWidth="1"/>
    <col min="12879" max="12879" width="11.375" style="3063" bestFit="1" customWidth="1"/>
    <col min="12880" max="12880" width="9.75" style="3063" bestFit="1" customWidth="1"/>
    <col min="12881" max="12881" width="10.25" style="3063" bestFit="1" customWidth="1"/>
    <col min="12882" max="12882" width="9.625" style="3063" customWidth="1"/>
    <col min="12883" max="12883" width="10.375" style="3063" customWidth="1"/>
    <col min="12884" max="12884" width="9.25" style="3063" customWidth="1"/>
    <col min="12885" max="12885" width="10" style="3063" customWidth="1"/>
    <col min="12886" max="12886" width="9.75" style="3063" customWidth="1"/>
    <col min="12887" max="12887" width="9.125" style="3063" customWidth="1"/>
    <col min="12888" max="12912" width="9.5" style="3063" customWidth="1"/>
    <col min="12913" max="12913" width="15.5" style="3063" bestFit="1" customWidth="1"/>
    <col min="12914" max="12914" width="13.25" style="3063" bestFit="1" customWidth="1"/>
    <col min="12915" max="12915" width="13.5" style="3063" customWidth="1"/>
    <col min="12916" max="12916" width="12.5" style="3063" bestFit="1" customWidth="1"/>
    <col min="12917" max="12917" width="10.625" style="3063" bestFit="1" customWidth="1"/>
    <col min="12918" max="12918" width="11.375" style="3063" bestFit="1" customWidth="1"/>
    <col min="12919" max="12919" width="11.75" style="3063" bestFit="1" customWidth="1"/>
    <col min="12920" max="12920" width="11.375" style="3063" bestFit="1" customWidth="1"/>
    <col min="12921" max="12921" width="9.375" style="3063" bestFit="1" customWidth="1"/>
    <col min="12922" max="12922" width="11.375" style="3063" bestFit="1" customWidth="1"/>
    <col min="12923" max="12923" width="10.25" style="3063" bestFit="1" customWidth="1"/>
    <col min="12924" max="12924" width="9.375" style="3063" bestFit="1" customWidth="1"/>
    <col min="12925" max="12925" width="11.375" style="3063" bestFit="1" customWidth="1"/>
    <col min="12926" max="12926" width="10.25" style="3063" bestFit="1" customWidth="1"/>
    <col min="12927" max="12927" width="10.125" style="3063" bestFit="1" customWidth="1"/>
    <col min="12928" max="12928" width="10.375" style="3063" bestFit="1" customWidth="1"/>
    <col min="12929" max="12929" width="8.375" style="3063" bestFit="1" customWidth="1"/>
    <col min="12930" max="12930" width="9.125" style="3063" bestFit="1" customWidth="1"/>
    <col min="12931" max="12931" width="10" style="3063" customWidth="1"/>
    <col min="12932" max="12932" width="8.375" style="3063" bestFit="1" customWidth="1"/>
    <col min="12933" max="12933" width="7.875" style="3063"/>
    <col min="12934" max="12934" width="9.25" style="3063" customWidth="1"/>
    <col min="12935" max="12935" width="8.375" style="3063" bestFit="1" customWidth="1"/>
    <col min="12936" max="12936" width="7.875" style="3063"/>
    <col min="12937" max="12937" width="8.625" style="3063" customWidth="1"/>
    <col min="12938" max="12938" width="10.125" style="3063" bestFit="1" customWidth="1"/>
    <col min="12939" max="12939" width="7.875" style="3063"/>
    <col min="12940" max="12940" width="10.125" style="3063" bestFit="1" customWidth="1"/>
    <col min="12941" max="12941" width="8.25" style="3063" bestFit="1" customWidth="1"/>
    <col min="12942" max="12942" width="7.875" style="3063"/>
    <col min="12943" max="12943" width="10.125" style="3063" bestFit="1" customWidth="1"/>
    <col min="12944" max="12944" width="8.25" style="3063" bestFit="1" customWidth="1"/>
    <col min="12945" max="12945" width="7.875" style="3063"/>
    <col min="12946" max="12946" width="10.125" style="3063" bestFit="1" customWidth="1"/>
    <col min="12947" max="12947" width="8.25" style="3063" bestFit="1" customWidth="1"/>
    <col min="12948" max="12948" width="7.875" style="3063"/>
    <col min="12949" max="12949" width="10.125" style="3063" bestFit="1" customWidth="1"/>
    <col min="12950" max="12951" width="8.25" style="3063" bestFit="1" customWidth="1"/>
    <col min="12952" max="12952" width="10.125" style="3063" bestFit="1" customWidth="1"/>
    <col min="12953" max="12953" width="8.25" style="3063" bestFit="1" customWidth="1"/>
    <col min="12954" max="12954" width="7.875" style="3063"/>
    <col min="12955" max="12955" width="10.125" style="3063" bestFit="1" customWidth="1"/>
    <col min="12956" max="12956" width="9.125" style="3063" bestFit="1" customWidth="1"/>
    <col min="12957" max="12957" width="7.875" style="3063"/>
    <col min="12958" max="12958" width="10.125" style="3063" bestFit="1" customWidth="1"/>
    <col min="12959" max="12959" width="9.125" style="3063" bestFit="1" customWidth="1"/>
    <col min="12960" max="12960" width="7.875" style="3063"/>
    <col min="12961" max="12961" width="10.125" style="3063" bestFit="1" customWidth="1"/>
    <col min="12962" max="12962" width="9.125" style="3063" bestFit="1" customWidth="1"/>
    <col min="12963" max="12963" width="7.875" style="3063"/>
    <col min="12964" max="12964" width="10.125" style="3063" bestFit="1" customWidth="1"/>
    <col min="12965" max="12965" width="9.125" style="3063" bestFit="1" customWidth="1"/>
    <col min="12966" max="12966" width="7.875" style="3063"/>
    <col min="12967" max="12967" width="10.125" style="3063" bestFit="1" customWidth="1"/>
    <col min="12968" max="12968" width="9.125" style="3063" bestFit="1" customWidth="1"/>
    <col min="12969" max="12969" width="7.875" style="3063"/>
    <col min="12970" max="12970" width="10.125" style="3063" bestFit="1" customWidth="1"/>
    <col min="12971" max="12972" width="8.25" style="3063" bestFit="1" customWidth="1"/>
    <col min="12973" max="12973" width="9.125" style="3063" bestFit="1" customWidth="1"/>
    <col min="12974" max="12974" width="8.25" style="3063" bestFit="1" customWidth="1"/>
    <col min="12975" max="12975" width="7.875" style="3063"/>
    <col min="12976" max="12976" width="9.125" style="3063" bestFit="1" customWidth="1"/>
    <col min="12977" max="12977" width="8.25" style="3063" bestFit="1" customWidth="1"/>
    <col min="12978" max="12978" width="7.875" style="3063"/>
    <col min="12979" max="12979" width="9.125" style="3063" bestFit="1" customWidth="1"/>
    <col min="12980" max="12980" width="8.25" style="3063" bestFit="1" customWidth="1"/>
    <col min="12981" max="12981" width="7.875" style="3063"/>
    <col min="12982" max="12983" width="8.25" style="3063" bestFit="1" customWidth="1"/>
    <col min="12984" max="12984" width="7.875" style="3063"/>
    <col min="12985" max="12986" width="8.25" style="3063" bestFit="1" customWidth="1"/>
    <col min="12987" max="12987" width="7.875" style="3063"/>
    <col min="12988" max="12988" width="9.875" style="3063" bestFit="1" customWidth="1"/>
    <col min="12989" max="12989" width="11.125" style="3063" bestFit="1" customWidth="1"/>
    <col min="12990" max="12990" width="9.125" style="3063" bestFit="1" customWidth="1"/>
    <col min="12991" max="12991" width="9.875" style="3063" bestFit="1" customWidth="1"/>
    <col min="12992" max="12992" width="11.125" style="3063" bestFit="1" customWidth="1"/>
    <col min="12993" max="12993" width="7.875" style="3063"/>
    <col min="12994" max="12994" width="9" style="3063" customWidth="1"/>
    <col min="12995" max="12995" width="8.625" style="3063" customWidth="1"/>
    <col min="12996" max="13056" width="7.875" style="3063"/>
    <col min="13057" max="13057" width="3.875" style="3063" customWidth="1"/>
    <col min="13058" max="13058" width="10.375" style="3063" customWidth="1"/>
    <col min="13059" max="13059" width="10.75" style="3063" customWidth="1"/>
    <col min="13060" max="13060" width="11.625" style="3063" customWidth="1"/>
    <col min="13061" max="13061" width="10" style="3063" customWidth="1"/>
    <col min="13062" max="13062" width="9.375" style="3063" customWidth="1"/>
    <col min="13063" max="13063" width="10.5" style="3063" customWidth="1"/>
    <col min="13064" max="13064" width="12.5" style="3063" customWidth="1"/>
    <col min="13065" max="13065" width="11.75" style="3063" customWidth="1"/>
    <col min="13066" max="13066" width="10.5" style="3063" customWidth="1"/>
    <col min="13067" max="13067" width="12.125" style="3063" customWidth="1"/>
    <col min="13068" max="13068" width="9.75" style="3063" customWidth="1"/>
    <col min="13069" max="13069" width="10" style="3063" customWidth="1"/>
    <col min="13070" max="13070" width="12.25" style="3063" customWidth="1"/>
    <col min="13071" max="13071" width="9.75" style="3063" customWidth="1"/>
    <col min="13072" max="13072" width="8.625" style="3063" customWidth="1"/>
    <col min="13073" max="13073" width="11.25" style="3063" customWidth="1"/>
    <col min="13074" max="13074" width="11.125" style="3063" customWidth="1"/>
    <col min="13075" max="13075" width="10.625" style="3063" customWidth="1"/>
    <col min="13076" max="13076" width="11.125" style="3063" customWidth="1"/>
    <col min="13077" max="13077" width="10.125" style="3063" customWidth="1"/>
    <col min="13078" max="13078" width="12.125" style="3063" customWidth="1"/>
    <col min="13079" max="13079" width="7.75" style="3063" customWidth="1"/>
    <col min="13080" max="13080" width="8.125" style="3063" customWidth="1"/>
    <col min="13081" max="13083" width="10.875" style="3063" bestFit="1" customWidth="1"/>
    <col min="13084" max="13086" width="11.5" style="3063" customWidth="1"/>
    <col min="13087" max="13087" width="11.75" style="3063" customWidth="1"/>
    <col min="13088" max="13088" width="7.75" style="3063" bestFit="1" customWidth="1"/>
    <col min="13089" max="13089" width="11.5" style="3063" bestFit="1" customWidth="1"/>
    <col min="13090" max="13090" width="7.75" style="3063" bestFit="1" customWidth="1"/>
    <col min="13091" max="13091" width="8.75" style="3063" customWidth="1"/>
    <col min="13092" max="13092" width="9.875" style="3063" bestFit="1" customWidth="1"/>
    <col min="13093" max="13093" width="8" style="3063" customWidth="1"/>
    <col min="13094" max="13097" width="7.75" style="3063" bestFit="1" customWidth="1"/>
    <col min="13098" max="13099" width="12.25" style="3063" customWidth="1"/>
    <col min="13100" max="13100" width="10.25" style="3063" customWidth="1"/>
    <col min="13101" max="13101" width="9.25" style="3063" customWidth="1"/>
    <col min="13102" max="13102" width="11" style="3063" customWidth="1"/>
    <col min="13103" max="13103" width="8.375" style="3063" customWidth="1"/>
    <col min="13104" max="13104" width="9.5" style="3063" customWidth="1"/>
    <col min="13105" max="13105" width="13.25" style="3063" customWidth="1"/>
    <col min="13106" max="13106" width="13" style="3063" customWidth="1"/>
    <col min="13107" max="13109" width="10.875" style="3063" customWidth="1"/>
    <col min="13110" max="13110" width="10.5" style="3063" customWidth="1"/>
    <col min="13111" max="13111" width="6.375" style="3063" customWidth="1"/>
    <col min="13112" max="13112" width="6.25" style="3063" customWidth="1"/>
    <col min="13113" max="13113" width="9.875" style="3063" customWidth="1"/>
    <col min="13114" max="13114" width="10.75" style="3063" customWidth="1"/>
    <col min="13115" max="13115" width="9.5" style="3063" customWidth="1"/>
    <col min="13116" max="13119" width="11" style="3063" customWidth="1"/>
    <col min="13120" max="13120" width="10.625" style="3063" customWidth="1"/>
    <col min="13121" max="13121" width="11.875" style="3063" bestFit="1" customWidth="1"/>
    <col min="13122" max="13122" width="9.75" style="3063" bestFit="1" customWidth="1"/>
    <col min="13123" max="13123" width="11.875" style="3063" bestFit="1" customWidth="1"/>
    <col min="13124" max="13124" width="9.75" style="3063" bestFit="1" customWidth="1"/>
    <col min="13125" max="13125" width="11.875" style="3063" bestFit="1" customWidth="1"/>
    <col min="13126" max="13126" width="9.75" style="3063" bestFit="1" customWidth="1"/>
    <col min="13127" max="13127" width="11.375" style="3063" bestFit="1" customWidth="1"/>
    <col min="13128" max="13128" width="9.75" style="3063" bestFit="1" customWidth="1"/>
    <col min="13129" max="13129" width="11.375" style="3063" bestFit="1" customWidth="1"/>
    <col min="13130" max="13130" width="9.75" style="3063" bestFit="1" customWidth="1"/>
    <col min="13131" max="13131" width="11.375" style="3063" bestFit="1" customWidth="1"/>
    <col min="13132" max="13132" width="9.75" style="3063" bestFit="1" customWidth="1"/>
    <col min="13133" max="13133" width="11.375" style="3063" bestFit="1" customWidth="1"/>
    <col min="13134" max="13134" width="9.75" style="3063" bestFit="1" customWidth="1"/>
    <col min="13135" max="13135" width="11.375" style="3063" bestFit="1" customWidth="1"/>
    <col min="13136" max="13136" width="9.75" style="3063" bestFit="1" customWidth="1"/>
    <col min="13137" max="13137" width="10.25" style="3063" bestFit="1" customWidth="1"/>
    <col min="13138" max="13138" width="9.625" style="3063" customWidth="1"/>
    <col min="13139" max="13139" width="10.375" style="3063" customWidth="1"/>
    <col min="13140" max="13140" width="9.25" style="3063" customWidth="1"/>
    <col min="13141" max="13141" width="10" style="3063" customWidth="1"/>
    <col min="13142" max="13142" width="9.75" style="3063" customWidth="1"/>
    <col min="13143" max="13143" width="9.125" style="3063" customWidth="1"/>
    <col min="13144" max="13168" width="9.5" style="3063" customWidth="1"/>
    <col min="13169" max="13169" width="15.5" style="3063" bestFit="1" customWidth="1"/>
    <col min="13170" max="13170" width="13.25" style="3063" bestFit="1" customWidth="1"/>
    <col min="13171" max="13171" width="13.5" style="3063" customWidth="1"/>
    <col min="13172" max="13172" width="12.5" style="3063" bestFit="1" customWidth="1"/>
    <col min="13173" max="13173" width="10.625" style="3063" bestFit="1" customWidth="1"/>
    <col min="13174" max="13174" width="11.375" style="3063" bestFit="1" customWidth="1"/>
    <col min="13175" max="13175" width="11.75" style="3063" bestFit="1" customWidth="1"/>
    <col min="13176" max="13176" width="11.375" style="3063" bestFit="1" customWidth="1"/>
    <col min="13177" max="13177" width="9.375" style="3063" bestFit="1" customWidth="1"/>
    <col min="13178" max="13178" width="11.375" style="3063" bestFit="1" customWidth="1"/>
    <col min="13179" max="13179" width="10.25" style="3063" bestFit="1" customWidth="1"/>
    <col min="13180" max="13180" width="9.375" style="3063" bestFit="1" customWidth="1"/>
    <col min="13181" max="13181" width="11.375" style="3063" bestFit="1" customWidth="1"/>
    <col min="13182" max="13182" width="10.25" style="3063" bestFit="1" customWidth="1"/>
    <col min="13183" max="13183" width="10.125" style="3063" bestFit="1" customWidth="1"/>
    <col min="13184" max="13184" width="10.375" style="3063" bestFit="1" customWidth="1"/>
    <col min="13185" max="13185" width="8.375" style="3063" bestFit="1" customWidth="1"/>
    <col min="13186" max="13186" width="9.125" style="3063" bestFit="1" customWidth="1"/>
    <col min="13187" max="13187" width="10" style="3063" customWidth="1"/>
    <col min="13188" max="13188" width="8.375" style="3063" bestFit="1" customWidth="1"/>
    <col min="13189" max="13189" width="7.875" style="3063"/>
    <col min="13190" max="13190" width="9.25" style="3063" customWidth="1"/>
    <col min="13191" max="13191" width="8.375" style="3063" bestFit="1" customWidth="1"/>
    <col min="13192" max="13192" width="7.875" style="3063"/>
    <col min="13193" max="13193" width="8.625" style="3063" customWidth="1"/>
    <col min="13194" max="13194" width="10.125" style="3063" bestFit="1" customWidth="1"/>
    <col min="13195" max="13195" width="7.875" style="3063"/>
    <col min="13196" max="13196" width="10.125" style="3063" bestFit="1" customWidth="1"/>
    <col min="13197" max="13197" width="8.25" style="3063" bestFit="1" customWidth="1"/>
    <col min="13198" max="13198" width="7.875" style="3063"/>
    <col min="13199" max="13199" width="10.125" style="3063" bestFit="1" customWidth="1"/>
    <col min="13200" max="13200" width="8.25" style="3063" bestFit="1" customWidth="1"/>
    <col min="13201" max="13201" width="7.875" style="3063"/>
    <col min="13202" max="13202" width="10.125" style="3063" bestFit="1" customWidth="1"/>
    <col min="13203" max="13203" width="8.25" style="3063" bestFit="1" customWidth="1"/>
    <col min="13204" max="13204" width="7.875" style="3063"/>
    <col min="13205" max="13205" width="10.125" style="3063" bestFit="1" customWidth="1"/>
    <col min="13206" max="13207" width="8.25" style="3063" bestFit="1" customWidth="1"/>
    <col min="13208" max="13208" width="10.125" style="3063" bestFit="1" customWidth="1"/>
    <col min="13209" max="13209" width="8.25" style="3063" bestFit="1" customWidth="1"/>
    <col min="13210" max="13210" width="7.875" style="3063"/>
    <col min="13211" max="13211" width="10.125" style="3063" bestFit="1" customWidth="1"/>
    <col min="13212" max="13212" width="9.125" style="3063" bestFit="1" customWidth="1"/>
    <col min="13213" max="13213" width="7.875" style="3063"/>
    <col min="13214" max="13214" width="10.125" style="3063" bestFit="1" customWidth="1"/>
    <col min="13215" max="13215" width="9.125" style="3063" bestFit="1" customWidth="1"/>
    <col min="13216" max="13216" width="7.875" style="3063"/>
    <col min="13217" max="13217" width="10.125" style="3063" bestFit="1" customWidth="1"/>
    <col min="13218" max="13218" width="9.125" style="3063" bestFit="1" customWidth="1"/>
    <col min="13219" max="13219" width="7.875" style="3063"/>
    <col min="13220" max="13220" width="10.125" style="3063" bestFit="1" customWidth="1"/>
    <col min="13221" max="13221" width="9.125" style="3063" bestFit="1" customWidth="1"/>
    <col min="13222" max="13222" width="7.875" style="3063"/>
    <col min="13223" max="13223" width="10.125" style="3063" bestFit="1" customWidth="1"/>
    <col min="13224" max="13224" width="9.125" style="3063" bestFit="1" customWidth="1"/>
    <col min="13225" max="13225" width="7.875" style="3063"/>
    <col min="13226" max="13226" width="10.125" style="3063" bestFit="1" customWidth="1"/>
    <col min="13227" max="13228" width="8.25" style="3063" bestFit="1" customWidth="1"/>
    <col min="13229" max="13229" width="9.125" style="3063" bestFit="1" customWidth="1"/>
    <col min="13230" max="13230" width="8.25" style="3063" bestFit="1" customWidth="1"/>
    <col min="13231" max="13231" width="7.875" style="3063"/>
    <col min="13232" max="13232" width="9.125" style="3063" bestFit="1" customWidth="1"/>
    <col min="13233" max="13233" width="8.25" style="3063" bestFit="1" customWidth="1"/>
    <col min="13234" max="13234" width="7.875" style="3063"/>
    <col min="13235" max="13235" width="9.125" style="3063" bestFit="1" customWidth="1"/>
    <col min="13236" max="13236" width="8.25" style="3063" bestFit="1" customWidth="1"/>
    <col min="13237" max="13237" width="7.875" style="3063"/>
    <col min="13238" max="13239" width="8.25" style="3063" bestFit="1" customWidth="1"/>
    <col min="13240" max="13240" width="7.875" style="3063"/>
    <col min="13241" max="13242" width="8.25" style="3063" bestFit="1" customWidth="1"/>
    <col min="13243" max="13243" width="7.875" style="3063"/>
    <col min="13244" max="13244" width="9.875" style="3063" bestFit="1" customWidth="1"/>
    <col min="13245" max="13245" width="11.125" style="3063" bestFit="1" customWidth="1"/>
    <col min="13246" max="13246" width="9.125" style="3063" bestFit="1" customWidth="1"/>
    <col min="13247" max="13247" width="9.875" style="3063" bestFit="1" customWidth="1"/>
    <col min="13248" max="13248" width="11.125" style="3063" bestFit="1" customWidth="1"/>
    <col min="13249" max="13249" width="7.875" style="3063"/>
    <col min="13250" max="13250" width="9" style="3063" customWidth="1"/>
    <col min="13251" max="13251" width="8.625" style="3063" customWidth="1"/>
    <col min="13252" max="13312" width="7.875" style="3063"/>
    <col min="13313" max="13313" width="3.875" style="3063" customWidth="1"/>
    <col min="13314" max="13314" width="10.375" style="3063" customWidth="1"/>
    <col min="13315" max="13315" width="10.75" style="3063" customWidth="1"/>
    <col min="13316" max="13316" width="11.625" style="3063" customWidth="1"/>
    <col min="13317" max="13317" width="10" style="3063" customWidth="1"/>
    <col min="13318" max="13318" width="9.375" style="3063" customWidth="1"/>
    <col min="13319" max="13319" width="10.5" style="3063" customWidth="1"/>
    <col min="13320" max="13320" width="12.5" style="3063" customWidth="1"/>
    <col min="13321" max="13321" width="11.75" style="3063" customWidth="1"/>
    <col min="13322" max="13322" width="10.5" style="3063" customWidth="1"/>
    <col min="13323" max="13323" width="12.125" style="3063" customWidth="1"/>
    <col min="13324" max="13324" width="9.75" style="3063" customWidth="1"/>
    <col min="13325" max="13325" width="10" style="3063" customWidth="1"/>
    <col min="13326" max="13326" width="12.25" style="3063" customWidth="1"/>
    <col min="13327" max="13327" width="9.75" style="3063" customWidth="1"/>
    <col min="13328" max="13328" width="8.625" style="3063" customWidth="1"/>
    <col min="13329" max="13329" width="11.25" style="3063" customWidth="1"/>
    <col min="13330" max="13330" width="11.125" style="3063" customWidth="1"/>
    <col min="13331" max="13331" width="10.625" style="3063" customWidth="1"/>
    <col min="13332" max="13332" width="11.125" style="3063" customWidth="1"/>
    <col min="13333" max="13333" width="10.125" style="3063" customWidth="1"/>
    <col min="13334" max="13334" width="12.125" style="3063" customWidth="1"/>
    <col min="13335" max="13335" width="7.75" style="3063" customWidth="1"/>
    <col min="13336" max="13336" width="8.125" style="3063" customWidth="1"/>
    <col min="13337" max="13339" width="10.875" style="3063" bestFit="1" customWidth="1"/>
    <col min="13340" max="13342" width="11.5" style="3063" customWidth="1"/>
    <col min="13343" max="13343" width="11.75" style="3063" customWidth="1"/>
    <col min="13344" max="13344" width="7.75" style="3063" bestFit="1" customWidth="1"/>
    <col min="13345" max="13345" width="11.5" style="3063" bestFit="1" customWidth="1"/>
    <col min="13346" max="13346" width="7.75" style="3063" bestFit="1" customWidth="1"/>
    <col min="13347" max="13347" width="8.75" style="3063" customWidth="1"/>
    <col min="13348" max="13348" width="9.875" style="3063" bestFit="1" customWidth="1"/>
    <col min="13349" max="13349" width="8" style="3063" customWidth="1"/>
    <col min="13350" max="13353" width="7.75" style="3063" bestFit="1" customWidth="1"/>
    <col min="13354" max="13355" width="12.25" style="3063" customWidth="1"/>
    <col min="13356" max="13356" width="10.25" style="3063" customWidth="1"/>
    <col min="13357" max="13357" width="9.25" style="3063" customWidth="1"/>
    <col min="13358" max="13358" width="11" style="3063" customWidth="1"/>
    <col min="13359" max="13359" width="8.375" style="3063" customWidth="1"/>
    <col min="13360" max="13360" width="9.5" style="3063" customWidth="1"/>
    <col min="13361" max="13361" width="13.25" style="3063" customWidth="1"/>
    <col min="13362" max="13362" width="13" style="3063" customWidth="1"/>
    <col min="13363" max="13365" width="10.875" style="3063" customWidth="1"/>
    <col min="13366" max="13366" width="10.5" style="3063" customWidth="1"/>
    <col min="13367" max="13367" width="6.375" style="3063" customWidth="1"/>
    <col min="13368" max="13368" width="6.25" style="3063" customWidth="1"/>
    <col min="13369" max="13369" width="9.875" style="3063" customWidth="1"/>
    <col min="13370" max="13370" width="10.75" style="3063" customWidth="1"/>
    <col min="13371" max="13371" width="9.5" style="3063" customWidth="1"/>
    <col min="13372" max="13375" width="11" style="3063" customWidth="1"/>
    <col min="13376" max="13376" width="10.625" style="3063" customWidth="1"/>
    <col min="13377" max="13377" width="11.875" style="3063" bestFit="1" customWidth="1"/>
    <col min="13378" max="13378" width="9.75" style="3063" bestFit="1" customWidth="1"/>
    <col min="13379" max="13379" width="11.875" style="3063" bestFit="1" customWidth="1"/>
    <col min="13380" max="13380" width="9.75" style="3063" bestFit="1" customWidth="1"/>
    <col min="13381" max="13381" width="11.875" style="3063" bestFit="1" customWidth="1"/>
    <col min="13382" max="13382" width="9.75" style="3063" bestFit="1" customWidth="1"/>
    <col min="13383" max="13383" width="11.375" style="3063" bestFit="1" customWidth="1"/>
    <col min="13384" max="13384" width="9.75" style="3063" bestFit="1" customWidth="1"/>
    <col min="13385" max="13385" width="11.375" style="3063" bestFit="1" customWidth="1"/>
    <col min="13386" max="13386" width="9.75" style="3063" bestFit="1" customWidth="1"/>
    <col min="13387" max="13387" width="11.375" style="3063" bestFit="1" customWidth="1"/>
    <col min="13388" max="13388" width="9.75" style="3063" bestFit="1" customWidth="1"/>
    <col min="13389" max="13389" width="11.375" style="3063" bestFit="1" customWidth="1"/>
    <col min="13390" max="13390" width="9.75" style="3063" bestFit="1" customWidth="1"/>
    <col min="13391" max="13391" width="11.375" style="3063" bestFit="1" customWidth="1"/>
    <col min="13392" max="13392" width="9.75" style="3063" bestFit="1" customWidth="1"/>
    <col min="13393" max="13393" width="10.25" style="3063" bestFit="1" customWidth="1"/>
    <col min="13394" max="13394" width="9.625" style="3063" customWidth="1"/>
    <col min="13395" max="13395" width="10.375" style="3063" customWidth="1"/>
    <col min="13396" max="13396" width="9.25" style="3063" customWidth="1"/>
    <col min="13397" max="13397" width="10" style="3063" customWidth="1"/>
    <col min="13398" max="13398" width="9.75" style="3063" customWidth="1"/>
    <col min="13399" max="13399" width="9.125" style="3063" customWidth="1"/>
    <col min="13400" max="13424" width="9.5" style="3063" customWidth="1"/>
    <col min="13425" max="13425" width="15.5" style="3063" bestFit="1" customWidth="1"/>
    <col min="13426" max="13426" width="13.25" style="3063" bestFit="1" customWidth="1"/>
    <col min="13427" max="13427" width="13.5" style="3063" customWidth="1"/>
    <col min="13428" max="13428" width="12.5" style="3063" bestFit="1" customWidth="1"/>
    <col min="13429" max="13429" width="10.625" style="3063" bestFit="1" customWidth="1"/>
    <col min="13430" max="13430" width="11.375" style="3063" bestFit="1" customWidth="1"/>
    <col min="13431" max="13431" width="11.75" style="3063" bestFit="1" customWidth="1"/>
    <col min="13432" max="13432" width="11.375" style="3063" bestFit="1" customWidth="1"/>
    <col min="13433" max="13433" width="9.375" style="3063" bestFit="1" customWidth="1"/>
    <col min="13434" max="13434" width="11.375" style="3063" bestFit="1" customWidth="1"/>
    <col min="13435" max="13435" width="10.25" style="3063" bestFit="1" customWidth="1"/>
    <col min="13436" max="13436" width="9.375" style="3063" bestFit="1" customWidth="1"/>
    <col min="13437" max="13437" width="11.375" style="3063" bestFit="1" customWidth="1"/>
    <col min="13438" max="13438" width="10.25" style="3063" bestFit="1" customWidth="1"/>
    <col min="13439" max="13439" width="10.125" style="3063" bestFit="1" customWidth="1"/>
    <col min="13440" max="13440" width="10.375" style="3063" bestFit="1" customWidth="1"/>
    <col min="13441" max="13441" width="8.375" style="3063" bestFit="1" customWidth="1"/>
    <col min="13442" max="13442" width="9.125" style="3063" bestFit="1" customWidth="1"/>
    <col min="13443" max="13443" width="10" style="3063" customWidth="1"/>
    <col min="13444" max="13444" width="8.375" style="3063" bestFit="1" customWidth="1"/>
    <col min="13445" max="13445" width="7.875" style="3063"/>
    <col min="13446" max="13446" width="9.25" style="3063" customWidth="1"/>
    <col min="13447" max="13447" width="8.375" style="3063" bestFit="1" customWidth="1"/>
    <col min="13448" max="13448" width="7.875" style="3063"/>
    <col min="13449" max="13449" width="8.625" style="3063" customWidth="1"/>
    <col min="13450" max="13450" width="10.125" style="3063" bestFit="1" customWidth="1"/>
    <col min="13451" max="13451" width="7.875" style="3063"/>
    <col min="13452" max="13452" width="10.125" style="3063" bestFit="1" customWidth="1"/>
    <col min="13453" max="13453" width="8.25" style="3063" bestFit="1" customWidth="1"/>
    <col min="13454" max="13454" width="7.875" style="3063"/>
    <col min="13455" max="13455" width="10.125" style="3063" bestFit="1" customWidth="1"/>
    <col min="13456" max="13456" width="8.25" style="3063" bestFit="1" customWidth="1"/>
    <col min="13457" max="13457" width="7.875" style="3063"/>
    <col min="13458" max="13458" width="10.125" style="3063" bestFit="1" customWidth="1"/>
    <col min="13459" max="13459" width="8.25" style="3063" bestFit="1" customWidth="1"/>
    <col min="13460" max="13460" width="7.875" style="3063"/>
    <col min="13461" max="13461" width="10.125" style="3063" bestFit="1" customWidth="1"/>
    <col min="13462" max="13463" width="8.25" style="3063" bestFit="1" customWidth="1"/>
    <col min="13464" max="13464" width="10.125" style="3063" bestFit="1" customWidth="1"/>
    <col min="13465" max="13465" width="8.25" style="3063" bestFit="1" customWidth="1"/>
    <col min="13466" max="13466" width="7.875" style="3063"/>
    <col min="13467" max="13467" width="10.125" style="3063" bestFit="1" customWidth="1"/>
    <col min="13468" max="13468" width="9.125" style="3063" bestFit="1" customWidth="1"/>
    <col min="13469" max="13469" width="7.875" style="3063"/>
    <col min="13470" max="13470" width="10.125" style="3063" bestFit="1" customWidth="1"/>
    <col min="13471" max="13471" width="9.125" style="3063" bestFit="1" customWidth="1"/>
    <col min="13472" max="13472" width="7.875" style="3063"/>
    <col min="13473" max="13473" width="10.125" style="3063" bestFit="1" customWidth="1"/>
    <col min="13474" max="13474" width="9.125" style="3063" bestFit="1" customWidth="1"/>
    <col min="13475" max="13475" width="7.875" style="3063"/>
    <col min="13476" max="13476" width="10.125" style="3063" bestFit="1" customWidth="1"/>
    <col min="13477" max="13477" width="9.125" style="3063" bestFit="1" customWidth="1"/>
    <col min="13478" max="13478" width="7.875" style="3063"/>
    <col min="13479" max="13479" width="10.125" style="3063" bestFit="1" customWidth="1"/>
    <col min="13480" max="13480" width="9.125" style="3063" bestFit="1" customWidth="1"/>
    <col min="13481" max="13481" width="7.875" style="3063"/>
    <col min="13482" max="13482" width="10.125" style="3063" bestFit="1" customWidth="1"/>
    <col min="13483" max="13484" width="8.25" style="3063" bestFit="1" customWidth="1"/>
    <col min="13485" max="13485" width="9.125" style="3063" bestFit="1" customWidth="1"/>
    <col min="13486" max="13486" width="8.25" style="3063" bestFit="1" customWidth="1"/>
    <col min="13487" max="13487" width="7.875" style="3063"/>
    <col min="13488" max="13488" width="9.125" style="3063" bestFit="1" customWidth="1"/>
    <col min="13489" max="13489" width="8.25" style="3063" bestFit="1" customWidth="1"/>
    <col min="13490" max="13490" width="7.875" style="3063"/>
    <col min="13491" max="13491" width="9.125" style="3063" bestFit="1" customWidth="1"/>
    <col min="13492" max="13492" width="8.25" style="3063" bestFit="1" customWidth="1"/>
    <col min="13493" max="13493" width="7.875" style="3063"/>
    <col min="13494" max="13495" width="8.25" style="3063" bestFit="1" customWidth="1"/>
    <col min="13496" max="13496" width="7.875" style="3063"/>
    <col min="13497" max="13498" width="8.25" style="3063" bestFit="1" customWidth="1"/>
    <col min="13499" max="13499" width="7.875" style="3063"/>
    <col min="13500" max="13500" width="9.875" style="3063" bestFit="1" customWidth="1"/>
    <col min="13501" max="13501" width="11.125" style="3063" bestFit="1" customWidth="1"/>
    <col min="13502" max="13502" width="9.125" style="3063" bestFit="1" customWidth="1"/>
    <col min="13503" max="13503" width="9.875" style="3063" bestFit="1" customWidth="1"/>
    <col min="13504" max="13504" width="11.125" style="3063" bestFit="1" customWidth="1"/>
    <col min="13505" max="13505" width="7.875" style="3063"/>
    <col min="13506" max="13506" width="9" style="3063" customWidth="1"/>
    <col min="13507" max="13507" width="8.625" style="3063" customWidth="1"/>
    <col min="13508" max="13568" width="7.875" style="3063"/>
    <col min="13569" max="13569" width="3.875" style="3063" customWidth="1"/>
    <col min="13570" max="13570" width="10.375" style="3063" customWidth="1"/>
    <col min="13571" max="13571" width="10.75" style="3063" customWidth="1"/>
    <col min="13572" max="13572" width="11.625" style="3063" customWidth="1"/>
    <col min="13573" max="13573" width="10" style="3063" customWidth="1"/>
    <col min="13574" max="13574" width="9.375" style="3063" customWidth="1"/>
    <col min="13575" max="13575" width="10.5" style="3063" customWidth="1"/>
    <col min="13576" max="13576" width="12.5" style="3063" customWidth="1"/>
    <col min="13577" max="13577" width="11.75" style="3063" customWidth="1"/>
    <col min="13578" max="13578" width="10.5" style="3063" customWidth="1"/>
    <col min="13579" max="13579" width="12.125" style="3063" customWidth="1"/>
    <col min="13580" max="13580" width="9.75" style="3063" customWidth="1"/>
    <col min="13581" max="13581" width="10" style="3063" customWidth="1"/>
    <col min="13582" max="13582" width="12.25" style="3063" customWidth="1"/>
    <col min="13583" max="13583" width="9.75" style="3063" customWidth="1"/>
    <col min="13584" max="13584" width="8.625" style="3063" customWidth="1"/>
    <col min="13585" max="13585" width="11.25" style="3063" customWidth="1"/>
    <col min="13586" max="13586" width="11.125" style="3063" customWidth="1"/>
    <col min="13587" max="13587" width="10.625" style="3063" customWidth="1"/>
    <col min="13588" max="13588" width="11.125" style="3063" customWidth="1"/>
    <col min="13589" max="13589" width="10.125" style="3063" customWidth="1"/>
    <col min="13590" max="13590" width="12.125" style="3063" customWidth="1"/>
    <col min="13591" max="13591" width="7.75" style="3063" customWidth="1"/>
    <col min="13592" max="13592" width="8.125" style="3063" customWidth="1"/>
    <col min="13593" max="13595" width="10.875" style="3063" bestFit="1" customWidth="1"/>
    <col min="13596" max="13598" width="11.5" style="3063" customWidth="1"/>
    <col min="13599" max="13599" width="11.75" style="3063" customWidth="1"/>
    <col min="13600" max="13600" width="7.75" style="3063" bestFit="1" customWidth="1"/>
    <col min="13601" max="13601" width="11.5" style="3063" bestFit="1" customWidth="1"/>
    <col min="13602" max="13602" width="7.75" style="3063" bestFit="1" customWidth="1"/>
    <col min="13603" max="13603" width="8.75" style="3063" customWidth="1"/>
    <col min="13604" max="13604" width="9.875" style="3063" bestFit="1" customWidth="1"/>
    <col min="13605" max="13605" width="8" style="3063" customWidth="1"/>
    <col min="13606" max="13609" width="7.75" style="3063" bestFit="1" customWidth="1"/>
    <col min="13610" max="13611" width="12.25" style="3063" customWidth="1"/>
    <col min="13612" max="13612" width="10.25" style="3063" customWidth="1"/>
    <col min="13613" max="13613" width="9.25" style="3063" customWidth="1"/>
    <col min="13614" max="13614" width="11" style="3063" customWidth="1"/>
    <col min="13615" max="13615" width="8.375" style="3063" customWidth="1"/>
    <col min="13616" max="13616" width="9.5" style="3063" customWidth="1"/>
    <col min="13617" max="13617" width="13.25" style="3063" customWidth="1"/>
    <col min="13618" max="13618" width="13" style="3063" customWidth="1"/>
    <col min="13619" max="13621" width="10.875" style="3063" customWidth="1"/>
    <col min="13622" max="13622" width="10.5" style="3063" customWidth="1"/>
    <col min="13623" max="13623" width="6.375" style="3063" customWidth="1"/>
    <col min="13624" max="13624" width="6.25" style="3063" customWidth="1"/>
    <col min="13625" max="13625" width="9.875" style="3063" customWidth="1"/>
    <col min="13626" max="13626" width="10.75" style="3063" customWidth="1"/>
    <col min="13627" max="13627" width="9.5" style="3063" customWidth="1"/>
    <col min="13628" max="13631" width="11" style="3063" customWidth="1"/>
    <col min="13632" max="13632" width="10.625" style="3063" customWidth="1"/>
    <col min="13633" max="13633" width="11.875" style="3063" bestFit="1" customWidth="1"/>
    <col min="13634" max="13634" width="9.75" style="3063" bestFit="1" customWidth="1"/>
    <col min="13635" max="13635" width="11.875" style="3063" bestFit="1" customWidth="1"/>
    <col min="13636" max="13636" width="9.75" style="3063" bestFit="1" customWidth="1"/>
    <col min="13637" max="13637" width="11.875" style="3063" bestFit="1" customWidth="1"/>
    <col min="13638" max="13638" width="9.75" style="3063" bestFit="1" customWidth="1"/>
    <col min="13639" max="13639" width="11.375" style="3063" bestFit="1" customWidth="1"/>
    <col min="13640" max="13640" width="9.75" style="3063" bestFit="1" customWidth="1"/>
    <col min="13641" max="13641" width="11.375" style="3063" bestFit="1" customWidth="1"/>
    <col min="13642" max="13642" width="9.75" style="3063" bestFit="1" customWidth="1"/>
    <col min="13643" max="13643" width="11.375" style="3063" bestFit="1" customWidth="1"/>
    <col min="13644" max="13644" width="9.75" style="3063" bestFit="1" customWidth="1"/>
    <col min="13645" max="13645" width="11.375" style="3063" bestFit="1" customWidth="1"/>
    <col min="13646" max="13646" width="9.75" style="3063" bestFit="1" customWidth="1"/>
    <col min="13647" max="13647" width="11.375" style="3063" bestFit="1" customWidth="1"/>
    <col min="13648" max="13648" width="9.75" style="3063" bestFit="1" customWidth="1"/>
    <col min="13649" max="13649" width="10.25" style="3063" bestFit="1" customWidth="1"/>
    <col min="13650" max="13650" width="9.625" style="3063" customWidth="1"/>
    <col min="13651" max="13651" width="10.375" style="3063" customWidth="1"/>
    <col min="13652" max="13652" width="9.25" style="3063" customWidth="1"/>
    <col min="13653" max="13653" width="10" style="3063" customWidth="1"/>
    <col min="13654" max="13654" width="9.75" style="3063" customWidth="1"/>
    <col min="13655" max="13655" width="9.125" style="3063" customWidth="1"/>
    <col min="13656" max="13680" width="9.5" style="3063" customWidth="1"/>
    <col min="13681" max="13681" width="15.5" style="3063" bestFit="1" customWidth="1"/>
    <col min="13682" max="13682" width="13.25" style="3063" bestFit="1" customWidth="1"/>
    <col min="13683" max="13683" width="13.5" style="3063" customWidth="1"/>
    <col min="13684" max="13684" width="12.5" style="3063" bestFit="1" customWidth="1"/>
    <col min="13685" max="13685" width="10.625" style="3063" bestFit="1" customWidth="1"/>
    <col min="13686" max="13686" width="11.375" style="3063" bestFit="1" customWidth="1"/>
    <col min="13687" max="13687" width="11.75" style="3063" bestFit="1" customWidth="1"/>
    <col min="13688" max="13688" width="11.375" style="3063" bestFit="1" customWidth="1"/>
    <col min="13689" max="13689" width="9.375" style="3063" bestFit="1" customWidth="1"/>
    <col min="13690" max="13690" width="11.375" style="3063" bestFit="1" customWidth="1"/>
    <col min="13691" max="13691" width="10.25" style="3063" bestFit="1" customWidth="1"/>
    <col min="13692" max="13692" width="9.375" style="3063" bestFit="1" customWidth="1"/>
    <col min="13693" max="13693" width="11.375" style="3063" bestFit="1" customWidth="1"/>
    <col min="13694" max="13694" width="10.25" style="3063" bestFit="1" customWidth="1"/>
    <col min="13695" max="13695" width="10.125" style="3063" bestFit="1" customWidth="1"/>
    <col min="13696" max="13696" width="10.375" style="3063" bestFit="1" customWidth="1"/>
    <col min="13697" max="13697" width="8.375" style="3063" bestFit="1" customWidth="1"/>
    <col min="13698" max="13698" width="9.125" style="3063" bestFit="1" customWidth="1"/>
    <col min="13699" max="13699" width="10" style="3063" customWidth="1"/>
    <col min="13700" max="13700" width="8.375" style="3063" bestFit="1" customWidth="1"/>
    <col min="13701" max="13701" width="7.875" style="3063"/>
    <col min="13702" max="13702" width="9.25" style="3063" customWidth="1"/>
    <col min="13703" max="13703" width="8.375" style="3063" bestFit="1" customWidth="1"/>
    <col min="13704" max="13704" width="7.875" style="3063"/>
    <col min="13705" max="13705" width="8.625" style="3063" customWidth="1"/>
    <col min="13706" max="13706" width="10.125" style="3063" bestFit="1" customWidth="1"/>
    <col min="13707" max="13707" width="7.875" style="3063"/>
    <col min="13708" max="13708" width="10.125" style="3063" bestFit="1" customWidth="1"/>
    <col min="13709" max="13709" width="8.25" style="3063" bestFit="1" customWidth="1"/>
    <col min="13710" max="13710" width="7.875" style="3063"/>
    <col min="13711" max="13711" width="10.125" style="3063" bestFit="1" customWidth="1"/>
    <col min="13712" max="13712" width="8.25" style="3063" bestFit="1" customWidth="1"/>
    <col min="13713" max="13713" width="7.875" style="3063"/>
    <col min="13714" max="13714" width="10.125" style="3063" bestFit="1" customWidth="1"/>
    <col min="13715" max="13715" width="8.25" style="3063" bestFit="1" customWidth="1"/>
    <col min="13716" max="13716" width="7.875" style="3063"/>
    <col min="13717" max="13717" width="10.125" style="3063" bestFit="1" customWidth="1"/>
    <col min="13718" max="13719" width="8.25" style="3063" bestFit="1" customWidth="1"/>
    <col min="13720" max="13720" width="10.125" style="3063" bestFit="1" customWidth="1"/>
    <col min="13721" max="13721" width="8.25" style="3063" bestFit="1" customWidth="1"/>
    <col min="13722" max="13722" width="7.875" style="3063"/>
    <col min="13723" max="13723" width="10.125" style="3063" bestFit="1" customWidth="1"/>
    <col min="13724" max="13724" width="9.125" style="3063" bestFit="1" customWidth="1"/>
    <col min="13725" max="13725" width="7.875" style="3063"/>
    <col min="13726" max="13726" width="10.125" style="3063" bestFit="1" customWidth="1"/>
    <col min="13727" max="13727" width="9.125" style="3063" bestFit="1" customWidth="1"/>
    <col min="13728" max="13728" width="7.875" style="3063"/>
    <col min="13729" max="13729" width="10.125" style="3063" bestFit="1" customWidth="1"/>
    <col min="13730" max="13730" width="9.125" style="3063" bestFit="1" customWidth="1"/>
    <col min="13731" max="13731" width="7.875" style="3063"/>
    <col min="13732" max="13732" width="10.125" style="3063" bestFit="1" customWidth="1"/>
    <col min="13733" max="13733" width="9.125" style="3063" bestFit="1" customWidth="1"/>
    <col min="13734" max="13734" width="7.875" style="3063"/>
    <col min="13735" max="13735" width="10.125" style="3063" bestFit="1" customWidth="1"/>
    <col min="13736" max="13736" width="9.125" style="3063" bestFit="1" customWidth="1"/>
    <col min="13737" max="13737" width="7.875" style="3063"/>
    <col min="13738" max="13738" width="10.125" style="3063" bestFit="1" customWidth="1"/>
    <col min="13739" max="13740" width="8.25" style="3063" bestFit="1" customWidth="1"/>
    <col min="13741" max="13741" width="9.125" style="3063" bestFit="1" customWidth="1"/>
    <col min="13742" max="13742" width="8.25" style="3063" bestFit="1" customWidth="1"/>
    <col min="13743" max="13743" width="7.875" style="3063"/>
    <col min="13744" max="13744" width="9.125" style="3063" bestFit="1" customWidth="1"/>
    <col min="13745" max="13745" width="8.25" style="3063" bestFit="1" customWidth="1"/>
    <col min="13746" max="13746" width="7.875" style="3063"/>
    <col min="13747" max="13747" width="9.125" style="3063" bestFit="1" customWidth="1"/>
    <col min="13748" max="13748" width="8.25" style="3063" bestFit="1" customWidth="1"/>
    <col min="13749" max="13749" width="7.875" style="3063"/>
    <col min="13750" max="13751" width="8.25" style="3063" bestFit="1" customWidth="1"/>
    <col min="13752" max="13752" width="7.875" style="3063"/>
    <col min="13753" max="13754" width="8.25" style="3063" bestFit="1" customWidth="1"/>
    <col min="13755" max="13755" width="7.875" style="3063"/>
    <col min="13756" max="13756" width="9.875" style="3063" bestFit="1" customWidth="1"/>
    <col min="13757" max="13757" width="11.125" style="3063" bestFit="1" customWidth="1"/>
    <col min="13758" max="13758" width="9.125" style="3063" bestFit="1" customWidth="1"/>
    <col min="13759" max="13759" width="9.875" style="3063" bestFit="1" customWidth="1"/>
    <col min="13760" max="13760" width="11.125" style="3063" bestFit="1" customWidth="1"/>
    <col min="13761" max="13761" width="7.875" style="3063"/>
    <col min="13762" max="13762" width="9" style="3063" customWidth="1"/>
    <col min="13763" max="13763" width="8.625" style="3063" customWidth="1"/>
    <col min="13764" max="13824" width="7.875" style="3063"/>
    <col min="13825" max="13825" width="3.875" style="3063" customWidth="1"/>
    <col min="13826" max="13826" width="10.375" style="3063" customWidth="1"/>
    <col min="13827" max="13827" width="10.75" style="3063" customWidth="1"/>
    <col min="13828" max="13828" width="11.625" style="3063" customWidth="1"/>
    <col min="13829" max="13829" width="10" style="3063" customWidth="1"/>
    <col min="13830" max="13830" width="9.375" style="3063" customWidth="1"/>
    <col min="13831" max="13831" width="10.5" style="3063" customWidth="1"/>
    <col min="13832" max="13832" width="12.5" style="3063" customWidth="1"/>
    <col min="13833" max="13833" width="11.75" style="3063" customWidth="1"/>
    <col min="13834" max="13834" width="10.5" style="3063" customWidth="1"/>
    <col min="13835" max="13835" width="12.125" style="3063" customWidth="1"/>
    <col min="13836" max="13836" width="9.75" style="3063" customWidth="1"/>
    <col min="13837" max="13837" width="10" style="3063" customWidth="1"/>
    <col min="13838" max="13838" width="12.25" style="3063" customWidth="1"/>
    <col min="13839" max="13839" width="9.75" style="3063" customWidth="1"/>
    <col min="13840" max="13840" width="8.625" style="3063" customWidth="1"/>
    <col min="13841" max="13841" width="11.25" style="3063" customWidth="1"/>
    <col min="13842" max="13842" width="11.125" style="3063" customWidth="1"/>
    <col min="13843" max="13843" width="10.625" style="3063" customWidth="1"/>
    <col min="13844" max="13844" width="11.125" style="3063" customWidth="1"/>
    <col min="13845" max="13845" width="10.125" style="3063" customWidth="1"/>
    <col min="13846" max="13846" width="12.125" style="3063" customWidth="1"/>
    <col min="13847" max="13847" width="7.75" style="3063" customWidth="1"/>
    <col min="13848" max="13848" width="8.125" style="3063" customWidth="1"/>
    <col min="13849" max="13851" width="10.875" style="3063" bestFit="1" customWidth="1"/>
    <col min="13852" max="13854" width="11.5" style="3063" customWidth="1"/>
    <col min="13855" max="13855" width="11.75" style="3063" customWidth="1"/>
    <col min="13856" max="13856" width="7.75" style="3063" bestFit="1" customWidth="1"/>
    <col min="13857" max="13857" width="11.5" style="3063" bestFit="1" customWidth="1"/>
    <col min="13858" max="13858" width="7.75" style="3063" bestFit="1" customWidth="1"/>
    <col min="13859" max="13859" width="8.75" style="3063" customWidth="1"/>
    <col min="13860" max="13860" width="9.875" style="3063" bestFit="1" customWidth="1"/>
    <col min="13861" max="13861" width="8" style="3063" customWidth="1"/>
    <col min="13862" max="13865" width="7.75" style="3063" bestFit="1" customWidth="1"/>
    <col min="13866" max="13867" width="12.25" style="3063" customWidth="1"/>
    <col min="13868" max="13868" width="10.25" style="3063" customWidth="1"/>
    <col min="13869" max="13869" width="9.25" style="3063" customWidth="1"/>
    <col min="13870" max="13870" width="11" style="3063" customWidth="1"/>
    <col min="13871" max="13871" width="8.375" style="3063" customWidth="1"/>
    <col min="13872" max="13872" width="9.5" style="3063" customWidth="1"/>
    <col min="13873" max="13873" width="13.25" style="3063" customWidth="1"/>
    <col min="13874" max="13874" width="13" style="3063" customWidth="1"/>
    <col min="13875" max="13877" width="10.875" style="3063" customWidth="1"/>
    <col min="13878" max="13878" width="10.5" style="3063" customWidth="1"/>
    <col min="13879" max="13879" width="6.375" style="3063" customWidth="1"/>
    <col min="13880" max="13880" width="6.25" style="3063" customWidth="1"/>
    <col min="13881" max="13881" width="9.875" style="3063" customWidth="1"/>
    <col min="13882" max="13882" width="10.75" style="3063" customWidth="1"/>
    <col min="13883" max="13883" width="9.5" style="3063" customWidth="1"/>
    <col min="13884" max="13887" width="11" style="3063" customWidth="1"/>
    <col min="13888" max="13888" width="10.625" style="3063" customWidth="1"/>
    <col min="13889" max="13889" width="11.875" style="3063" bestFit="1" customWidth="1"/>
    <col min="13890" max="13890" width="9.75" style="3063" bestFit="1" customWidth="1"/>
    <col min="13891" max="13891" width="11.875" style="3063" bestFit="1" customWidth="1"/>
    <col min="13892" max="13892" width="9.75" style="3063" bestFit="1" customWidth="1"/>
    <col min="13893" max="13893" width="11.875" style="3063" bestFit="1" customWidth="1"/>
    <col min="13894" max="13894" width="9.75" style="3063" bestFit="1" customWidth="1"/>
    <col min="13895" max="13895" width="11.375" style="3063" bestFit="1" customWidth="1"/>
    <col min="13896" max="13896" width="9.75" style="3063" bestFit="1" customWidth="1"/>
    <col min="13897" max="13897" width="11.375" style="3063" bestFit="1" customWidth="1"/>
    <col min="13898" max="13898" width="9.75" style="3063" bestFit="1" customWidth="1"/>
    <col min="13899" max="13899" width="11.375" style="3063" bestFit="1" customWidth="1"/>
    <col min="13900" max="13900" width="9.75" style="3063" bestFit="1" customWidth="1"/>
    <col min="13901" max="13901" width="11.375" style="3063" bestFit="1" customWidth="1"/>
    <col min="13902" max="13902" width="9.75" style="3063" bestFit="1" customWidth="1"/>
    <col min="13903" max="13903" width="11.375" style="3063" bestFit="1" customWidth="1"/>
    <col min="13904" max="13904" width="9.75" style="3063" bestFit="1" customWidth="1"/>
    <col min="13905" max="13905" width="10.25" style="3063" bestFit="1" customWidth="1"/>
    <col min="13906" max="13906" width="9.625" style="3063" customWidth="1"/>
    <col min="13907" max="13907" width="10.375" style="3063" customWidth="1"/>
    <col min="13908" max="13908" width="9.25" style="3063" customWidth="1"/>
    <col min="13909" max="13909" width="10" style="3063" customWidth="1"/>
    <col min="13910" max="13910" width="9.75" style="3063" customWidth="1"/>
    <col min="13911" max="13911" width="9.125" style="3063" customWidth="1"/>
    <col min="13912" max="13936" width="9.5" style="3063" customWidth="1"/>
    <col min="13937" max="13937" width="15.5" style="3063" bestFit="1" customWidth="1"/>
    <col min="13938" max="13938" width="13.25" style="3063" bestFit="1" customWidth="1"/>
    <col min="13939" max="13939" width="13.5" style="3063" customWidth="1"/>
    <col min="13940" max="13940" width="12.5" style="3063" bestFit="1" customWidth="1"/>
    <col min="13941" max="13941" width="10.625" style="3063" bestFit="1" customWidth="1"/>
    <col min="13942" max="13942" width="11.375" style="3063" bestFit="1" customWidth="1"/>
    <col min="13943" max="13943" width="11.75" style="3063" bestFit="1" customWidth="1"/>
    <col min="13944" max="13944" width="11.375" style="3063" bestFit="1" customWidth="1"/>
    <col min="13945" max="13945" width="9.375" style="3063" bestFit="1" customWidth="1"/>
    <col min="13946" max="13946" width="11.375" style="3063" bestFit="1" customWidth="1"/>
    <col min="13947" max="13947" width="10.25" style="3063" bestFit="1" customWidth="1"/>
    <col min="13948" max="13948" width="9.375" style="3063" bestFit="1" customWidth="1"/>
    <col min="13949" max="13949" width="11.375" style="3063" bestFit="1" customWidth="1"/>
    <col min="13950" max="13950" width="10.25" style="3063" bestFit="1" customWidth="1"/>
    <col min="13951" max="13951" width="10.125" style="3063" bestFit="1" customWidth="1"/>
    <col min="13952" max="13952" width="10.375" style="3063" bestFit="1" customWidth="1"/>
    <col min="13953" max="13953" width="8.375" style="3063" bestFit="1" customWidth="1"/>
    <col min="13954" max="13954" width="9.125" style="3063" bestFit="1" customWidth="1"/>
    <col min="13955" max="13955" width="10" style="3063" customWidth="1"/>
    <col min="13956" max="13956" width="8.375" style="3063" bestFit="1" customWidth="1"/>
    <col min="13957" max="13957" width="7.875" style="3063"/>
    <col min="13958" max="13958" width="9.25" style="3063" customWidth="1"/>
    <col min="13959" max="13959" width="8.375" style="3063" bestFit="1" customWidth="1"/>
    <col min="13960" max="13960" width="7.875" style="3063"/>
    <col min="13961" max="13961" width="8.625" style="3063" customWidth="1"/>
    <col min="13962" max="13962" width="10.125" style="3063" bestFit="1" customWidth="1"/>
    <col min="13963" max="13963" width="7.875" style="3063"/>
    <col min="13964" max="13964" width="10.125" style="3063" bestFit="1" customWidth="1"/>
    <col min="13965" max="13965" width="8.25" style="3063" bestFit="1" customWidth="1"/>
    <col min="13966" max="13966" width="7.875" style="3063"/>
    <col min="13967" max="13967" width="10.125" style="3063" bestFit="1" customWidth="1"/>
    <col min="13968" max="13968" width="8.25" style="3063" bestFit="1" customWidth="1"/>
    <col min="13969" max="13969" width="7.875" style="3063"/>
    <col min="13970" max="13970" width="10.125" style="3063" bestFit="1" customWidth="1"/>
    <col min="13971" max="13971" width="8.25" style="3063" bestFit="1" customWidth="1"/>
    <col min="13972" max="13972" width="7.875" style="3063"/>
    <col min="13973" max="13973" width="10.125" style="3063" bestFit="1" customWidth="1"/>
    <col min="13974" max="13975" width="8.25" style="3063" bestFit="1" customWidth="1"/>
    <col min="13976" max="13976" width="10.125" style="3063" bestFit="1" customWidth="1"/>
    <col min="13977" max="13977" width="8.25" style="3063" bestFit="1" customWidth="1"/>
    <col min="13978" max="13978" width="7.875" style="3063"/>
    <col min="13979" max="13979" width="10.125" style="3063" bestFit="1" customWidth="1"/>
    <col min="13980" max="13980" width="9.125" style="3063" bestFit="1" customWidth="1"/>
    <col min="13981" max="13981" width="7.875" style="3063"/>
    <col min="13982" max="13982" width="10.125" style="3063" bestFit="1" customWidth="1"/>
    <col min="13983" max="13983" width="9.125" style="3063" bestFit="1" customWidth="1"/>
    <col min="13984" max="13984" width="7.875" style="3063"/>
    <col min="13985" max="13985" width="10.125" style="3063" bestFit="1" customWidth="1"/>
    <col min="13986" max="13986" width="9.125" style="3063" bestFit="1" customWidth="1"/>
    <col min="13987" max="13987" width="7.875" style="3063"/>
    <col min="13988" max="13988" width="10.125" style="3063" bestFit="1" customWidth="1"/>
    <col min="13989" max="13989" width="9.125" style="3063" bestFit="1" customWidth="1"/>
    <col min="13990" max="13990" width="7.875" style="3063"/>
    <col min="13991" max="13991" width="10.125" style="3063" bestFit="1" customWidth="1"/>
    <col min="13992" max="13992" width="9.125" style="3063" bestFit="1" customWidth="1"/>
    <col min="13993" max="13993" width="7.875" style="3063"/>
    <col min="13994" max="13994" width="10.125" style="3063" bestFit="1" customWidth="1"/>
    <col min="13995" max="13996" width="8.25" style="3063" bestFit="1" customWidth="1"/>
    <col min="13997" max="13997" width="9.125" style="3063" bestFit="1" customWidth="1"/>
    <col min="13998" max="13998" width="8.25" style="3063" bestFit="1" customWidth="1"/>
    <col min="13999" max="13999" width="7.875" style="3063"/>
    <col min="14000" max="14000" width="9.125" style="3063" bestFit="1" customWidth="1"/>
    <col min="14001" max="14001" width="8.25" style="3063" bestFit="1" customWidth="1"/>
    <col min="14002" max="14002" width="7.875" style="3063"/>
    <col min="14003" max="14003" width="9.125" style="3063" bestFit="1" customWidth="1"/>
    <col min="14004" max="14004" width="8.25" style="3063" bestFit="1" customWidth="1"/>
    <col min="14005" max="14005" width="7.875" style="3063"/>
    <col min="14006" max="14007" width="8.25" style="3063" bestFit="1" customWidth="1"/>
    <col min="14008" max="14008" width="7.875" style="3063"/>
    <col min="14009" max="14010" width="8.25" style="3063" bestFit="1" customWidth="1"/>
    <col min="14011" max="14011" width="7.875" style="3063"/>
    <col min="14012" max="14012" width="9.875" style="3063" bestFit="1" customWidth="1"/>
    <col min="14013" max="14013" width="11.125" style="3063" bestFit="1" customWidth="1"/>
    <col min="14014" max="14014" width="9.125" style="3063" bestFit="1" customWidth="1"/>
    <col min="14015" max="14015" width="9.875" style="3063" bestFit="1" customWidth="1"/>
    <col min="14016" max="14016" width="11.125" style="3063" bestFit="1" customWidth="1"/>
    <col min="14017" max="14017" width="7.875" style="3063"/>
    <col min="14018" max="14018" width="9" style="3063" customWidth="1"/>
    <col min="14019" max="14019" width="8.625" style="3063" customWidth="1"/>
    <col min="14020" max="14080" width="7.875" style="3063"/>
    <col min="14081" max="14081" width="3.875" style="3063" customWidth="1"/>
    <col min="14082" max="14082" width="10.375" style="3063" customWidth="1"/>
    <col min="14083" max="14083" width="10.75" style="3063" customWidth="1"/>
    <col min="14084" max="14084" width="11.625" style="3063" customWidth="1"/>
    <col min="14085" max="14085" width="10" style="3063" customWidth="1"/>
    <col min="14086" max="14086" width="9.375" style="3063" customWidth="1"/>
    <col min="14087" max="14087" width="10.5" style="3063" customWidth="1"/>
    <col min="14088" max="14088" width="12.5" style="3063" customWidth="1"/>
    <col min="14089" max="14089" width="11.75" style="3063" customWidth="1"/>
    <col min="14090" max="14090" width="10.5" style="3063" customWidth="1"/>
    <col min="14091" max="14091" width="12.125" style="3063" customWidth="1"/>
    <col min="14092" max="14092" width="9.75" style="3063" customWidth="1"/>
    <col min="14093" max="14093" width="10" style="3063" customWidth="1"/>
    <col min="14094" max="14094" width="12.25" style="3063" customWidth="1"/>
    <col min="14095" max="14095" width="9.75" style="3063" customWidth="1"/>
    <col min="14096" max="14096" width="8.625" style="3063" customWidth="1"/>
    <col min="14097" max="14097" width="11.25" style="3063" customWidth="1"/>
    <col min="14098" max="14098" width="11.125" style="3063" customWidth="1"/>
    <col min="14099" max="14099" width="10.625" style="3063" customWidth="1"/>
    <col min="14100" max="14100" width="11.125" style="3063" customWidth="1"/>
    <col min="14101" max="14101" width="10.125" style="3063" customWidth="1"/>
    <col min="14102" max="14102" width="12.125" style="3063" customWidth="1"/>
    <col min="14103" max="14103" width="7.75" style="3063" customWidth="1"/>
    <col min="14104" max="14104" width="8.125" style="3063" customWidth="1"/>
    <col min="14105" max="14107" width="10.875" style="3063" bestFit="1" customWidth="1"/>
    <col min="14108" max="14110" width="11.5" style="3063" customWidth="1"/>
    <col min="14111" max="14111" width="11.75" style="3063" customWidth="1"/>
    <col min="14112" max="14112" width="7.75" style="3063" bestFit="1" customWidth="1"/>
    <col min="14113" max="14113" width="11.5" style="3063" bestFit="1" customWidth="1"/>
    <col min="14114" max="14114" width="7.75" style="3063" bestFit="1" customWidth="1"/>
    <col min="14115" max="14115" width="8.75" style="3063" customWidth="1"/>
    <col min="14116" max="14116" width="9.875" style="3063" bestFit="1" customWidth="1"/>
    <col min="14117" max="14117" width="8" style="3063" customWidth="1"/>
    <col min="14118" max="14121" width="7.75" style="3063" bestFit="1" customWidth="1"/>
    <col min="14122" max="14123" width="12.25" style="3063" customWidth="1"/>
    <col min="14124" max="14124" width="10.25" style="3063" customWidth="1"/>
    <col min="14125" max="14125" width="9.25" style="3063" customWidth="1"/>
    <col min="14126" max="14126" width="11" style="3063" customWidth="1"/>
    <col min="14127" max="14127" width="8.375" style="3063" customWidth="1"/>
    <col min="14128" max="14128" width="9.5" style="3063" customWidth="1"/>
    <col min="14129" max="14129" width="13.25" style="3063" customWidth="1"/>
    <col min="14130" max="14130" width="13" style="3063" customWidth="1"/>
    <col min="14131" max="14133" width="10.875" style="3063" customWidth="1"/>
    <col min="14134" max="14134" width="10.5" style="3063" customWidth="1"/>
    <col min="14135" max="14135" width="6.375" style="3063" customWidth="1"/>
    <col min="14136" max="14136" width="6.25" style="3063" customWidth="1"/>
    <col min="14137" max="14137" width="9.875" style="3063" customWidth="1"/>
    <col min="14138" max="14138" width="10.75" style="3063" customWidth="1"/>
    <col min="14139" max="14139" width="9.5" style="3063" customWidth="1"/>
    <col min="14140" max="14143" width="11" style="3063" customWidth="1"/>
    <col min="14144" max="14144" width="10.625" style="3063" customWidth="1"/>
    <col min="14145" max="14145" width="11.875" style="3063" bestFit="1" customWidth="1"/>
    <col min="14146" max="14146" width="9.75" style="3063" bestFit="1" customWidth="1"/>
    <col min="14147" max="14147" width="11.875" style="3063" bestFit="1" customWidth="1"/>
    <col min="14148" max="14148" width="9.75" style="3063" bestFit="1" customWidth="1"/>
    <col min="14149" max="14149" width="11.875" style="3063" bestFit="1" customWidth="1"/>
    <col min="14150" max="14150" width="9.75" style="3063" bestFit="1" customWidth="1"/>
    <col min="14151" max="14151" width="11.375" style="3063" bestFit="1" customWidth="1"/>
    <col min="14152" max="14152" width="9.75" style="3063" bestFit="1" customWidth="1"/>
    <col min="14153" max="14153" width="11.375" style="3063" bestFit="1" customWidth="1"/>
    <col min="14154" max="14154" width="9.75" style="3063" bestFit="1" customWidth="1"/>
    <col min="14155" max="14155" width="11.375" style="3063" bestFit="1" customWidth="1"/>
    <col min="14156" max="14156" width="9.75" style="3063" bestFit="1" customWidth="1"/>
    <col min="14157" max="14157" width="11.375" style="3063" bestFit="1" customWidth="1"/>
    <col min="14158" max="14158" width="9.75" style="3063" bestFit="1" customWidth="1"/>
    <col min="14159" max="14159" width="11.375" style="3063" bestFit="1" customWidth="1"/>
    <col min="14160" max="14160" width="9.75" style="3063" bestFit="1" customWidth="1"/>
    <col min="14161" max="14161" width="10.25" style="3063" bestFit="1" customWidth="1"/>
    <col min="14162" max="14162" width="9.625" style="3063" customWidth="1"/>
    <col min="14163" max="14163" width="10.375" style="3063" customWidth="1"/>
    <col min="14164" max="14164" width="9.25" style="3063" customWidth="1"/>
    <col min="14165" max="14165" width="10" style="3063" customWidth="1"/>
    <col min="14166" max="14166" width="9.75" style="3063" customWidth="1"/>
    <col min="14167" max="14167" width="9.125" style="3063" customWidth="1"/>
    <col min="14168" max="14192" width="9.5" style="3063" customWidth="1"/>
    <col min="14193" max="14193" width="15.5" style="3063" bestFit="1" customWidth="1"/>
    <col min="14194" max="14194" width="13.25" style="3063" bestFit="1" customWidth="1"/>
    <col min="14195" max="14195" width="13.5" style="3063" customWidth="1"/>
    <col min="14196" max="14196" width="12.5" style="3063" bestFit="1" customWidth="1"/>
    <col min="14197" max="14197" width="10.625" style="3063" bestFit="1" customWidth="1"/>
    <col min="14198" max="14198" width="11.375" style="3063" bestFit="1" customWidth="1"/>
    <col min="14199" max="14199" width="11.75" style="3063" bestFit="1" customWidth="1"/>
    <col min="14200" max="14200" width="11.375" style="3063" bestFit="1" customWidth="1"/>
    <col min="14201" max="14201" width="9.375" style="3063" bestFit="1" customWidth="1"/>
    <col min="14202" max="14202" width="11.375" style="3063" bestFit="1" customWidth="1"/>
    <col min="14203" max="14203" width="10.25" style="3063" bestFit="1" customWidth="1"/>
    <col min="14204" max="14204" width="9.375" style="3063" bestFit="1" customWidth="1"/>
    <col min="14205" max="14205" width="11.375" style="3063" bestFit="1" customWidth="1"/>
    <col min="14206" max="14206" width="10.25" style="3063" bestFit="1" customWidth="1"/>
    <col min="14207" max="14207" width="10.125" style="3063" bestFit="1" customWidth="1"/>
    <col min="14208" max="14208" width="10.375" style="3063" bestFit="1" customWidth="1"/>
    <col min="14209" max="14209" width="8.375" style="3063" bestFit="1" customWidth="1"/>
    <col min="14210" max="14210" width="9.125" style="3063" bestFit="1" customWidth="1"/>
    <col min="14211" max="14211" width="10" style="3063" customWidth="1"/>
    <col min="14212" max="14212" width="8.375" style="3063" bestFit="1" customWidth="1"/>
    <col min="14213" max="14213" width="7.875" style="3063"/>
    <col min="14214" max="14214" width="9.25" style="3063" customWidth="1"/>
    <col min="14215" max="14215" width="8.375" style="3063" bestFit="1" customWidth="1"/>
    <col min="14216" max="14216" width="7.875" style="3063"/>
    <col min="14217" max="14217" width="8.625" style="3063" customWidth="1"/>
    <col min="14218" max="14218" width="10.125" style="3063" bestFit="1" customWidth="1"/>
    <col min="14219" max="14219" width="7.875" style="3063"/>
    <col min="14220" max="14220" width="10.125" style="3063" bestFit="1" customWidth="1"/>
    <col min="14221" max="14221" width="8.25" style="3063" bestFit="1" customWidth="1"/>
    <col min="14222" max="14222" width="7.875" style="3063"/>
    <col min="14223" max="14223" width="10.125" style="3063" bestFit="1" customWidth="1"/>
    <col min="14224" max="14224" width="8.25" style="3063" bestFit="1" customWidth="1"/>
    <col min="14225" max="14225" width="7.875" style="3063"/>
    <col min="14226" max="14226" width="10.125" style="3063" bestFit="1" customWidth="1"/>
    <col min="14227" max="14227" width="8.25" style="3063" bestFit="1" customWidth="1"/>
    <col min="14228" max="14228" width="7.875" style="3063"/>
    <col min="14229" max="14229" width="10.125" style="3063" bestFit="1" customWidth="1"/>
    <col min="14230" max="14231" width="8.25" style="3063" bestFit="1" customWidth="1"/>
    <col min="14232" max="14232" width="10.125" style="3063" bestFit="1" customWidth="1"/>
    <col min="14233" max="14233" width="8.25" style="3063" bestFit="1" customWidth="1"/>
    <col min="14234" max="14234" width="7.875" style="3063"/>
    <col min="14235" max="14235" width="10.125" style="3063" bestFit="1" customWidth="1"/>
    <col min="14236" max="14236" width="9.125" style="3063" bestFit="1" customWidth="1"/>
    <col min="14237" max="14237" width="7.875" style="3063"/>
    <col min="14238" max="14238" width="10.125" style="3063" bestFit="1" customWidth="1"/>
    <col min="14239" max="14239" width="9.125" style="3063" bestFit="1" customWidth="1"/>
    <col min="14240" max="14240" width="7.875" style="3063"/>
    <col min="14241" max="14241" width="10.125" style="3063" bestFit="1" customWidth="1"/>
    <col min="14242" max="14242" width="9.125" style="3063" bestFit="1" customWidth="1"/>
    <col min="14243" max="14243" width="7.875" style="3063"/>
    <col min="14244" max="14244" width="10.125" style="3063" bestFit="1" customWidth="1"/>
    <col min="14245" max="14245" width="9.125" style="3063" bestFit="1" customWidth="1"/>
    <col min="14246" max="14246" width="7.875" style="3063"/>
    <col min="14247" max="14247" width="10.125" style="3063" bestFit="1" customWidth="1"/>
    <col min="14248" max="14248" width="9.125" style="3063" bestFit="1" customWidth="1"/>
    <col min="14249" max="14249" width="7.875" style="3063"/>
    <col min="14250" max="14250" width="10.125" style="3063" bestFit="1" customWidth="1"/>
    <col min="14251" max="14252" width="8.25" style="3063" bestFit="1" customWidth="1"/>
    <col min="14253" max="14253" width="9.125" style="3063" bestFit="1" customWidth="1"/>
    <col min="14254" max="14254" width="8.25" style="3063" bestFit="1" customWidth="1"/>
    <col min="14255" max="14255" width="7.875" style="3063"/>
    <col min="14256" max="14256" width="9.125" style="3063" bestFit="1" customWidth="1"/>
    <col min="14257" max="14257" width="8.25" style="3063" bestFit="1" customWidth="1"/>
    <col min="14258" max="14258" width="7.875" style="3063"/>
    <col min="14259" max="14259" width="9.125" style="3063" bestFit="1" customWidth="1"/>
    <col min="14260" max="14260" width="8.25" style="3063" bestFit="1" customWidth="1"/>
    <col min="14261" max="14261" width="7.875" style="3063"/>
    <col min="14262" max="14263" width="8.25" style="3063" bestFit="1" customWidth="1"/>
    <col min="14264" max="14264" width="7.875" style="3063"/>
    <col min="14265" max="14266" width="8.25" style="3063" bestFit="1" customWidth="1"/>
    <col min="14267" max="14267" width="7.875" style="3063"/>
    <col min="14268" max="14268" width="9.875" style="3063" bestFit="1" customWidth="1"/>
    <col min="14269" max="14269" width="11.125" style="3063" bestFit="1" customWidth="1"/>
    <col min="14270" max="14270" width="9.125" style="3063" bestFit="1" customWidth="1"/>
    <col min="14271" max="14271" width="9.875" style="3063" bestFit="1" customWidth="1"/>
    <col min="14272" max="14272" width="11.125" style="3063" bestFit="1" customWidth="1"/>
    <col min="14273" max="14273" width="7.875" style="3063"/>
    <col min="14274" max="14274" width="9" style="3063" customWidth="1"/>
    <col min="14275" max="14275" width="8.625" style="3063" customWidth="1"/>
    <col min="14276" max="14336" width="7.875" style="3063"/>
    <col min="14337" max="14337" width="3.875" style="3063" customWidth="1"/>
    <col min="14338" max="14338" width="10.375" style="3063" customWidth="1"/>
    <col min="14339" max="14339" width="10.75" style="3063" customWidth="1"/>
    <col min="14340" max="14340" width="11.625" style="3063" customWidth="1"/>
    <col min="14341" max="14341" width="10" style="3063" customWidth="1"/>
    <col min="14342" max="14342" width="9.375" style="3063" customWidth="1"/>
    <col min="14343" max="14343" width="10.5" style="3063" customWidth="1"/>
    <col min="14344" max="14344" width="12.5" style="3063" customWidth="1"/>
    <col min="14345" max="14345" width="11.75" style="3063" customWidth="1"/>
    <col min="14346" max="14346" width="10.5" style="3063" customWidth="1"/>
    <col min="14347" max="14347" width="12.125" style="3063" customWidth="1"/>
    <col min="14348" max="14348" width="9.75" style="3063" customWidth="1"/>
    <col min="14349" max="14349" width="10" style="3063" customWidth="1"/>
    <col min="14350" max="14350" width="12.25" style="3063" customWidth="1"/>
    <col min="14351" max="14351" width="9.75" style="3063" customWidth="1"/>
    <col min="14352" max="14352" width="8.625" style="3063" customWidth="1"/>
    <col min="14353" max="14353" width="11.25" style="3063" customWidth="1"/>
    <col min="14354" max="14354" width="11.125" style="3063" customWidth="1"/>
    <col min="14355" max="14355" width="10.625" style="3063" customWidth="1"/>
    <col min="14356" max="14356" width="11.125" style="3063" customWidth="1"/>
    <col min="14357" max="14357" width="10.125" style="3063" customWidth="1"/>
    <col min="14358" max="14358" width="12.125" style="3063" customWidth="1"/>
    <col min="14359" max="14359" width="7.75" style="3063" customWidth="1"/>
    <col min="14360" max="14360" width="8.125" style="3063" customWidth="1"/>
    <col min="14361" max="14363" width="10.875" style="3063" bestFit="1" customWidth="1"/>
    <col min="14364" max="14366" width="11.5" style="3063" customWidth="1"/>
    <col min="14367" max="14367" width="11.75" style="3063" customWidth="1"/>
    <col min="14368" max="14368" width="7.75" style="3063" bestFit="1" customWidth="1"/>
    <col min="14369" max="14369" width="11.5" style="3063" bestFit="1" customWidth="1"/>
    <col min="14370" max="14370" width="7.75" style="3063" bestFit="1" customWidth="1"/>
    <col min="14371" max="14371" width="8.75" style="3063" customWidth="1"/>
    <col min="14372" max="14372" width="9.875" style="3063" bestFit="1" customWidth="1"/>
    <col min="14373" max="14373" width="8" style="3063" customWidth="1"/>
    <col min="14374" max="14377" width="7.75" style="3063" bestFit="1" customWidth="1"/>
    <col min="14378" max="14379" width="12.25" style="3063" customWidth="1"/>
    <col min="14380" max="14380" width="10.25" style="3063" customWidth="1"/>
    <col min="14381" max="14381" width="9.25" style="3063" customWidth="1"/>
    <col min="14382" max="14382" width="11" style="3063" customWidth="1"/>
    <col min="14383" max="14383" width="8.375" style="3063" customWidth="1"/>
    <col min="14384" max="14384" width="9.5" style="3063" customWidth="1"/>
    <col min="14385" max="14385" width="13.25" style="3063" customWidth="1"/>
    <col min="14386" max="14386" width="13" style="3063" customWidth="1"/>
    <col min="14387" max="14389" width="10.875" style="3063" customWidth="1"/>
    <col min="14390" max="14390" width="10.5" style="3063" customWidth="1"/>
    <col min="14391" max="14391" width="6.375" style="3063" customWidth="1"/>
    <col min="14392" max="14392" width="6.25" style="3063" customWidth="1"/>
    <col min="14393" max="14393" width="9.875" style="3063" customWidth="1"/>
    <col min="14394" max="14394" width="10.75" style="3063" customWidth="1"/>
    <col min="14395" max="14395" width="9.5" style="3063" customWidth="1"/>
    <col min="14396" max="14399" width="11" style="3063" customWidth="1"/>
    <col min="14400" max="14400" width="10.625" style="3063" customWidth="1"/>
    <col min="14401" max="14401" width="11.875" style="3063" bestFit="1" customWidth="1"/>
    <col min="14402" max="14402" width="9.75" style="3063" bestFit="1" customWidth="1"/>
    <col min="14403" max="14403" width="11.875" style="3063" bestFit="1" customWidth="1"/>
    <col min="14404" max="14404" width="9.75" style="3063" bestFit="1" customWidth="1"/>
    <col min="14405" max="14405" width="11.875" style="3063" bestFit="1" customWidth="1"/>
    <col min="14406" max="14406" width="9.75" style="3063" bestFit="1" customWidth="1"/>
    <col min="14407" max="14407" width="11.375" style="3063" bestFit="1" customWidth="1"/>
    <col min="14408" max="14408" width="9.75" style="3063" bestFit="1" customWidth="1"/>
    <col min="14409" max="14409" width="11.375" style="3063" bestFit="1" customWidth="1"/>
    <col min="14410" max="14410" width="9.75" style="3063" bestFit="1" customWidth="1"/>
    <col min="14411" max="14411" width="11.375" style="3063" bestFit="1" customWidth="1"/>
    <col min="14412" max="14412" width="9.75" style="3063" bestFit="1" customWidth="1"/>
    <col min="14413" max="14413" width="11.375" style="3063" bestFit="1" customWidth="1"/>
    <col min="14414" max="14414" width="9.75" style="3063" bestFit="1" customWidth="1"/>
    <col min="14415" max="14415" width="11.375" style="3063" bestFit="1" customWidth="1"/>
    <col min="14416" max="14416" width="9.75" style="3063" bestFit="1" customWidth="1"/>
    <col min="14417" max="14417" width="10.25" style="3063" bestFit="1" customWidth="1"/>
    <col min="14418" max="14418" width="9.625" style="3063" customWidth="1"/>
    <col min="14419" max="14419" width="10.375" style="3063" customWidth="1"/>
    <col min="14420" max="14420" width="9.25" style="3063" customWidth="1"/>
    <col min="14421" max="14421" width="10" style="3063" customWidth="1"/>
    <col min="14422" max="14422" width="9.75" style="3063" customWidth="1"/>
    <col min="14423" max="14423" width="9.125" style="3063" customWidth="1"/>
    <col min="14424" max="14448" width="9.5" style="3063" customWidth="1"/>
    <col min="14449" max="14449" width="15.5" style="3063" bestFit="1" customWidth="1"/>
    <col min="14450" max="14450" width="13.25" style="3063" bestFit="1" customWidth="1"/>
    <col min="14451" max="14451" width="13.5" style="3063" customWidth="1"/>
    <col min="14452" max="14452" width="12.5" style="3063" bestFit="1" customWidth="1"/>
    <col min="14453" max="14453" width="10.625" style="3063" bestFit="1" customWidth="1"/>
    <col min="14454" max="14454" width="11.375" style="3063" bestFit="1" customWidth="1"/>
    <col min="14455" max="14455" width="11.75" style="3063" bestFit="1" customWidth="1"/>
    <col min="14456" max="14456" width="11.375" style="3063" bestFit="1" customWidth="1"/>
    <col min="14457" max="14457" width="9.375" style="3063" bestFit="1" customWidth="1"/>
    <col min="14458" max="14458" width="11.375" style="3063" bestFit="1" customWidth="1"/>
    <col min="14459" max="14459" width="10.25" style="3063" bestFit="1" customWidth="1"/>
    <col min="14460" max="14460" width="9.375" style="3063" bestFit="1" customWidth="1"/>
    <col min="14461" max="14461" width="11.375" style="3063" bestFit="1" customWidth="1"/>
    <col min="14462" max="14462" width="10.25" style="3063" bestFit="1" customWidth="1"/>
    <col min="14463" max="14463" width="10.125" style="3063" bestFit="1" customWidth="1"/>
    <col min="14464" max="14464" width="10.375" style="3063" bestFit="1" customWidth="1"/>
    <col min="14465" max="14465" width="8.375" style="3063" bestFit="1" customWidth="1"/>
    <col min="14466" max="14466" width="9.125" style="3063" bestFit="1" customWidth="1"/>
    <col min="14467" max="14467" width="10" style="3063" customWidth="1"/>
    <col min="14468" max="14468" width="8.375" style="3063" bestFit="1" customWidth="1"/>
    <col min="14469" max="14469" width="7.875" style="3063"/>
    <col min="14470" max="14470" width="9.25" style="3063" customWidth="1"/>
    <col min="14471" max="14471" width="8.375" style="3063" bestFit="1" customWidth="1"/>
    <col min="14472" max="14472" width="7.875" style="3063"/>
    <col min="14473" max="14473" width="8.625" style="3063" customWidth="1"/>
    <col min="14474" max="14474" width="10.125" style="3063" bestFit="1" customWidth="1"/>
    <col min="14475" max="14475" width="7.875" style="3063"/>
    <col min="14476" max="14476" width="10.125" style="3063" bestFit="1" customWidth="1"/>
    <col min="14477" max="14477" width="8.25" style="3063" bestFit="1" customWidth="1"/>
    <col min="14478" max="14478" width="7.875" style="3063"/>
    <col min="14479" max="14479" width="10.125" style="3063" bestFit="1" customWidth="1"/>
    <col min="14480" max="14480" width="8.25" style="3063" bestFit="1" customWidth="1"/>
    <col min="14481" max="14481" width="7.875" style="3063"/>
    <col min="14482" max="14482" width="10.125" style="3063" bestFit="1" customWidth="1"/>
    <col min="14483" max="14483" width="8.25" style="3063" bestFit="1" customWidth="1"/>
    <col min="14484" max="14484" width="7.875" style="3063"/>
    <col min="14485" max="14485" width="10.125" style="3063" bestFit="1" customWidth="1"/>
    <col min="14486" max="14487" width="8.25" style="3063" bestFit="1" customWidth="1"/>
    <col min="14488" max="14488" width="10.125" style="3063" bestFit="1" customWidth="1"/>
    <col min="14489" max="14489" width="8.25" style="3063" bestFit="1" customWidth="1"/>
    <col min="14490" max="14490" width="7.875" style="3063"/>
    <col min="14491" max="14491" width="10.125" style="3063" bestFit="1" customWidth="1"/>
    <col min="14492" max="14492" width="9.125" style="3063" bestFit="1" customWidth="1"/>
    <col min="14493" max="14493" width="7.875" style="3063"/>
    <col min="14494" max="14494" width="10.125" style="3063" bestFit="1" customWidth="1"/>
    <col min="14495" max="14495" width="9.125" style="3063" bestFit="1" customWidth="1"/>
    <col min="14496" max="14496" width="7.875" style="3063"/>
    <col min="14497" max="14497" width="10.125" style="3063" bestFit="1" customWidth="1"/>
    <col min="14498" max="14498" width="9.125" style="3063" bestFit="1" customWidth="1"/>
    <col min="14499" max="14499" width="7.875" style="3063"/>
    <col min="14500" max="14500" width="10.125" style="3063" bestFit="1" customWidth="1"/>
    <col min="14501" max="14501" width="9.125" style="3063" bestFit="1" customWidth="1"/>
    <col min="14502" max="14502" width="7.875" style="3063"/>
    <col min="14503" max="14503" width="10.125" style="3063" bestFit="1" customWidth="1"/>
    <col min="14504" max="14504" width="9.125" style="3063" bestFit="1" customWidth="1"/>
    <col min="14505" max="14505" width="7.875" style="3063"/>
    <col min="14506" max="14506" width="10.125" style="3063" bestFit="1" customWidth="1"/>
    <col min="14507" max="14508" width="8.25" style="3063" bestFit="1" customWidth="1"/>
    <col min="14509" max="14509" width="9.125" style="3063" bestFit="1" customWidth="1"/>
    <col min="14510" max="14510" width="8.25" style="3063" bestFit="1" customWidth="1"/>
    <col min="14511" max="14511" width="7.875" style="3063"/>
    <col min="14512" max="14512" width="9.125" style="3063" bestFit="1" customWidth="1"/>
    <col min="14513" max="14513" width="8.25" style="3063" bestFit="1" customWidth="1"/>
    <col min="14514" max="14514" width="7.875" style="3063"/>
    <col min="14515" max="14515" width="9.125" style="3063" bestFit="1" customWidth="1"/>
    <col min="14516" max="14516" width="8.25" style="3063" bestFit="1" customWidth="1"/>
    <col min="14517" max="14517" width="7.875" style="3063"/>
    <col min="14518" max="14519" width="8.25" style="3063" bestFit="1" customWidth="1"/>
    <col min="14520" max="14520" width="7.875" style="3063"/>
    <col min="14521" max="14522" width="8.25" style="3063" bestFit="1" customWidth="1"/>
    <col min="14523" max="14523" width="7.875" style="3063"/>
    <col min="14524" max="14524" width="9.875" style="3063" bestFit="1" customWidth="1"/>
    <col min="14525" max="14525" width="11.125" style="3063" bestFit="1" customWidth="1"/>
    <col min="14526" max="14526" width="9.125" style="3063" bestFit="1" customWidth="1"/>
    <col min="14527" max="14527" width="9.875" style="3063" bestFit="1" customWidth="1"/>
    <col min="14528" max="14528" width="11.125" style="3063" bestFit="1" customWidth="1"/>
    <col min="14529" max="14529" width="7.875" style="3063"/>
    <col min="14530" max="14530" width="9" style="3063" customWidth="1"/>
    <col min="14531" max="14531" width="8.625" style="3063" customWidth="1"/>
    <col min="14532" max="14592" width="7.875" style="3063"/>
    <col min="14593" max="14593" width="3.875" style="3063" customWidth="1"/>
    <col min="14594" max="14594" width="10.375" style="3063" customWidth="1"/>
    <col min="14595" max="14595" width="10.75" style="3063" customWidth="1"/>
    <col min="14596" max="14596" width="11.625" style="3063" customWidth="1"/>
    <col min="14597" max="14597" width="10" style="3063" customWidth="1"/>
    <col min="14598" max="14598" width="9.375" style="3063" customWidth="1"/>
    <col min="14599" max="14599" width="10.5" style="3063" customWidth="1"/>
    <col min="14600" max="14600" width="12.5" style="3063" customWidth="1"/>
    <col min="14601" max="14601" width="11.75" style="3063" customWidth="1"/>
    <col min="14602" max="14602" width="10.5" style="3063" customWidth="1"/>
    <col min="14603" max="14603" width="12.125" style="3063" customWidth="1"/>
    <col min="14604" max="14604" width="9.75" style="3063" customWidth="1"/>
    <col min="14605" max="14605" width="10" style="3063" customWidth="1"/>
    <col min="14606" max="14606" width="12.25" style="3063" customWidth="1"/>
    <col min="14607" max="14607" width="9.75" style="3063" customWidth="1"/>
    <col min="14608" max="14608" width="8.625" style="3063" customWidth="1"/>
    <col min="14609" max="14609" width="11.25" style="3063" customWidth="1"/>
    <col min="14610" max="14610" width="11.125" style="3063" customWidth="1"/>
    <col min="14611" max="14611" width="10.625" style="3063" customWidth="1"/>
    <col min="14612" max="14612" width="11.125" style="3063" customWidth="1"/>
    <col min="14613" max="14613" width="10.125" style="3063" customWidth="1"/>
    <col min="14614" max="14614" width="12.125" style="3063" customWidth="1"/>
    <col min="14615" max="14615" width="7.75" style="3063" customWidth="1"/>
    <col min="14616" max="14616" width="8.125" style="3063" customWidth="1"/>
    <col min="14617" max="14619" width="10.875" style="3063" bestFit="1" customWidth="1"/>
    <col min="14620" max="14622" width="11.5" style="3063" customWidth="1"/>
    <col min="14623" max="14623" width="11.75" style="3063" customWidth="1"/>
    <col min="14624" max="14624" width="7.75" style="3063" bestFit="1" customWidth="1"/>
    <col min="14625" max="14625" width="11.5" style="3063" bestFit="1" customWidth="1"/>
    <col min="14626" max="14626" width="7.75" style="3063" bestFit="1" customWidth="1"/>
    <col min="14627" max="14627" width="8.75" style="3063" customWidth="1"/>
    <col min="14628" max="14628" width="9.875" style="3063" bestFit="1" customWidth="1"/>
    <col min="14629" max="14629" width="8" style="3063" customWidth="1"/>
    <col min="14630" max="14633" width="7.75" style="3063" bestFit="1" customWidth="1"/>
    <col min="14634" max="14635" width="12.25" style="3063" customWidth="1"/>
    <col min="14636" max="14636" width="10.25" style="3063" customWidth="1"/>
    <col min="14637" max="14637" width="9.25" style="3063" customWidth="1"/>
    <col min="14638" max="14638" width="11" style="3063" customWidth="1"/>
    <col min="14639" max="14639" width="8.375" style="3063" customWidth="1"/>
    <col min="14640" max="14640" width="9.5" style="3063" customWidth="1"/>
    <col min="14641" max="14641" width="13.25" style="3063" customWidth="1"/>
    <col min="14642" max="14642" width="13" style="3063" customWidth="1"/>
    <col min="14643" max="14645" width="10.875" style="3063" customWidth="1"/>
    <col min="14646" max="14646" width="10.5" style="3063" customWidth="1"/>
    <col min="14647" max="14647" width="6.375" style="3063" customWidth="1"/>
    <col min="14648" max="14648" width="6.25" style="3063" customWidth="1"/>
    <col min="14649" max="14649" width="9.875" style="3063" customWidth="1"/>
    <col min="14650" max="14650" width="10.75" style="3063" customWidth="1"/>
    <col min="14651" max="14651" width="9.5" style="3063" customWidth="1"/>
    <col min="14652" max="14655" width="11" style="3063" customWidth="1"/>
    <col min="14656" max="14656" width="10.625" style="3063" customWidth="1"/>
    <col min="14657" max="14657" width="11.875" style="3063" bestFit="1" customWidth="1"/>
    <col min="14658" max="14658" width="9.75" style="3063" bestFit="1" customWidth="1"/>
    <col min="14659" max="14659" width="11.875" style="3063" bestFit="1" customWidth="1"/>
    <col min="14660" max="14660" width="9.75" style="3063" bestFit="1" customWidth="1"/>
    <col min="14661" max="14661" width="11.875" style="3063" bestFit="1" customWidth="1"/>
    <col min="14662" max="14662" width="9.75" style="3063" bestFit="1" customWidth="1"/>
    <col min="14663" max="14663" width="11.375" style="3063" bestFit="1" customWidth="1"/>
    <col min="14664" max="14664" width="9.75" style="3063" bestFit="1" customWidth="1"/>
    <col min="14665" max="14665" width="11.375" style="3063" bestFit="1" customWidth="1"/>
    <col min="14666" max="14666" width="9.75" style="3063" bestFit="1" customWidth="1"/>
    <col min="14667" max="14667" width="11.375" style="3063" bestFit="1" customWidth="1"/>
    <col min="14668" max="14668" width="9.75" style="3063" bestFit="1" customWidth="1"/>
    <col min="14669" max="14669" width="11.375" style="3063" bestFit="1" customWidth="1"/>
    <col min="14670" max="14670" width="9.75" style="3063" bestFit="1" customWidth="1"/>
    <col min="14671" max="14671" width="11.375" style="3063" bestFit="1" customWidth="1"/>
    <col min="14672" max="14672" width="9.75" style="3063" bestFit="1" customWidth="1"/>
    <col min="14673" max="14673" width="10.25" style="3063" bestFit="1" customWidth="1"/>
    <col min="14674" max="14674" width="9.625" style="3063" customWidth="1"/>
    <col min="14675" max="14675" width="10.375" style="3063" customWidth="1"/>
    <col min="14676" max="14676" width="9.25" style="3063" customWidth="1"/>
    <col min="14677" max="14677" width="10" style="3063" customWidth="1"/>
    <col min="14678" max="14678" width="9.75" style="3063" customWidth="1"/>
    <col min="14679" max="14679" width="9.125" style="3063" customWidth="1"/>
    <col min="14680" max="14704" width="9.5" style="3063" customWidth="1"/>
    <col min="14705" max="14705" width="15.5" style="3063" bestFit="1" customWidth="1"/>
    <col min="14706" max="14706" width="13.25" style="3063" bestFit="1" customWidth="1"/>
    <col min="14707" max="14707" width="13.5" style="3063" customWidth="1"/>
    <col min="14708" max="14708" width="12.5" style="3063" bestFit="1" customWidth="1"/>
    <col min="14709" max="14709" width="10.625" style="3063" bestFit="1" customWidth="1"/>
    <col min="14710" max="14710" width="11.375" style="3063" bestFit="1" customWidth="1"/>
    <col min="14711" max="14711" width="11.75" style="3063" bestFit="1" customWidth="1"/>
    <col min="14712" max="14712" width="11.375" style="3063" bestFit="1" customWidth="1"/>
    <col min="14713" max="14713" width="9.375" style="3063" bestFit="1" customWidth="1"/>
    <col min="14714" max="14714" width="11.375" style="3063" bestFit="1" customWidth="1"/>
    <col min="14715" max="14715" width="10.25" style="3063" bestFit="1" customWidth="1"/>
    <col min="14716" max="14716" width="9.375" style="3063" bestFit="1" customWidth="1"/>
    <col min="14717" max="14717" width="11.375" style="3063" bestFit="1" customWidth="1"/>
    <col min="14718" max="14718" width="10.25" style="3063" bestFit="1" customWidth="1"/>
    <col min="14719" max="14719" width="10.125" style="3063" bestFit="1" customWidth="1"/>
    <col min="14720" max="14720" width="10.375" style="3063" bestFit="1" customWidth="1"/>
    <col min="14721" max="14721" width="8.375" style="3063" bestFit="1" customWidth="1"/>
    <col min="14722" max="14722" width="9.125" style="3063" bestFit="1" customWidth="1"/>
    <col min="14723" max="14723" width="10" style="3063" customWidth="1"/>
    <col min="14724" max="14724" width="8.375" style="3063" bestFit="1" customWidth="1"/>
    <col min="14725" max="14725" width="7.875" style="3063"/>
    <col min="14726" max="14726" width="9.25" style="3063" customWidth="1"/>
    <col min="14727" max="14727" width="8.375" style="3063" bestFit="1" customWidth="1"/>
    <col min="14728" max="14728" width="7.875" style="3063"/>
    <col min="14729" max="14729" width="8.625" style="3063" customWidth="1"/>
    <col min="14730" max="14730" width="10.125" style="3063" bestFit="1" customWidth="1"/>
    <col min="14731" max="14731" width="7.875" style="3063"/>
    <col min="14732" max="14732" width="10.125" style="3063" bestFit="1" customWidth="1"/>
    <col min="14733" max="14733" width="8.25" style="3063" bestFit="1" customWidth="1"/>
    <col min="14734" max="14734" width="7.875" style="3063"/>
    <col min="14735" max="14735" width="10.125" style="3063" bestFit="1" customWidth="1"/>
    <col min="14736" max="14736" width="8.25" style="3063" bestFit="1" customWidth="1"/>
    <col min="14737" max="14737" width="7.875" style="3063"/>
    <col min="14738" max="14738" width="10.125" style="3063" bestFit="1" customWidth="1"/>
    <col min="14739" max="14739" width="8.25" style="3063" bestFit="1" customWidth="1"/>
    <col min="14740" max="14740" width="7.875" style="3063"/>
    <col min="14741" max="14741" width="10.125" style="3063" bestFit="1" customWidth="1"/>
    <col min="14742" max="14743" width="8.25" style="3063" bestFit="1" customWidth="1"/>
    <col min="14744" max="14744" width="10.125" style="3063" bestFit="1" customWidth="1"/>
    <col min="14745" max="14745" width="8.25" style="3063" bestFit="1" customWidth="1"/>
    <col min="14746" max="14746" width="7.875" style="3063"/>
    <col min="14747" max="14747" width="10.125" style="3063" bestFit="1" customWidth="1"/>
    <col min="14748" max="14748" width="9.125" style="3063" bestFit="1" customWidth="1"/>
    <col min="14749" max="14749" width="7.875" style="3063"/>
    <col min="14750" max="14750" width="10.125" style="3063" bestFit="1" customWidth="1"/>
    <col min="14751" max="14751" width="9.125" style="3063" bestFit="1" customWidth="1"/>
    <col min="14752" max="14752" width="7.875" style="3063"/>
    <col min="14753" max="14753" width="10.125" style="3063" bestFit="1" customWidth="1"/>
    <col min="14754" max="14754" width="9.125" style="3063" bestFit="1" customWidth="1"/>
    <col min="14755" max="14755" width="7.875" style="3063"/>
    <col min="14756" max="14756" width="10.125" style="3063" bestFit="1" customWidth="1"/>
    <col min="14757" max="14757" width="9.125" style="3063" bestFit="1" customWidth="1"/>
    <col min="14758" max="14758" width="7.875" style="3063"/>
    <col min="14759" max="14759" width="10.125" style="3063" bestFit="1" customWidth="1"/>
    <col min="14760" max="14760" width="9.125" style="3063" bestFit="1" customWidth="1"/>
    <col min="14761" max="14761" width="7.875" style="3063"/>
    <col min="14762" max="14762" width="10.125" style="3063" bestFit="1" customWidth="1"/>
    <col min="14763" max="14764" width="8.25" style="3063" bestFit="1" customWidth="1"/>
    <col min="14765" max="14765" width="9.125" style="3063" bestFit="1" customWidth="1"/>
    <col min="14766" max="14766" width="8.25" style="3063" bestFit="1" customWidth="1"/>
    <col min="14767" max="14767" width="7.875" style="3063"/>
    <col min="14768" max="14768" width="9.125" style="3063" bestFit="1" customWidth="1"/>
    <col min="14769" max="14769" width="8.25" style="3063" bestFit="1" customWidth="1"/>
    <col min="14770" max="14770" width="7.875" style="3063"/>
    <col min="14771" max="14771" width="9.125" style="3063" bestFit="1" customWidth="1"/>
    <col min="14772" max="14772" width="8.25" style="3063" bestFit="1" customWidth="1"/>
    <col min="14773" max="14773" width="7.875" style="3063"/>
    <col min="14774" max="14775" width="8.25" style="3063" bestFit="1" customWidth="1"/>
    <col min="14776" max="14776" width="7.875" style="3063"/>
    <col min="14777" max="14778" width="8.25" style="3063" bestFit="1" customWidth="1"/>
    <col min="14779" max="14779" width="7.875" style="3063"/>
    <col min="14780" max="14780" width="9.875" style="3063" bestFit="1" customWidth="1"/>
    <col min="14781" max="14781" width="11.125" style="3063" bestFit="1" customWidth="1"/>
    <col min="14782" max="14782" width="9.125" style="3063" bestFit="1" customWidth="1"/>
    <col min="14783" max="14783" width="9.875" style="3063" bestFit="1" customWidth="1"/>
    <col min="14784" max="14784" width="11.125" style="3063" bestFit="1" customWidth="1"/>
    <col min="14785" max="14785" width="7.875" style="3063"/>
    <col min="14786" max="14786" width="9" style="3063" customWidth="1"/>
    <col min="14787" max="14787" width="8.625" style="3063" customWidth="1"/>
    <col min="14788" max="14848" width="7.875" style="3063"/>
    <col min="14849" max="14849" width="3.875" style="3063" customWidth="1"/>
    <col min="14850" max="14850" width="10.375" style="3063" customWidth="1"/>
    <col min="14851" max="14851" width="10.75" style="3063" customWidth="1"/>
    <col min="14852" max="14852" width="11.625" style="3063" customWidth="1"/>
    <col min="14853" max="14853" width="10" style="3063" customWidth="1"/>
    <col min="14854" max="14854" width="9.375" style="3063" customWidth="1"/>
    <col min="14855" max="14855" width="10.5" style="3063" customWidth="1"/>
    <col min="14856" max="14856" width="12.5" style="3063" customWidth="1"/>
    <col min="14857" max="14857" width="11.75" style="3063" customWidth="1"/>
    <col min="14858" max="14858" width="10.5" style="3063" customWidth="1"/>
    <col min="14859" max="14859" width="12.125" style="3063" customWidth="1"/>
    <col min="14860" max="14860" width="9.75" style="3063" customWidth="1"/>
    <col min="14861" max="14861" width="10" style="3063" customWidth="1"/>
    <col min="14862" max="14862" width="12.25" style="3063" customWidth="1"/>
    <col min="14863" max="14863" width="9.75" style="3063" customWidth="1"/>
    <col min="14864" max="14864" width="8.625" style="3063" customWidth="1"/>
    <col min="14865" max="14865" width="11.25" style="3063" customWidth="1"/>
    <col min="14866" max="14866" width="11.125" style="3063" customWidth="1"/>
    <col min="14867" max="14867" width="10.625" style="3063" customWidth="1"/>
    <col min="14868" max="14868" width="11.125" style="3063" customWidth="1"/>
    <col min="14869" max="14869" width="10.125" style="3063" customWidth="1"/>
    <col min="14870" max="14870" width="12.125" style="3063" customWidth="1"/>
    <col min="14871" max="14871" width="7.75" style="3063" customWidth="1"/>
    <col min="14872" max="14872" width="8.125" style="3063" customWidth="1"/>
    <col min="14873" max="14875" width="10.875" style="3063" bestFit="1" customWidth="1"/>
    <col min="14876" max="14878" width="11.5" style="3063" customWidth="1"/>
    <col min="14879" max="14879" width="11.75" style="3063" customWidth="1"/>
    <col min="14880" max="14880" width="7.75" style="3063" bestFit="1" customWidth="1"/>
    <col min="14881" max="14881" width="11.5" style="3063" bestFit="1" customWidth="1"/>
    <col min="14882" max="14882" width="7.75" style="3063" bestFit="1" customWidth="1"/>
    <col min="14883" max="14883" width="8.75" style="3063" customWidth="1"/>
    <col min="14884" max="14884" width="9.875" style="3063" bestFit="1" customWidth="1"/>
    <col min="14885" max="14885" width="8" style="3063" customWidth="1"/>
    <col min="14886" max="14889" width="7.75" style="3063" bestFit="1" customWidth="1"/>
    <col min="14890" max="14891" width="12.25" style="3063" customWidth="1"/>
    <col min="14892" max="14892" width="10.25" style="3063" customWidth="1"/>
    <col min="14893" max="14893" width="9.25" style="3063" customWidth="1"/>
    <col min="14894" max="14894" width="11" style="3063" customWidth="1"/>
    <col min="14895" max="14895" width="8.375" style="3063" customWidth="1"/>
    <col min="14896" max="14896" width="9.5" style="3063" customWidth="1"/>
    <col min="14897" max="14897" width="13.25" style="3063" customWidth="1"/>
    <col min="14898" max="14898" width="13" style="3063" customWidth="1"/>
    <col min="14899" max="14901" width="10.875" style="3063" customWidth="1"/>
    <col min="14902" max="14902" width="10.5" style="3063" customWidth="1"/>
    <col min="14903" max="14903" width="6.375" style="3063" customWidth="1"/>
    <col min="14904" max="14904" width="6.25" style="3063" customWidth="1"/>
    <col min="14905" max="14905" width="9.875" style="3063" customWidth="1"/>
    <col min="14906" max="14906" width="10.75" style="3063" customWidth="1"/>
    <col min="14907" max="14907" width="9.5" style="3063" customWidth="1"/>
    <col min="14908" max="14911" width="11" style="3063" customWidth="1"/>
    <col min="14912" max="14912" width="10.625" style="3063" customWidth="1"/>
    <col min="14913" max="14913" width="11.875" style="3063" bestFit="1" customWidth="1"/>
    <col min="14914" max="14914" width="9.75" style="3063" bestFit="1" customWidth="1"/>
    <col min="14915" max="14915" width="11.875" style="3063" bestFit="1" customWidth="1"/>
    <col min="14916" max="14916" width="9.75" style="3063" bestFit="1" customWidth="1"/>
    <col min="14917" max="14917" width="11.875" style="3063" bestFit="1" customWidth="1"/>
    <col min="14918" max="14918" width="9.75" style="3063" bestFit="1" customWidth="1"/>
    <col min="14919" max="14919" width="11.375" style="3063" bestFit="1" customWidth="1"/>
    <col min="14920" max="14920" width="9.75" style="3063" bestFit="1" customWidth="1"/>
    <col min="14921" max="14921" width="11.375" style="3063" bestFit="1" customWidth="1"/>
    <col min="14922" max="14922" width="9.75" style="3063" bestFit="1" customWidth="1"/>
    <col min="14923" max="14923" width="11.375" style="3063" bestFit="1" customWidth="1"/>
    <col min="14924" max="14924" width="9.75" style="3063" bestFit="1" customWidth="1"/>
    <col min="14925" max="14925" width="11.375" style="3063" bestFit="1" customWidth="1"/>
    <col min="14926" max="14926" width="9.75" style="3063" bestFit="1" customWidth="1"/>
    <col min="14927" max="14927" width="11.375" style="3063" bestFit="1" customWidth="1"/>
    <col min="14928" max="14928" width="9.75" style="3063" bestFit="1" customWidth="1"/>
    <col min="14929" max="14929" width="10.25" style="3063" bestFit="1" customWidth="1"/>
    <col min="14930" max="14930" width="9.625" style="3063" customWidth="1"/>
    <col min="14931" max="14931" width="10.375" style="3063" customWidth="1"/>
    <col min="14932" max="14932" width="9.25" style="3063" customWidth="1"/>
    <col min="14933" max="14933" width="10" style="3063" customWidth="1"/>
    <col min="14934" max="14934" width="9.75" style="3063" customWidth="1"/>
    <col min="14935" max="14935" width="9.125" style="3063" customWidth="1"/>
    <col min="14936" max="14960" width="9.5" style="3063" customWidth="1"/>
    <col min="14961" max="14961" width="15.5" style="3063" bestFit="1" customWidth="1"/>
    <col min="14962" max="14962" width="13.25" style="3063" bestFit="1" customWidth="1"/>
    <col min="14963" max="14963" width="13.5" style="3063" customWidth="1"/>
    <col min="14964" max="14964" width="12.5" style="3063" bestFit="1" customWidth="1"/>
    <col min="14965" max="14965" width="10.625" style="3063" bestFit="1" customWidth="1"/>
    <col min="14966" max="14966" width="11.375" style="3063" bestFit="1" customWidth="1"/>
    <col min="14967" max="14967" width="11.75" style="3063" bestFit="1" customWidth="1"/>
    <col min="14968" max="14968" width="11.375" style="3063" bestFit="1" customWidth="1"/>
    <col min="14969" max="14969" width="9.375" style="3063" bestFit="1" customWidth="1"/>
    <col min="14970" max="14970" width="11.375" style="3063" bestFit="1" customWidth="1"/>
    <col min="14971" max="14971" width="10.25" style="3063" bestFit="1" customWidth="1"/>
    <col min="14972" max="14972" width="9.375" style="3063" bestFit="1" customWidth="1"/>
    <col min="14973" max="14973" width="11.375" style="3063" bestFit="1" customWidth="1"/>
    <col min="14974" max="14974" width="10.25" style="3063" bestFit="1" customWidth="1"/>
    <col min="14975" max="14975" width="10.125" style="3063" bestFit="1" customWidth="1"/>
    <col min="14976" max="14976" width="10.375" style="3063" bestFit="1" customWidth="1"/>
    <col min="14977" max="14977" width="8.375" style="3063" bestFit="1" customWidth="1"/>
    <col min="14978" max="14978" width="9.125" style="3063" bestFit="1" customWidth="1"/>
    <col min="14979" max="14979" width="10" style="3063" customWidth="1"/>
    <col min="14980" max="14980" width="8.375" style="3063" bestFit="1" customWidth="1"/>
    <col min="14981" max="14981" width="7.875" style="3063"/>
    <col min="14982" max="14982" width="9.25" style="3063" customWidth="1"/>
    <col min="14983" max="14983" width="8.375" style="3063" bestFit="1" customWidth="1"/>
    <col min="14984" max="14984" width="7.875" style="3063"/>
    <col min="14985" max="14985" width="8.625" style="3063" customWidth="1"/>
    <col min="14986" max="14986" width="10.125" style="3063" bestFit="1" customWidth="1"/>
    <col min="14987" max="14987" width="7.875" style="3063"/>
    <col min="14988" max="14988" width="10.125" style="3063" bestFit="1" customWidth="1"/>
    <col min="14989" max="14989" width="8.25" style="3063" bestFit="1" customWidth="1"/>
    <col min="14990" max="14990" width="7.875" style="3063"/>
    <col min="14991" max="14991" width="10.125" style="3063" bestFit="1" customWidth="1"/>
    <col min="14992" max="14992" width="8.25" style="3063" bestFit="1" customWidth="1"/>
    <col min="14993" max="14993" width="7.875" style="3063"/>
    <col min="14994" max="14994" width="10.125" style="3063" bestFit="1" customWidth="1"/>
    <col min="14995" max="14995" width="8.25" style="3063" bestFit="1" customWidth="1"/>
    <col min="14996" max="14996" width="7.875" style="3063"/>
    <col min="14997" max="14997" width="10.125" style="3063" bestFit="1" customWidth="1"/>
    <col min="14998" max="14999" width="8.25" style="3063" bestFit="1" customWidth="1"/>
    <col min="15000" max="15000" width="10.125" style="3063" bestFit="1" customWidth="1"/>
    <col min="15001" max="15001" width="8.25" style="3063" bestFit="1" customWidth="1"/>
    <col min="15002" max="15002" width="7.875" style="3063"/>
    <col min="15003" max="15003" width="10.125" style="3063" bestFit="1" customWidth="1"/>
    <col min="15004" max="15004" width="9.125" style="3063" bestFit="1" customWidth="1"/>
    <col min="15005" max="15005" width="7.875" style="3063"/>
    <col min="15006" max="15006" width="10.125" style="3063" bestFit="1" customWidth="1"/>
    <col min="15007" max="15007" width="9.125" style="3063" bestFit="1" customWidth="1"/>
    <col min="15008" max="15008" width="7.875" style="3063"/>
    <col min="15009" max="15009" width="10.125" style="3063" bestFit="1" customWidth="1"/>
    <col min="15010" max="15010" width="9.125" style="3063" bestFit="1" customWidth="1"/>
    <col min="15011" max="15011" width="7.875" style="3063"/>
    <col min="15012" max="15012" width="10.125" style="3063" bestFit="1" customWidth="1"/>
    <col min="15013" max="15013" width="9.125" style="3063" bestFit="1" customWidth="1"/>
    <col min="15014" max="15014" width="7.875" style="3063"/>
    <col min="15015" max="15015" width="10.125" style="3063" bestFit="1" customWidth="1"/>
    <col min="15016" max="15016" width="9.125" style="3063" bestFit="1" customWidth="1"/>
    <col min="15017" max="15017" width="7.875" style="3063"/>
    <col min="15018" max="15018" width="10.125" style="3063" bestFit="1" customWidth="1"/>
    <col min="15019" max="15020" width="8.25" style="3063" bestFit="1" customWidth="1"/>
    <col min="15021" max="15021" width="9.125" style="3063" bestFit="1" customWidth="1"/>
    <col min="15022" max="15022" width="8.25" style="3063" bestFit="1" customWidth="1"/>
    <col min="15023" max="15023" width="7.875" style="3063"/>
    <col min="15024" max="15024" width="9.125" style="3063" bestFit="1" customWidth="1"/>
    <col min="15025" max="15025" width="8.25" style="3063" bestFit="1" customWidth="1"/>
    <col min="15026" max="15026" width="7.875" style="3063"/>
    <col min="15027" max="15027" width="9.125" style="3063" bestFit="1" customWidth="1"/>
    <col min="15028" max="15028" width="8.25" style="3063" bestFit="1" customWidth="1"/>
    <col min="15029" max="15029" width="7.875" style="3063"/>
    <col min="15030" max="15031" width="8.25" style="3063" bestFit="1" customWidth="1"/>
    <col min="15032" max="15032" width="7.875" style="3063"/>
    <col min="15033" max="15034" width="8.25" style="3063" bestFit="1" customWidth="1"/>
    <col min="15035" max="15035" width="7.875" style="3063"/>
    <col min="15036" max="15036" width="9.875" style="3063" bestFit="1" customWidth="1"/>
    <col min="15037" max="15037" width="11.125" style="3063" bestFit="1" customWidth="1"/>
    <col min="15038" max="15038" width="9.125" style="3063" bestFit="1" customWidth="1"/>
    <col min="15039" max="15039" width="9.875" style="3063" bestFit="1" customWidth="1"/>
    <col min="15040" max="15040" width="11.125" style="3063" bestFit="1" customWidth="1"/>
    <col min="15041" max="15041" width="7.875" style="3063"/>
    <col min="15042" max="15042" width="9" style="3063" customWidth="1"/>
    <col min="15043" max="15043" width="8.625" style="3063" customWidth="1"/>
    <col min="15044" max="15104" width="7.875" style="3063"/>
    <col min="15105" max="15105" width="3.875" style="3063" customWidth="1"/>
    <col min="15106" max="15106" width="10.375" style="3063" customWidth="1"/>
    <col min="15107" max="15107" width="10.75" style="3063" customWidth="1"/>
    <col min="15108" max="15108" width="11.625" style="3063" customWidth="1"/>
    <col min="15109" max="15109" width="10" style="3063" customWidth="1"/>
    <col min="15110" max="15110" width="9.375" style="3063" customWidth="1"/>
    <col min="15111" max="15111" width="10.5" style="3063" customWidth="1"/>
    <col min="15112" max="15112" width="12.5" style="3063" customWidth="1"/>
    <col min="15113" max="15113" width="11.75" style="3063" customWidth="1"/>
    <col min="15114" max="15114" width="10.5" style="3063" customWidth="1"/>
    <col min="15115" max="15115" width="12.125" style="3063" customWidth="1"/>
    <col min="15116" max="15116" width="9.75" style="3063" customWidth="1"/>
    <col min="15117" max="15117" width="10" style="3063" customWidth="1"/>
    <col min="15118" max="15118" width="12.25" style="3063" customWidth="1"/>
    <col min="15119" max="15119" width="9.75" style="3063" customWidth="1"/>
    <col min="15120" max="15120" width="8.625" style="3063" customWidth="1"/>
    <col min="15121" max="15121" width="11.25" style="3063" customWidth="1"/>
    <col min="15122" max="15122" width="11.125" style="3063" customWidth="1"/>
    <col min="15123" max="15123" width="10.625" style="3063" customWidth="1"/>
    <col min="15124" max="15124" width="11.125" style="3063" customWidth="1"/>
    <col min="15125" max="15125" width="10.125" style="3063" customWidth="1"/>
    <col min="15126" max="15126" width="12.125" style="3063" customWidth="1"/>
    <col min="15127" max="15127" width="7.75" style="3063" customWidth="1"/>
    <col min="15128" max="15128" width="8.125" style="3063" customWidth="1"/>
    <col min="15129" max="15131" width="10.875" style="3063" bestFit="1" customWidth="1"/>
    <col min="15132" max="15134" width="11.5" style="3063" customWidth="1"/>
    <col min="15135" max="15135" width="11.75" style="3063" customWidth="1"/>
    <col min="15136" max="15136" width="7.75" style="3063" bestFit="1" customWidth="1"/>
    <col min="15137" max="15137" width="11.5" style="3063" bestFit="1" customWidth="1"/>
    <col min="15138" max="15138" width="7.75" style="3063" bestFit="1" customWidth="1"/>
    <col min="15139" max="15139" width="8.75" style="3063" customWidth="1"/>
    <col min="15140" max="15140" width="9.875" style="3063" bestFit="1" customWidth="1"/>
    <col min="15141" max="15141" width="8" style="3063" customWidth="1"/>
    <col min="15142" max="15145" width="7.75" style="3063" bestFit="1" customWidth="1"/>
    <col min="15146" max="15147" width="12.25" style="3063" customWidth="1"/>
    <col min="15148" max="15148" width="10.25" style="3063" customWidth="1"/>
    <col min="15149" max="15149" width="9.25" style="3063" customWidth="1"/>
    <col min="15150" max="15150" width="11" style="3063" customWidth="1"/>
    <col min="15151" max="15151" width="8.375" style="3063" customWidth="1"/>
    <col min="15152" max="15152" width="9.5" style="3063" customWidth="1"/>
    <col min="15153" max="15153" width="13.25" style="3063" customWidth="1"/>
    <col min="15154" max="15154" width="13" style="3063" customWidth="1"/>
    <col min="15155" max="15157" width="10.875" style="3063" customWidth="1"/>
    <col min="15158" max="15158" width="10.5" style="3063" customWidth="1"/>
    <col min="15159" max="15159" width="6.375" style="3063" customWidth="1"/>
    <col min="15160" max="15160" width="6.25" style="3063" customWidth="1"/>
    <col min="15161" max="15161" width="9.875" style="3063" customWidth="1"/>
    <col min="15162" max="15162" width="10.75" style="3063" customWidth="1"/>
    <col min="15163" max="15163" width="9.5" style="3063" customWidth="1"/>
    <col min="15164" max="15167" width="11" style="3063" customWidth="1"/>
    <col min="15168" max="15168" width="10.625" style="3063" customWidth="1"/>
    <col min="15169" max="15169" width="11.875" style="3063" bestFit="1" customWidth="1"/>
    <col min="15170" max="15170" width="9.75" style="3063" bestFit="1" customWidth="1"/>
    <col min="15171" max="15171" width="11.875" style="3063" bestFit="1" customWidth="1"/>
    <col min="15172" max="15172" width="9.75" style="3063" bestFit="1" customWidth="1"/>
    <col min="15173" max="15173" width="11.875" style="3063" bestFit="1" customWidth="1"/>
    <col min="15174" max="15174" width="9.75" style="3063" bestFit="1" customWidth="1"/>
    <col min="15175" max="15175" width="11.375" style="3063" bestFit="1" customWidth="1"/>
    <col min="15176" max="15176" width="9.75" style="3063" bestFit="1" customWidth="1"/>
    <col min="15177" max="15177" width="11.375" style="3063" bestFit="1" customWidth="1"/>
    <col min="15178" max="15178" width="9.75" style="3063" bestFit="1" customWidth="1"/>
    <col min="15179" max="15179" width="11.375" style="3063" bestFit="1" customWidth="1"/>
    <col min="15180" max="15180" width="9.75" style="3063" bestFit="1" customWidth="1"/>
    <col min="15181" max="15181" width="11.375" style="3063" bestFit="1" customWidth="1"/>
    <col min="15182" max="15182" width="9.75" style="3063" bestFit="1" customWidth="1"/>
    <col min="15183" max="15183" width="11.375" style="3063" bestFit="1" customWidth="1"/>
    <col min="15184" max="15184" width="9.75" style="3063" bestFit="1" customWidth="1"/>
    <col min="15185" max="15185" width="10.25" style="3063" bestFit="1" customWidth="1"/>
    <col min="15186" max="15186" width="9.625" style="3063" customWidth="1"/>
    <col min="15187" max="15187" width="10.375" style="3063" customWidth="1"/>
    <col min="15188" max="15188" width="9.25" style="3063" customWidth="1"/>
    <col min="15189" max="15189" width="10" style="3063" customWidth="1"/>
    <col min="15190" max="15190" width="9.75" style="3063" customWidth="1"/>
    <col min="15191" max="15191" width="9.125" style="3063" customWidth="1"/>
    <col min="15192" max="15216" width="9.5" style="3063" customWidth="1"/>
    <col min="15217" max="15217" width="15.5" style="3063" bestFit="1" customWidth="1"/>
    <col min="15218" max="15218" width="13.25" style="3063" bestFit="1" customWidth="1"/>
    <col min="15219" max="15219" width="13.5" style="3063" customWidth="1"/>
    <col min="15220" max="15220" width="12.5" style="3063" bestFit="1" customWidth="1"/>
    <col min="15221" max="15221" width="10.625" style="3063" bestFit="1" customWidth="1"/>
    <col min="15222" max="15222" width="11.375" style="3063" bestFit="1" customWidth="1"/>
    <col min="15223" max="15223" width="11.75" style="3063" bestFit="1" customWidth="1"/>
    <col min="15224" max="15224" width="11.375" style="3063" bestFit="1" customWidth="1"/>
    <col min="15225" max="15225" width="9.375" style="3063" bestFit="1" customWidth="1"/>
    <col min="15226" max="15226" width="11.375" style="3063" bestFit="1" customWidth="1"/>
    <col min="15227" max="15227" width="10.25" style="3063" bestFit="1" customWidth="1"/>
    <col min="15228" max="15228" width="9.375" style="3063" bestFit="1" customWidth="1"/>
    <col min="15229" max="15229" width="11.375" style="3063" bestFit="1" customWidth="1"/>
    <col min="15230" max="15230" width="10.25" style="3063" bestFit="1" customWidth="1"/>
    <col min="15231" max="15231" width="10.125" style="3063" bestFit="1" customWidth="1"/>
    <col min="15232" max="15232" width="10.375" style="3063" bestFit="1" customWidth="1"/>
    <col min="15233" max="15233" width="8.375" style="3063" bestFit="1" customWidth="1"/>
    <col min="15234" max="15234" width="9.125" style="3063" bestFit="1" customWidth="1"/>
    <col min="15235" max="15235" width="10" style="3063" customWidth="1"/>
    <col min="15236" max="15236" width="8.375" style="3063" bestFit="1" customWidth="1"/>
    <col min="15237" max="15237" width="7.875" style="3063"/>
    <col min="15238" max="15238" width="9.25" style="3063" customWidth="1"/>
    <col min="15239" max="15239" width="8.375" style="3063" bestFit="1" customWidth="1"/>
    <col min="15240" max="15240" width="7.875" style="3063"/>
    <col min="15241" max="15241" width="8.625" style="3063" customWidth="1"/>
    <col min="15242" max="15242" width="10.125" style="3063" bestFit="1" customWidth="1"/>
    <col min="15243" max="15243" width="7.875" style="3063"/>
    <col min="15244" max="15244" width="10.125" style="3063" bestFit="1" customWidth="1"/>
    <col min="15245" max="15245" width="8.25" style="3063" bestFit="1" customWidth="1"/>
    <col min="15246" max="15246" width="7.875" style="3063"/>
    <col min="15247" max="15247" width="10.125" style="3063" bestFit="1" customWidth="1"/>
    <col min="15248" max="15248" width="8.25" style="3063" bestFit="1" customWidth="1"/>
    <col min="15249" max="15249" width="7.875" style="3063"/>
    <col min="15250" max="15250" width="10.125" style="3063" bestFit="1" customWidth="1"/>
    <col min="15251" max="15251" width="8.25" style="3063" bestFit="1" customWidth="1"/>
    <col min="15252" max="15252" width="7.875" style="3063"/>
    <col min="15253" max="15253" width="10.125" style="3063" bestFit="1" customWidth="1"/>
    <col min="15254" max="15255" width="8.25" style="3063" bestFit="1" customWidth="1"/>
    <col min="15256" max="15256" width="10.125" style="3063" bestFit="1" customWidth="1"/>
    <col min="15257" max="15257" width="8.25" style="3063" bestFit="1" customWidth="1"/>
    <col min="15258" max="15258" width="7.875" style="3063"/>
    <col min="15259" max="15259" width="10.125" style="3063" bestFit="1" customWidth="1"/>
    <col min="15260" max="15260" width="9.125" style="3063" bestFit="1" customWidth="1"/>
    <col min="15261" max="15261" width="7.875" style="3063"/>
    <col min="15262" max="15262" width="10.125" style="3063" bestFit="1" customWidth="1"/>
    <col min="15263" max="15263" width="9.125" style="3063" bestFit="1" customWidth="1"/>
    <col min="15264" max="15264" width="7.875" style="3063"/>
    <col min="15265" max="15265" width="10.125" style="3063" bestFit="1" customWidth="1"/>
    <col min="15266" max="15266" width="9.125" style="3063" bestFit="1" customWidth="1"/>
    <col min="15267" max="15267" width="7.875" style="3063"/>
    <col min="15268" max="15268" width="10.125" style="3063" bestFit="1" customWidth="1"/>
    <col min="15269" max="15269" width="9.125" style="3063" bestFit="1" customWidth="1"/>
    <col min="15270" max="15270" width="7.875" style="3063"/>
    <col min="15271" max="15271" width="10.125" style="3063" bestFit="1" customWidth="1"/>
    <col min="15272" max="15272" width="9.125" style="3063" bestFit="1" customWidth="1"/>
    <col min="15273" max="15273" width="7.875" style="3063"/>
    <col min="15274" max="15274" width="10.125" style="3063" bestFit="1" customWidth="1"/>
    <col min="15275" max="15276" width="8.25" style="3063" bestFit="1" customWidth="1"/>
    <col min="15277" max="15277" width="9.125" style="3063" bestFit="1" customWidth="1"/>
    <col min="15278" max="15278" width="8.25" style="3063" bestFit="1" customWidth="1"/>
    <col min="15279" max="15279" width="7.875" style="3063"/>
    <col min="15280" max="15280" width="9.125" style="3063" bestFit="1" customWidth="1"/>
    <col min="15281" max="15281" width="8.25" style="3063" bestFit="1" customWidth="1"/>
    <col min="15282" max="15282" width="7.875" style="3063"/>
    <col min="15283" max="15283" width="9.125" style="3063" bestFit="1" customWidth="1"/>
    <col min="15284" max="15284" width="8.25" style="3063" bestFit="1" customWidth="1"/>
    <col min="15285" max="15285" width="7.875" style="3063"/>
    <col min="15286" max="15287" width="8.25" style="3063" bestFit="1" customWidth="1"/>
    <col min="15288" max="15288" width="7.875" style="3063"/>
    <col min="15289" max="15290" width="8.25" style="3063" bestFit="1" customWidth="1"/>
    <col min="15291" max="15291" width="7.875" style="3063"/>
    <col min="15292" max="15292" width="9.875" style="3063" bestFit="1" customWidth="1"/>
    <col min="15293" max="15293" width="11.125" style="3063" bestFit="1" customWidth="1"/>
    <col min="15294" max="15294" width="9.125" style="3063" bestFit="1" customWidth="1"/>
    <col min="15295" max="15295" width="9.875" style="3063" bestFit="1" customWidth="1"/>
    <col min="15296" max="15296" width="11.125" style="3063" bestFit="1" customWidth="1"/>
    <col min="15297" max="15297" width="7.875" style="3063"/>
    <col min="15298" max="15298" width="9" style="3063" customWidth="1"/>
    <col min="15299" max="15299" width="8.625" style="3063" customWidth="1"/>
    <col min="15300" max="15360" width="7.875" style="3063"/>
    <col min="15361" max="15361" width="3.875" style="3063" customWidth="1"/>
    <col min="15362" max="15362" width="10.375" style="3063" customWidth="1"/>
    <col min="15363" max="15363" width="10.75" style="3063" customWidth="1"/>
    <col min="15364" max="15364" width="11.625" style="3063" customWidth="1"/>
    <col min="15365" max="15365" width="10" style="3063" customWidth="1"/>
    <col min="15366" max="15366" width="9.375" style="3063" customWidth="1"/>
    <col min="15367" max="15367" width="10.5" style="3063" customWidth="1"/>
    <col min="15368" max="15368" width="12.5" style="3063" customWidth="1"/>
    <col min="15369" max="15369" width="11.75" style="3063" customWidth="1"/>
    <col min="15370" max="15370" width="10.5" style="3063" customWidth="1"/>
    <col min="15371" max="15371" width="12.125" style="3063" customWidth="1"/>
    <col min="15372" max="15372" width="9.75" style="3063" customWidth="1"/>
    <col min="15373" max="15373" width="10" style="3063" customWidth="1"/>
    <col min="15374" max="15374" width="12.25" style="3063" customWidth="1"/>
    <col min="15375" max="15375" width="9.75" style="3063" customWidth="1"/>
    <col min="15376" max="15376" width="8.625" style="3063" customWidth="1"/>
    <col min="15377" max="15377" width="11.25" style="3063" customWidth="1"/>
    <col min="15378" max="15378" width="11.125" style="3063" customWidth="1"/>
    <col min="15379" max="15379" width="10.625" style="3063" customWidth="1"/>
    <col min="15380" max="15380" width="11.125" style="3063" customWidth="1"/>
    <col min="15381" max="15381" width="10.125" style="3063" customWidth="1"/>
    <col min="15382" max="15382" width="12.125" style="3063" customWidth="1"/>
    <col min="15383" max="15383" width="7.75" style="3063" customWidth="1"/>
    <col min="15384" max="15384" width="8.125" style="3063" customWidth="1"/>
    <col min="15385" max="15387" width="10.875" style="3063" bestFit="1" customWidth="1"/>
    <col min="15388" max="15390" width="11.5" style="3063" customWidth="1"/>
    <col min="15391" max="15391" width="11.75" style="3063" customWidth="1"/>
    <col min="15392" max="15392" width="7.75" style="3063" bestFit="1" customWidth="1"/>
    <col min="15393" max="15393" width="11.5" style="3063" bestFit="1" customWidth="1"/>
    <col min="15394" max="15394" width="7.75" style="3063" bestFit="1" customWidth="1"/>
    <col min="15395" max="15395" width="8.75" style="3063" customWidth="1"/>
    <col min="15396" max="15396" width="9.875" style="3063" bestFit="1" customWidth="1"/>
    <col min="15397" max="15397" width="8" style="3063" customWidth="1"/>
    <col min="15398" max="15401" width="7.75" style="3063" bestFit="1" customWidth="1"/>
    <col min="15402" max="15403" width="12.25" style="3063" customWidth="1"/>
    <col min="15404" max="15404" width="10.25" style="3063" customWidth="1"/>
    <col min="15405" max="15405" width="9.25" style="3063" customWidth="1"/>
    <col min="15406" max="15406" width="11" style="3063" customWidth="1"/>
    <col min="15407" max="15407" width="8.375" style="3063" customWidth="1"/>
    <col min="15408" max="15408" width="9.5" style="3063" customWidth="1"/>
    <col min="15409" max="15409" width="13.25" style="3063" customWidth="1"/>
    <col min="15410" max="15410" width="13" style="3063" customWidth="1"/>
    <col min="15411" max="15413" width="10.875" style="3063" customWidth="1"/>
    <col min="15414" max="15414" width="10.5" style="3063" customWidth="1"/>
    <col min="15415" max="15415" width="6.375" style="3063" customWidth="1"/>
    <col min="15416" max="15416" width="6.25" style="3063" customWidth="1"/>
    <col min="15417" max="15417" width="9.875" style="3063" customWidth="1"/>
    <col min="15418" max="15418" width="10.75" style="3063" customWidth="1"/>
    <col min="15419" max="15419" width="9.5" style="3063" customWidth="1"/>
    <col min="15420" max="15423" width="11" style="3063" customWidth="1"/>
    <col min="15424" max="15424" width="10.625" style="3063" customWidth="1"/>
    <col min="15425" max="15425" width="11.875" style="3063" bestFit="1" customWidth="1"/>
    <col min="15426" max="15426" width="9.75" style="3063" bestFit="1" customWidth="1"/>
    <col min="15427" max="15427" width="11.875" style="3063" bestFit="1" customWidth="1"/>
    <col min="15428" max="15428" width="9.75" style="3063" bestFit="1" customWidth="1"/>
    <col min="15429" max="15429" width="11.875" style="3063" bestFit="1" customWidth="1"/>
    <col min="15430" max="15430" width="9.75" style="3063" bestFit="1" customWidth="1"/>
    <col min="15431" max="15431" width="11.375" style="3063" bestFit="1" customWidth="1"/>
    <col min="15432" max="15432" width="9.75" style="3063" bestFit="1" customWidth="1"/>
    <col min="15433" max="15433" width="11.375" style="3063" bestFit="1" customWidth="1"/>
    <col min="15434" max="15434" width="9.75" style="3063" bestFit="1" customWidth="1"/>
    <col min="15435" max="15435" width="11.375" style="3063" bestFit="1" customWidth="1"/>
    <col min="15436" max="15436" width="9.75" style="3063" bestFit="1" customWidth="1"/>
    <col min="15437" max="15437" width="11.375" style="3063" bestFit="1" customWidth="1"/>
    <col min="15438" max="15438" width="9.75" style="3063" bestFit="1" customWidth="1"/>
    <col min="15439" max="15439" width="11.375" style="3063" bestFit="1" customWidth="1"/>
    <col min="15440" max="15440" width="9.75" style="3063" bestFit="1" customWidth="1"/>
    <col min="15441" max="15441" width="10.25" style="3063" bestFit="1" customWidth="1"/>
    <col min="15442" max="15442" width="9.625" style="3063" customWidth="1"/>
    <col min="15443" max="15443" width="10.375" style="3063" customWidth="1"/>
    <col min="15444" max="15444" width="9.25" style="3063" customWidth="1"/>
    <col min="15445" max="15445" width="10" style="3063" customWidth="1"/>
    <col min="15446" max="15446" width="9.75" style="3063" customWidth="1"/>
    <col min="15447" max="15447" width="9.125" style="3063" customWidth="1"/>
    <col min="15448" max="15472" width="9.5" style="3063" customWidth="1"/>
    <col min="15473" max="15473" width="15.5" style="3063" bestFit="1" customWidth="1"/>
    <col min="15474" max="15474" width="13.25" style="3063" bestFit="1" customWidth="1"/>
    <col min="15475" max="15475" width="13.5" style="3063" customWidth="1"/>
    <col min="15476" max="15476" width="12.5" style="3063" bestFit="1" customWidth="1"/>
    <col min="15477" max="15477" width="10.625" style="3063" bestFit="1" customWidth="1"/>
    <col min="15478" max="15478" width="11.375" style="3063" bestFit="1" customWidth="1"/>
    <col min="15479" max="15479" width="11.75" style="3063" bestFit="1" customWidth="1"/>
    <col min="15480" max="15480" width="11.375" style="3063" bestFit="1" customWidth="1"/>
    <col min="15481" max="15481" width="9.375" style="3063" bestFit="1" customWidth="1"/>
    <col min="15482" max="15482" width="11.375" style="3063" bestFit="1" customWidth="1"/>
    <col min="15483" max="15483" width="10.25" style="3063" bestFit="1" customWidth="1"/>
    <col min="15484" max="15484" width="9.375" style="3063" bestFit="1" customWidth="1"/>
    <col min="15485" max="15485" width="11.375" style="3063" bestFit="1" customWidth="1"/>
    <col min="15486" max="15486" width="10.25" style="3063" bestFit="1" customWidth="1"/>
    <col min="15487" max="15487" width="10.125" style="3063" bestFit="1" customWidth="1"/>
    <col min="15488" max="15488" width="10.375" style="3063" bestFit="1" customWidth="1"/>
    <col min="15489" max="15489" width="8.375" style="3063" bestFit="1" customWidth="1"/>
    <col min="15490" max="15490" width="9.125" style="3063" bestFit="1" customWidth="1"/>
    <col min="15491" max="15491" width="10" style="3063" customWidth="1"/>
    <col min="15492" max="15492" width="8.375" style="3063" bestFit="1" customWidth="1"/>
    <col min="15493" max="15493" width="7.875" style="3063"/>
    <col min="15494" max="15494" width="9.25" style="3063" customWidth="1"/>
    <col min="15495" max="15495" width="8.375" style="3063" bestFit="1" customWidth="1"/>
    <col min="15496" max="15496" width="7.875" style="3063"/>
    <col min="15497" max="15497" width="8.625" style="3063" customWidth="1"/>
    <col min="15498" max="15498" width="10.125" style="3063" bestFit="1" customWidth="1"/>
    <col min="15499" max="15499" width="7.875" style="3063"/>
    <col min="15500" max="15500" width="10.125" style="3063" bestFit="1" customWidth="1"/>
    <col min="15501" max="15501" width="8.25" style="3063" bestFit="1" customWidth="1"/>
    <col min="15502" max="15502" width="7.875" style="3063"/>
    <col min="15503" max="15503" width="10.125" style="3063" bestFit="1" customWidth="1"/>
    <col min="15504" max="15504" width="8.25" style="3063" bestFit="1" customWidth="1"/>
    <col min="15505" max="15505" width="7.875" style="3063"/>
    <col min="15506" max="15506" width="10.125" style="3063" bestFit="1" customWidth="1"/>
    <col min="15507" max="15507" width="8.25" style="3063" bestFit="1" customWidth="1"/>
    <col min="15508" max="15508" width="7.875" style="3063"/>
    <col min="15509" max="15509" width="10.125" style="3063" bestFit="1" customWidth="1"/>
    <col min="15510" max="15511" width="8.25" style="3063" bestFit="1" customWidth="1"/>
    <col min="15512" max="15512" width="10.125" style="3063" bestFit="1" customWidth="1"/>
    <col min="15513" max="15513" width="8.25" style="3063" bestFit="1" customWidth="1"/>
    <col min="15514" max="15514" width="7.875" style="3063"/>
    <col min="15515" max="15515" width="10.125" style="3063" bestFit="1" customWidth="1"/>
    <col min="15516" max="15516" width="9.125" style="3063" bestFit="1" customWidth="1"/>
    <col min="15517" max="15517" width="7.875" style="3063"/>
    <col min="15518" max="15518" width="10.125" style="3063" bestFit="1" customWidth="1"/>
    <col min="15519" max="15519" width="9.125" style="3063" bestFit="1" customWidth="1"/>
    <col min="15520" max="15520" width="7.875" style="3063"/>
    <col min="15521" max="15521" width="10.125" style="3063" bestFit="1" customWidth="1"/>
    <col min="15522" max="15522" width="9.125" style="3063" bestFit="1" customWidth="1"/>
    <col min="15523" max="15523" width="7.875" style="3063"/>
    <col min="15524" max="15524" width="10.125" style="3063" bestFit="1" customWidth="1"/>
    <col min="15525" max="15525" width="9.125" style="3063" bestFit="1" customWidth="1"/>
    <col min="15526" max="15526" width="7.875" style="3063"/>
    <col min="15527" max="15527" width="10.125" style="3063" bestFit="1" customWidth="1"/>
    <col min="15528" max="15528" width="9.125" style="3063" bestFit="1" customWidth="1"/>
    <col min="15529" max="15529" width="7.875" style="3063"/>
    <col min="15530" max="15530" width="10.125" style="3063" bestFit="1" customWidth="1"/>
    <col min="15531" max="15532" width="8.25" style="3063" bestFit="1" customWidth="1"/>
    <col min="15533" max="15533" width="9.125" style="3063" bestFit="1" customWidth="1"/>
    <col min="15534" max="15534" width="8.25" style="3063" bestFit="1" customWidth="1"/>
    <col min="15535" max="15535" width="7.875" style="3063"/>
    <col min="15536" max="15536" width="9.125" style="3063" bestFit="1" customWidth="1"/>
    <col min="15537" max="15537" width="8.25" style="3063" bestFit="1" customWidth="1"/>
    <col min="15538" max="15538" width="7.875" style="3063"/>
    <col min="15539" max="15539" width="9.125" style="3063" bestFit="1" customWidth="1"/>
    <col min="15540" max="15540" width="8.25" style="3063" bestFit="1" customWidth="1"/>
    <col min="15541" max="15541" width="7.875" style="3063"/>
    <col min="15542" max="15543" width="8.25" style="3063" bestFit="1" customWidth="1"/>
    <col min="15544" max="15544" width="7.875" style="3063"/>
    <col min="15545" max="15546" width="8.25" style="3063" bestFit="1" customWidth="1"/>
    <col min="15547" max="15547" width="7.875" style="3063"/>
    <col min="15548" max="15548" width="9.875" style="3063" bestFit="1" customWidth="1"/>
    <col min="15549" max="15549" width="11.125" style="3063" bestFit="1" customWidth="1"/>
    <col min="15550" max="15550" width="9.125" style="3063" bestFit="1" customWidth="1"/>
    <col min="15551" max="15551" width="9.875" style="3063" bestFit="1" customWidth="1"/>
    <col min="15552" max="15552" width="11.125" style="3063" bestFit="1" customWidth="1"/>
    <col min="15553" max="15553" width="7.875" style="3063"/>
    <col min="15554" max="15554" width="9" style="3063" customWidth="1"/>
    <col min="15555" max="15555" width="8.625" style="3063" customWidth="1"/>
    <col min="15556" max="15616" width="7.875" style="3063"/>
    <col min="15617" max="15617" width="3.875" style="3063" customWidth="1"/>
    <col min="15618" max="15618" width="10.375" style="3063" customWidth="1"/>
    <col min="15619" max="15619" width="10.75" style="3063" customWidth="1"/>
    <col min="15620" max="15620" width="11.625" style="3063" customWidth="1"/>
    <col min="15621" max="15621" width="10" style="3063" customWidth="1"/>
    <col min="15622" max="15622" width="9.375" style="3063" customWidth="1"/>
    <col min="15623" max="15623" width="10.5" style="3063" customWidth="1"/>
    <col min="15624" max="15624" width="12.5" style="3063" customWidth="1"/>
    <col min="15625" max="15625" width="11.75" style="3063" customWidth="1"/>
    <col min="15626" max="15626" width="10.5" style="3063" customWidth="1"/>
    <col min="15627" max="15627" width="12.125" style="3063" customWidth="1"/>
    <col min="15628" max="15628" width="9.75" style="3063" customWidth="1"/>
    <col min="15629" max="15629" width="10" style="3063" customWidth="1"/>
    <col min="15630" max="15630" width="12.25" style="3063" customWidth="1"/>
    <col min="15631" max="15631" width="9.75" style="3063" customWidth="1"/>
    <col min="15632" max="15632" width="8.625" style="3063" customWidth="1"/>
    <col min="15633" max="15633" width="11.25" style="3063" customWidth="1"/>
    <col min="15634" max="15634" width="11.125" style="3063" customWidth="1"/>
    <col min="15635" max="15635" width="10.625" style="3063" customWidth="1"/>
    <col min="15636" max="15636" width="11.125" style="3063" customWidth="1"/>
    <col min="15637" max="15637" width="10.125" style="3063" customWidth="1"/>
    <col min="15638" max="15638" width="12.125" style="3063" customWidth="1"/>
    <col min="15639" max="15639" width="7.75" style="3063" customWidth="1"/>
    <col min="15640" max="15640" width="8.125" style="3063" customWidth="1"/>
    <col min="15641" max="15643" width="10.875" style="3063" bestFit="1" customWidth="1"/>
    <col min="15644" max="15646" width="11.5" style="3063" customWidth="1"/>
    <col min="15647" max="15647" width="11.75" style="3063" customWidth="1"/>
    <col min="15648" max="15648" width="7.75" style="3063" bestFit="1" customWidth="1"/>
    <col min="15649" max="15649" width="11.5" style="3063" bestFit="1" customWidth="1"/>
    <col min="15650" max="15650" width="7.75" style="3063" bestFit="1" customWidth="1"/>
    <col min="15651" max="15651" width="8.75" style="3063" customWidth="1"/>
    <col min="15652" max="15652" width="9.875" style="3063" bestFit="1" customWidth="1"/>
    <col min="15653" max="15653" width="8" style="3063" customWidth="1"/>
    <col min="15654" max="15657" width="7.75" style="3063" bestFit="1" customWidth="1"/>
    <col min="15658" max="15659" width="12.25" style="3063" customWidth="1"/>
    <col min="15660" max="15660" width="10.25" style="3063" customWidth="1"/>
    <col min="15661" max="15661" width="9.25" style="3063" customWidth="1"/>
    <col min="15662" max="15662" width="11" style="3063" customWidth="1"/>
    <col min="15663" max="15663" width="8.375" style="3063" customWidth="1"/>
    <col min="15664" max="15664" width="9.5" style="3063" customWidth="1"/>
    <col min="15665" max="15665" width="13.25" style="3063" customWidth="1"/>
    <col min="15666" max="15666" width="13" style="3063" customWidth="1"/>
    <col min="15667" max="15669" width="10.875" style="3063" customWidth="1"/>
    <col min="15670" max="15670" width="10.5" style="3063" customWidth="1"/>
    <col min="15671" max="15671" width="6.375" style="3063" customWidth="1"/>
    <col min="15672" max="15672" width="6.25" style="3063" customWidth="1"/>
    <col min="15673" max="15673" width="9.875" style="3063" customWidth="1"/>
    <col min="15674" max="15674" width="10.75" style="3063" customWidth="1"/>
    <col min="15675" max="15675" width="9.5" style="3063" customWidth="1"/>
    <col min="15676" max="15679" width="11" style="3063" customWidth="1"/>
    <col min="15680" max="15680" width="10.625" style="3063" customWidth="1"/>
    <col min="15681" max="15681" width="11.875" style="3063" bestFit="1" customWidth="1"/>
    <col min="15682" max="15682" width="9.75" style="3063" bestFit="1" customWidth="1"/>
    <col min="15683" max="15683" width="11.875" style="3063" bestFit="1" customWidth="1"/>
    <col min="15684" max="15684" width="9.75" style="3063" bestFit="1" customWidth="1"/>
    <col min="15685" max="15685" width="11.875" style="3063" bestFit="1" customWidth="1"/>
    <col min="15686" max="15686" width="9.75" style="3063" bestFit="1" customWidth="1"/>
    <col min="15687" max="15687" width="11.375" style="3063" bestFit="1" customWidth="1"/>
    <col min="15688" max="15688" width="9.75" style="3063" bestFit="1" customWidth="1"/>
    <col min="15689" max="15689" width="11.375" style="3063" bestFit="1" customWidth="1"/>
    <col min="15690" max="15690" width="9.75" style="3063" bestFit="1" customWidth="1"/>
    <col min="15691" max="15691" width="11.375" style="3063" bestFit="1" customWidth="1"/>
    <col min="15692" max="15692" width="9.75" style="3063" bestFit="1" customWidth="1"/>
    <col min="15693" max="15693" width="11.375" style="3063" bestFit="1" customWidth="1"/>
    <col min="15694" max="15694" width="9.75" style="3063" bestFit="1" customWidth="1"/>
    <col min="15695" max="15695" width="11.375" style="3063" bestFit="1" customWidth="1"/>
    <col min="15696" max="15696" width="9.75" style="3063" bestFit="1" customWidth="1"/>
    <col min="15697" max="15697" width="10.25" style="3063" bestFit="1" customWidth="1"/>
    <col min="15698" max="15698" width="9.625" style="3063" customWidth="1"/>
    <col min="15699" max="15699" width="10.375" style="3063" customWidth="1"/>
    <col min="15700" max="15700" width="9.25" style="3063" customWidth="1"/>
    <col min="15701" max="15701" width="10" style="3063" customWidth="1"/>
    <col min="15702" max="15702" width="9.75" style="3063" customWidth="1"/>
    <col min="15703" max="15703" width="9.125" style="3063" customWidth="1"/>
    <col min="15704" max="15728" width="9.5" style="3063" customWidth="1"/>
    <col min="15729" max="15729" width="15.5" style="3063" bestFit="1" customWidth="1"/>
    <col min="15730" max="15730" width="13.25" style="3063" bestFit="1" customWidth="1"/>
    <col min="15731" max="15731" width="13.5" style="3063" customWidth="1"/>
    <col min="15732" max="15732" width="12.5" style="3063" bestFit="1" customWidth="1"/>
    <col min="15733" max="15733" width="10.625" style="3063" bestFit="1" customWidth="1"/>
    <col min="15734" max="15734" width="11.375" style="3063" bestFit="1" customWidth="1"/>
    <col min="15735" max="15735" width="11.75" style="3063" bestFit="1" customWidth="1"/>
    <col min="15736" max="15736" width="11.375" style="3063" bestFit="1" customWidth="1"/>
    <col min="15737" max="15737" width="9.375" style="3063" bestFit="1" customWidth="1"/>
    <col min="15738" max="15738" width="11.375" style="3063" bestFit="1" customWidth="1"/>
    <col min="15739" max="15739" width="10.25" style="3063" bestFit="1" customWidth="1"/>
    <col min="15740" max="15740" width="9.375" style="3063" bestFit="1" customWidth="1"/>
    <col min="15741" max="15741" width="11.375" style="3063" bestFit="1" customWidth="1"/>
    <col min="15742" max="15742" width="10.25" style="3063" bestFit="1" customWidth="1"/>
    <col min="15743" max="15743" width="10.125" style="3063" bestFit="1" customWidth="1"/>
    <col min="15744" max="15744" width="10.375" style="3063" bestFit="1" customWidth="1"/>
    <col min="15745" max="15745" width="8.375" style="3063" bestFit="1" customWidth="1"/>
    <col min="15746" max="15746" width="9.125" style="3063" bestFit="1" customWidth="1"/>
    <col min="15747" max="15747" width="10" style="3063" customWidth="1"/>
    <col min="15748" max="15748" width="8.375" style="3063" bestFit="1" customWidth="1"/>
    <col min="15749" max="15749" width="7.875" style="3063"/>
    <col min="15750" max="15750" width="9.25" style="3063" customWidth="1"/>
    <col min="15751" max="15751" width="8.375" style="3063" bestFit="1" customWidth="1"/>
    <col min="15752" max="15752" width="7.875" style="3063"/>
    <col min="15753" max="15753" width="8.625" style="3063" customWidth="1"/>
    <col min="15754" max="15754" width="10.125" style="3063" bestFit="1" customWidth="1"/>
    <col min="15755" max="15755" width="7.875" style="3063"/>
    <col min="15756" max="15756" width="10.125" style="3063" bestFit="1" customWidth="1"/>
    <col min="15757" max="15757" width="8.25" style="3063" bestFit="1" customWidth="1"/>
    <col min="15758" max="15758" width="7.875" style="3063"/>
    <col min="15759" max="15759" width="10.125" style="3063" bestFit="1" customWidth="1"/>
    <col min="15760" max="15760" width="8.25" style="3063" bestFit="1" customWidth="1"/>
    <col min="15761" max="15761" width="7.875" style="3063"/>
    <col min="15762" max="15762" width="10.125" style="3063" bestFit="1" customWidth="1"/>
    <col min="15763" max="15763" width="8.25" style="3063" bestFit="1" customWidth="1"/>
    <col min="15764" max="15764" width="7.875" style="3063"/>
    <col min="15765" max="15765" width="10.125" style="3063" bestFit="1" customWidth="1"/>
    <col min="15766" max="15767" width="8.25" style="3063" bestFit="1" customWidth="1"/>
    <col min="15768" max="15768" width="10.125" style="3063" bestFit="1" customWidth="1"/>
    <col min="15769" max="15769" width="8.25" style="3063" bestFit="1" customWidth="1"/>
    <col min="15770" max="15770" width="7.875" style="3063"/>
    <col min="15771" max="15771" width="10.125" style="3063" bestFit="1" customWidth="1"/>
    <col min="15772" max="15772" width="9.125" style="3063" bestFit="1" customWidth="1"/>
    <col min="15773" max="15773" width="7.875" style="3063"/>
    <col min="15774" max="15774" width="10.125" style="3063" bestFit="1" customWidth="1"/>
    <col min="15775" max="15775" width="9.125" style="3063" bestFit="1" customWidth="1"/>
    <col min="15776" max="15776" width="7.875" style="3063"/>
    <col min="15777" max="15777" width="10.125" style="3063" bestFit="1" customWidth="1"/>
    <col min="15778" max="15778" width="9.125" style="3063" bestFit="1" customWidth="1"/>
    <col min="15779" max="15779" width="7.875" style="3063"/>
    <col min="15780" max="15780" width="10.125" style="3063" bestFit="1" customWidth="1"/>
    <col min="15781" max="15781" width="9.125" style="3063" bestFit="1" customWidth="1"/>
    <col min="15782" max="15782" width="7.875" style="3063"/>
    <col min="15783" max="15783" width="10.125" style="3063" bestFit="1" customWidth="1"/>
    <col min="15784" max="15784" width="9.125" style="3063" bestFit="1" customWidth="1"/>
    <col min="15785" max="15785" width="7.875" style="3063"/>
    <col min="15786" max="15786" width="10.125" style="3063" bestFit="1" customWidth="1"/>
    <col min="15787" max="15788" width="8.25" style="3063" bestFit="1" customWidth="1"/>
    <col min="15789" max="15789" width="9.125" style="3063" bestFit="1" customWidth="1"/>
    <col min="15790" max="15790" width="8.25" style="3063" bestFit="1" customWidth="1"/>
    <col min="15791" max="15791" width="7.875" style="3063"/>
    <col min="15792" max="15792" width="9.125" style="3063" bestFit="1" customWidth="1"/>
    <col min="15793" max="15793" width="8.25" style="3063" bestFit="1" customWidth="1"/>
    <col min="15794" max="15794" width="7.875" style="3063"/>
    <col min="15795" max="15795" width="9.125" style="3063" bestFit="1" customWidth="1"/>
    <col min="15796" max="15796" width="8.25" style="3063" bestFit="1" customWidth="1"/>
    <col min="15797" max="15797" width="7.875" style="3063"/>
    <col min="15798" max="15799" width="8.25" style="3063" bestFit="1" customWidth="1"/>
    <col min="15800" max="15800" width="7.875" style="3063"/>
    <col min="15801" max="15802" width="8.25" style="3063" bestFit="1" customWidth="1"/>
    <col min="15803" max="15803" width="7.875" style="3063"/>
    <col min="15804" max="15804" width="9.875" style="3063" bestFit="1" customWidth="1"/>
    <col min="15805" max="15805" width="11.125" style="3063" bestFit="1" customWidth="1"/>
    <col min="15806" max="15806" width="9.125" style="3063" bestFit="1" customWidth="1"/>
    <col min="15807" max="15807" width="9.875" style="3063" bestFit="1" customWidth="1"/>
    <col min="15808" max="15808" width="11.125" style="3063" bestFit="1" customWidth="1"/>
    <col min="15809" max="15809" width="7.875" style="3063"/>
    <col min="15810" max="15810" width="9" style="3063" customWidth="1"/>
    <col min="15811" max="15811" width="8.625" style="3063" customWidth="1"/>
    <col min="15812" max="15872" width="7.875" style="3063"/>
    <col min="15873" max="15873" width="3.875" style="3063" customWidth="1"/>
    <col min="15874" max="15874" width="10.375" style="3063" customWidth="1"/>
    <col min="15875" max="15875" width="10.75" style="3063" customWidth="1"/>
    <col min="15876" max="15876" width="11.625" style="3063" customWidth="1"/>
    <col min="15877" max="15877" width="10" style="3063" customWidth="1"/>
    <col min="15878" max="15878" width="9.375" style="3063" customWidth="1"/>
    <col min="15879" max="15879" width="10.5" style="3063" customWidth="1"/>
    <col min="15880" max="15880" width="12.5" style="3063" customWidth="1"/>
    <col min="15881" max="15881" width="11.75" style="3063" customWidth="1"/>
    <col min="15882" max="15882" width="10.5" style="3063" customWidth="1"/>
    <col min="15883" max="15883" width="12.125" style="3063" customWidth="1"/>
    <col min="15884" max="15884" width="9.75" style="3063" customWidth="1"/>
    <col min="15885" max="15885" width="10" style="3063" customWidth="1"/>
    <col min="15886" max="15886" width="12.25" style="3063" customWidth="1"/>
    <col min="15887" max="15887" width="9.75" style="3063" customWidth="1"/>
    <col min="15888" max="15888" width="8.625" style="3063" customWidth="1"/>
    <col min="15889" max="15889" width="11.25" style="3063" customWidth="1"/>
    <col min="15890" max="15890" width="11.125" style="3063" customWidth="1"/>
    <col min="15891" max="15891" width="10.625" style="3063" customWidth="1"/>
    <col min="15892" max="15892" width="11.125" style="3063" customWidth="1"/>
    <col min="15893" max="15893" width="10.125" style="3063" customWidth="1"/>
    <col min="15894" max="15894" width="12.125" style="3063" customWidth="1"/>
    <col min="15895" max="15895" width="7.75" style="3063" customWidth="1"/>
    <col min="15896" max="15896" width="8.125" style="3063" customWidth="1"/>
    <col min="15897" max="15899" width="10.875" style="3063" bestFit="1" customWidth="1"/>
    <col min="15900" max="15902" width="11.5" style="3063" customWidth="1"/>
    <col min="15903" max="15903" width="11.75" style="3063" customWidth="1"/>
    <col min="15904" max="15904" width="7.75" style="3063" bestFit="1" customWidth="1"/>
    <col min="15905" max="15905" width="11.5" style="3063" bestFit="1" customWidth="1"/>
    <col min="15906" max="15906" width="7.75" style="3063" bestFit="1" customWidth="1"/>
    <col min="15907" max="15907" width="8.75" style="3063" customWidth="1"/>
    <col min="15908" max="15908" width="9.875" style="3063" bestFit="1" customWidth="1"/>
    <col min="15909" max="15909" width="8" style="3063" customWidth="1"/>
    <col min="15910" max="15913" width="7.75" style="3063" bestFit="1" customWidth="1"/>
    <col min="15914" max="15915" width="12.25" style="3063" customWidth="1"/>
    <col min="15916" max="15916" width="10.25" style="3063" customWidth="1"/>
    <col min="15917" max="15917" width="9.25" style="3063" customWidth="1"/>
    <col min="15918" max="15918" width="11" style="3063" customWidth="1"/>
    <col min="15919" max="15919" width="8.375" style="3063" customWidth="1"/>
    <col min="15920" max="15920" width="9.5" style="3063" customWidth="1"/>
    <col min="15921" max="15921" width="13.25" style="3063" customWidth="1"/>
    <col min="15922" max="15922" width="13" style="3063" customWidth="1"/>
    <col min="15923" max="15925" width="10.875" style="3063" customWidth="1"/>
    <col min="15926" max="15926" width="10.5" style="3063" customWidth="1"/>
    <col min="15927" max="15927" width="6.375" style="3063" customWidth="1"/>
    <col min="15928" max="15928" width="6.25" style="3063" customWidth="1"/>
    <col min="15929" max="15929" width="9.875" style="3063" customWidth="1"/>
    <col min="15930" max="15930" width="10.75" style="3063" customWidth="1"/>
    <col min="15931" max="15931" width="9.5" style="3063" customWidth="1"/>
    <col min="15932" max="15935" width="11" style="3063" customWidth="1"/>
    <col min="15936" max="15936" width="10.625" style="3063" customWidth="1"/>
    <col min="15937" max="15937" width="11.875" style="3063" bestFit="1" customWidth="1"/>
    <col min="15938" max="15938" width="9.75" style="3063" bestFit="1" customWidth="1"/>
    <col min="15939" max="15939" width="11.875" style="3063" bestFit="1" customWidth="1"/>
    <col min="15940" max="15940" width="9.75" style="3063" bestFit="1" customWidth="1"/>
    <col min="15941" max="15941" width="11.875" style="3063" bestFit="1" customWidth="1"/>
    <col min="15942" max="15942" width="9.75" style="3063" bestFit="1" customWidth="1"/>
    <col min="15943" max="15943" width="11.375" style="3063" bestFit="1" customWidth="1"/>
    <col min="15944" max="15944" width="9.75" style="3063" bestFit="1" customWidth="1"/>
    <col min="15945" max="15945" width="11.375" style="3063" bestFit="1" customWidth="1"/>
    <col min="15946" max="15946" width="9.75" style="3063" bestFit="1" customWidth="1"/>
    <col min="15947" max="15947" width="11.375" style="3063" bestFit="1" customWidth="1"/>
    <col min="15948" max="15948" width="9.75" style="3063" bestFit="1" customWidth="1"/>
    <col min="15949" max="15949" width="11.375" style="3063" bestFit="1" customWidth="1"/>
    <col min="15950" max="15950" width="9.75" style="3063" bestFit="1" customWidth="1"/>
    <col min="15951" max="15951" width="11.375" style="3063" bestFit="1" customWidth="1"/>
    <col min="15952" max="15952" width="9.75" style="3063" bestFit="1" customWidth="1"/>
    <col min="15953" max="15953" width="10.25" style="3063" bestFit="1" customWidth="1"/>
    <col min="15954" max="15954" width="9.625" style="3063" customWidth="1"/>
    <col min="15955" max="15955" width="10.375" style="3063" customWidth="1"/>
    <col min="15956" max="15956" width="9.25" style="3063" customWidth="1"/>
    <col min="15957" max="15957" width="10" style="3063" customWidth="1"/>
    <col min="15958" max="15958" width="9.75" style="3063" customWidth="1"/>
    <col min="15959" max="15959" width="9.125" style="3063" customWidth="1"/>
    <col min="15960" max="15984" width="9.5" style="3063" customWidth="1"/>
    <col min="15985" max="15985" width="15.5" style="3063" bestFit="1" customWidth="1"/>
    <col min="15986" max="15986" width="13.25" style="3063" bestFit="1" customWidth="1"/>
    <col min="15987" max="15987" width="13.5" style="3063" customWidth="1"/>
    <col min="15988" max="15988" width="12.5" style="3063" bestFit="1" customWidth="1"/>
    <col min="15989" max="15989" width="10.625" style="3063" bestFit="1" customWidth="1"/>
    <col min="15990" max="15990" width="11.375" style="3063" bestFit="1" customWidth="1"/>
    <col min="15991" max="15991" width="11.75" style="3063" bestFit="1" customWidth="1"/>
    <col min="15992" max="15992" width="11.375" style="3063" bestFit="1" customWidth="1"/>
    <col min="15993" max="15993" width="9.375" style="3063" bestFit="1" customWidth="1"/>
    <col min="15994" max="15994" width="11.375" style="3063" bestFit="1" customWidth="1"/>
    <col min="15995" max="15995" width="10.25" style="3063" bestFit="1" customWidth="1"/>
    <col min="15996" max="15996" width="9.375" style="3063" bestFit="1" customWidth="1"/>
    <col min="15997" max="15997" width="11.375" style="3063" bestFit="1" customWidth="1"/>
    <col min="15998" max="15998" width="10.25" style="3063" bestFit="1" customWidth="1"/>
    <col min="15999" max="15999" width="10.125" style="3063" bestFit="1" customWidth="1"/>
    <col min="16000" max="16000" width="10.375" style="3063" bestFit="1" customWidth="1"/>
    <col min="16001" max="16001" width="8.375" style="3063" bestFit="1" customWidth="1"/>
    <col min="16002" max="16002" width="9.125" style="3063" bestFit="1" customWidth="1"/>
    <col min="16003" max="16003" width="10" style="3063" customWidth="1"/>
    <col min="16004" max="16004" width="8.375" style="3063" bestFit="1" customWidth="1"/>
    <col min="16005" max="16005" width="7.875" style="3063"/>
    <col min="16006" max="16006" width="9.25" style="3063" customWidth="1"/>
    <col min="16007" max="16007" width="8.375" style="3063" bestFit="1" customWidth="1"/>
    <col min="16008" max="16008" width="7.875" style="3063"/>
    <col min="16009" max="16009" width="8.625" style="3063" customWidth="1"/>
    <col min="16010" max="16010" width="10.125" style="3063" bestFit="1" customWidth="1"/>
    <col min="16011" max="16011" width="7.875" style="3063"/>
    <col min="16012" max="16012" width="10.125" style="3063" bestFit="1" customWidth="1"/>
    <col min="16013" max="16013" width="8.25" style="3063" bestFit="1" customWidth="1"/>
    <col min="16014" max="16014" width="7.875" style="3063"/>
    <col min="16015" max="16015" width="10.125" style="3063" bestFit="1" customWidth="1"/>
    <col min="16016" max="16016" width="8.25" style="3063" bestFit="1" customWidth="1"/>
    <col min="16017" max="16017" width="7.875" style="3063"/>
    <col min="16018" max="16018" width="10.125" style="3063" bestFit="1" customWidth="1"/>
    <col min="16019" max="16019" width="8.25" style="3063" bestFit="1" customWidth="1"/>
    <col min="16020" max="16020" width="7.875" style="3063"/>
    <col min="16021" max="16021" width="10.125" style="3063" bestFit="1" customWidth="1"/>
    <col min="16022" max="16023" width="8.25" style="3063" bestFit="1" customWidth="1"/>
    <col min="16024" max="16024" width="10.125" style="3063" bestFit="1" customWidth="1"/>
    <col min="16025" max="16025" width="8.25" style="3063" bestFit="1" customWidth="1"/>
    <col min="16026" max="16026" width="7.875" style="3063"/>
    <col min="16027" max="16027" width="10.125" style="3063" bestFit="1" customWidth="1"/>
    <col min="16028" max="16028" width="9.125" style="3063" bestFit="1" customWidth="1"/>
    <col min="16029" max="16029" width="7.875" style="3063"/>
    <col min="16030" max="16030" width="10.125" style="3063" bestFit="1" customWidth="1"/>
    <col min="16031" max="16031" width="9.125" style="3063" bestFit="1" customWidth="1"/>
    <col min="16032" max="16032" width="7.875" style="3063"/>
    <col min="16033" max="16033" width="10.125" style="3063" bestFit="1" customWidth="1"/>
    <col min="16034" max="16034" width="9.125" style="3063" bestFit="1" customWidth="1"/>
    <col min="16035" max="16035" width="7.875" style="3063"/>
    <col min="16036" max="16036" width="10.125" style="3063" bestFit="1" customWidth="1"/>
    <col min="16037" max="16037" width="9.125" style="3063" bestFit="1" customWidth="1"/>
    <col min="16038" max="16038" width="7.875" style="3063"/>
    <col min="16039" max="16039" width="10.125" style="3063" bestFit="1" customWidth="1"/>
    <col min="16040" max="16040" width="9.125" style="3063" bestFit="1" customWidth="1"/>
    <col min="16041" max="16041" width="7.875" style="3063"/>
    <col min="16042" max="16042" width="10.125" style="3063" bestFit="1" customWidth="1"/>
    <col min="16043" max="16044" width="8.25" style="3063" bestFit="1" customWidth="1"/>
    <col min="16045" max="16045" width="9.125" style="3063" bestFit="1" customWidth="1"/>
    <col min="16046" max="16046" width="8.25" style="3063" bestFit="1" customWidth="1"/>
    <col min="16047" max="16047" width="7.875" style="3063"/>
    <col min="16048" max="16048" width="9.125" style="3063" bestFit="1" customWidth="1"/>
    <col min="16049" max="16049" width="8.25" style="3063" bestFit="1" customWidth="1"/>
    <col min="16050" max="16050" width="7.875" style="3063"/>
    <col min="16051" max="16051" width="9.125" style="3063" bestFit="1" customWidth="1"/>
    <col min="16052" max="16052" width="8.25" style="3063" bestFit="1" customWidth="1"/>
    <col min="16053" max="16053" width="7.875" style="3063"/>
    <col min="16054" max="16055" width="8.25" style="3063" bestFit="1" customWidth="1"/>
    <col min="16056" max="16056" width="7.875" style="3063"/>
    <col min="16057" max="16058" width="8.25" style="3063" bestFit="1" customWidth="1"/>
    <col min="16059" max="16059" width="7.875" style="3063"/>
    <col min="16060" max="16060" width="9.875" style="3063" bestFit="1" customWidth="1"/>
    <col min="16061" max="16061" width="11.125" style="3063" bestFit="1" customWidth="1"/>
    <col min="16062" max="16062" width="9.125" style="3063" bestFit="1" customWidth="1"/>
    <col min="16063" max="16063" width="9.875" style="3063" bestFit="1" customWidth="1"/>
    <col min="16064" max="16064" width="11.125" style="3063" bestFit="1" customWidth="1"/>
    <col min="16065" max="16065" width="7.875" style="3063"/>
    <col min="16066" max="16066" width="9" style="3063" customWidth="1"/>
    <col min="16067" max="16067" width="8.625" style="3063" customWidth="1"/>
    <col min="16068" max="16128" width="7.875" style="3063"/>
    <col min="16129" max="16129" width="3.875" style="3063" customWidth="1"/>
    <col min="16130" max="16130" width="10.375" style="3063" customWidth="1"/>
    <col min="16131" max="16131" width="10.75" style="3063" customWidth="1"/>
    <col min="16132" max="16132" width="11.625" style="3063" customWidth="1"/>
    <col min="16133" max="16133" width="10" style="3063" customWidth="1"/>
    <col min="16134" max="16134" width="9.375" style="3063" customWidth="1"/>
    <col min="16135" max="16135" width="10.5" style="3063" customWidth="1"/>
    <col min="16136" max="16136" width="12.5" style="3063" customWidth="1"/>
    <col min="16137" max="16137" width="11.75" style="3063" customWidth="1"/>
    <col min="16138" max="16138" width="10.5" style="3063" customWidth="1"/>
    <col min="16139" max="16139" width="12.125" style="3063" customWidth="1"/>
    <col min="16140" max="16140" width="9.75" style="3063" customWidth="1"/>
    <col min="16141" max="16141" width="10" style="3063" customWidth="1"/>
    <col min="16142" max="16142" width="12.25" style="3063" customWidth="1"/>
    <col min="16143" max="16143" width="9.75" style="3063" customWidth="1"/>
    <col min="16144" max="16144" width="8.625" style="3063" customWidth="1"/>
    <col min="16145" max="16145" width="11.25" style="3063" customWidth="1"/>
    <col min="16146" max="16146" width="11.125" style="3063" customWidth="1"/>
    <col min="16147" max="16147" width="10.625" style="3063" customWidth="1"/>
    <col min="16148" max="16148" width="11.125" style="3063" customWidth="1"/>
    <col min="16149" max="16149" width="10.125" style="3063" customWidth="1"/>
    <col min="16150" max="16150" width="12.125" style="3063" customWidth="1"/>
    <col min="16151" max="16151" width="7.75" style="3063" customWidth="1"/>
    <col min="16152" max="16152" width="8.125" style="3063" customWidth="1"/>
    <col min="16153" max="16155" width="10.875" style="3063" bestFit="1" customWidth="1"/>
    <col min="16156" max="16158" width="11.5" style="3063" customWidth="1"/>
    <col min="16159" max="16159" width="11.75" style="3063" customWidth="1"/>
    <col min="16160" max="16160" width="7.75" style="3063" bestFit="1" customWidth="1"/>
    <col min="16161" max="16161" width="11.5" style="3063" bestFit="1" customWidth="1"/>
    <col min="16162" max="16162" width="7.75" style="3063" bestFit="1" customWidth="1"/>
    <col min="16163" max="16163" width="8.75" style="3063" customWidth="1"/>
    <col min="16164" max="16164" width="9.875" style="3063" bestFit="1" customWidth="1"/>
    <col min="16165" max="16165" width="8" style="3063" customWidth="1"/>
    <col min="16166" max="16169" width="7.75" style="3063" bestFit="1" customWidth="1"/>
    <col min="16170" max="16171" width="12.25" style="3063" customWidth="1"/>
    <col min="16172" max="16172" width="10.25" style="3063" customWidth="1"/>
    <col min="16173" max="16173" width="9.25" style="3063" customWidth="1"/>
    <col min="16174" max="16174" width="11" style="3063" customWidth="1"/>
    <col min="16175" max="16175" width="8.375" style="3063" customWidth="1"/>
    <col min="16176" max="16176" width="9.5" style="3063" customWidth="1"/>
    <col min="16177" max="16177" width="13.25" style="3063" customWidth="1"/>
    <col min="16178" max="16178" width="13" style="3063" customWidth="1"/>
    <col min="16179" max="16181" width="10.875" style="3063" customWidth="1"/>
    <col min="16182" max="16182" width="10.5" style="3063" customWidth="1"/>
    <col min="16183" max="16183" width="6.375" style="3063" customWidth="1"/>
    <col min="16184" max="16184" width="6.25" style="3063" customWidth="1"/>
    <col min="16185" max="16185" width="9.875" style="3063" customWidth="1"/>
    <col min="16186" max="16186" width="10.75" style="3063" customWidth="1"/>
    <col min="16187" max="16187" width="9.5" style="3063" customWidth="1"/>
    <col min="16188" max="16191" width="11" style="3063" customWidth="1"/>
    <col min="16192" max="16192" width="10.625" style="3063" customWidth="1"/>
    <col min="16193" max="16193" width="11.875" style="3063" bestFit="1" customWidth="1"/>
    <col min="16194" max="16194" width="9.75" style="3063" bestFit="1" customWidth="1"/>
    <col min="16195" max="16195" width="11.875" style="3063" bestFit="1" customWidth="1"/>
    <col min="16196" max="16196" width="9.75" style="3063" bestFit="1" customWidth="1"/>
    <col min="16197" max="16197" width="11.875" style="3063" bestFit="1" customWidth="1"/>
    <col min="16198" max="16198" width="9.75" style="3063" bestFit="1" customWidth="1"/>
    <col min="16199" max="16199" width="11.375" style="3063" bestFit="1" customWidth="1"/>
    <col min="16200" max="16200" width="9.75" style="3063" bestFit="1" customWidth="1"/>
    <col min="16201" max="16201" width="11.375" style="3063" bestFit="1" customWidth="1"/>
    <col min="16202" max="16202" width="9.75" style="3063" bestFit="1" customWidth="1"/>
    <col min="16203" max="16203" width="11.375" style="3063" bestFit="1" customWidth="1"/>
    <col min="16204" max="16204" width="9.75" style="3063" bestFit="1" customWidth="1"/>
    <col min="16205" max="16205" width="11.375" style="3063" bestFit="1" customWidth="1"/>
    <col min="16206" max="16206" width="9.75" style="3063" bestFit="1" customWidth="1"/>
    <col min="16207" max="16207" width="11.375" style="3063" bestFit="1" customWidth="1"/>
    <col min="16208" max="16208" width="9.75" style="3063" bestFit="1" customWidth="1"/>
    <col min="16209" max="16209" width="10.25" style="3063" bestFit="1" customWidth="1"/>
    <col min="16210" max="16210" width="9.625" style="3063" customWidth="1"/>
    <col min="16211" max="16211" width="10.375" style="3063" customWidth="1"/>
    <col min="16212" max="16212" width="9.25" style="3063" customWidth="1"/>
    <col min="16213" max="16213" width="10" style="3063" customWidth="1"/>
    <col min="16214" max="16214" width="9.75" style="3063" customWidth="1"/>
    <col min="16215" max="16215" width="9.125" style="3063" customWidth="1"/>
    <col min="16216" max="16240" width="9.5" style="3063" customWidth="1"/>
    <col min="16241" max="16241" width="15.5" style="3063" bestFit="1" customWidth="1"/>
    <col min="16242" max="16242" width="13.25" style="3063" bestFit="1" customWidth="1"/>
    <col min="16243" max="16243" width="13.5" style="3063" customWidth="1"/>
    <col min="16244" max="16244" width="12.5" style="3063" bestFit="1" customWidth="1"/>
    <col min="16245" max="16245" width="10.625" style="3063" bestFit="1" customWidth="1"/>
    <col min="16246" max="16246" width="11.375" style="3063" bestFit="1" customWidth="1"/>
    <col min="16247" max="16247" width="11.75" style="3063" bestFit="1" customWidth="1"/>
    <col min="16248" max="16248" width="11.375" style="3063" bestFit="1" customWidth="1"/>
    <col min="16249" max="16249" width="9.375" style="3063" bestFit="1" customWidth="1"/>
    <col min="16250" max="16250" width="11.375" style="3063" bestFit="1" customWidth="1"/>
    <col min="16251" max="16251" width="10.25" style="3063" bestFit="1" customWidth="1"/>
    <col min="16252" max="16252" width="9.375" style="3063" bestFit="1" customWidth="1"/>
    <col min="16253" max="16253" width="11.375" style="3063" bestFit="1" customWidth="1"/>
    <col min="16254" max="16254" width="10.25" style="3063" bestFit="1" customWidth="1"/>
    <col min="16255" max="16255" width="10.125" style="3063" bestFit="1" customWidth="1"/>
    <col min="16256" max="16256" width="10.375" style="3063" bestFit="1" customWidth="1"/>
    <col min="16257" max="16257" width="8.375" style="3063" bestFit="1" customWidth="1"/>
    <col min="16258" max="16258" width="9.125" style="3063" bestFit="1" customWidth="1"/>
    <col min="16259" max="16259" width="10" style="3063" customWidth="1"/>
    <col min="16260" max="16260" width="8.375" style="3063" bestFit="1" customWidth="1"/>
    <col min="16261" max="16261" width="7.875" style="3063"/>
    <col min="16262" max="16262" width="9.25" style="3063" customWidth="1"/>
    <col min="16263" max="16263" width="8.375" style="3063" bestFit="1" customWidth="1"/>
    <col min="16264" max="16264" width="7.875" style="3063"/>
    <col min="16265" max="16265" width="8.625" style="3063" customWidth="1"/>
    <col min="16266" max="16266" width="10.125" style="3063" bestFit="1" customWidth="1"/>
    <col min="16267" max="16267" width="7.875" style="3063"/>
    <col min="16268" max="16268" width="10.125" style="3063" bestFit="1" customWidth="1"/>
    <col min="16269" max="16269" width="8.25" style="3063" bestFit="1" customWidth="1"/>
    <col min="16270" max="16270" width="7.875" style="3063"/>
    <col min="16271" max="16271" width="10.125" style="3063" bestFit="1" customWidth="1"/>
    <col min="16272" max="16272" width="8.25" style="3063" bestFit="1" customWidth="1"/>
    <col min="16273" max="16273" width="7.875" style="3063"/>
    <col min="16274" max="16274" width="10.125" style="3063" bestFit="1" customWidth="1"/>
    <col min="16275" max="16275" width="8.25" style="3063" bestFit="1" customWidth="1"/>
    <col min="16276" max="16276" width="7.875" style="3063"/>
    <col min="16277" max="16277" width="10.125" style="3063" bestFit="1" customWidth="1"/>
    <col min="16278" max="16279" width="8.25" style="3063" bestFit="1" customWidth="1"/>
    <col min="16280" max="16280" width="10.125" style="3063" bestFit="1" customWidth="1"/>
    <col min="16281" max="16281" width="8.25" style="3063" bestFit="1" customWidth="1"/>
    <col min="16282" max="16282" width="7.875" style="3063"/>
    <col min="16283" max="16283" width="10.125" style="3063" bestFit="1" customWidth="1"/>
    <col min="16284" max="16284" width="9.125" style="3063" bestFit="1" customWidth="1"/>
    <col min="16285" max="16285" width="7.875" style="3063"/>
    <col min="16286" max="16286" width="10.125" style="3063" bestFit="1" customWidth="1"/>
    <col min="16287" max="16287" width="9.125" style="3063" bestFit="1" customWidth="1"/>
    <col min="16288" max="16288" width="7.875" style="3063"/>
    <col min="16289" max="16289" width="10.125" style="3063" bestFit="1" customWidth="1"/>
    <col min="16290" max="16290" width="9.125" style="3063" bestFit="1" customWidth="1"/>
    <col min="16291" max="16291" width="7.875" style="3063"/>
    <col min="16292" max="16292" width="10.125" style="3063" bestFit="1" customWidth="1"/>
    <col min="16293" max="16293" width="9.125" style="3063" bestFit="1" customWidth="1"/>
    <col min="16294" max="16294" width="7.875" style="3063"/>
    <col min="16295" max="16295" width="10.125" style="3063" bestFit="1" customWidth="1"/>
    <col min="16296" max="16296" width="9.125" style="3063" bestFit="1" customWidth="1"/>
    <col min="16297" max="16297" width="7.875" style="3063"/>
    <col min="16298" max="16298" width="10.125" style="3063" bestFit="1" customWidth="1"/>
    <col min="16299" max="16300" width="8.25" style="3063" bestFit="1" customWidth="1"/>
    <col min="16301" max="16301" width="9.125" style="3063" bestFit="1" customWidth="1"/>
    <col min="16302" max="16302" width="8.25" style="3063" bestFit="1" customWidth="1"/>
    <col min="16303" max="16303" width="7.875" style="3063"/>
    <col min="16304" max="16304" width="9.125" style="3063" bestFit="1" customWidth="1"/>
    <col min="16305" max="16305" width="8.25" style="3063" bestFit="1" customWidth="1"/>
    <col min="16306" max="16306" width="7.875" style="3063"/>
    <col min="16307" max="16307" width="9.125" style="3063" bestFit="1" customWidth="1"/>
    <col min="16308" max="16308" width="8.25" style="3063" bestFit="1" customWidth="1"/>
    <col min="16309" max="16309" width="7.875" style="3063"/>
    <col min="16310" max="16311" width="8.25" style="3063" bestFit="1" customWidth="1"/>
    <col min="16312" max="16312" width="7.875" style="3063"/>
    <col min="16313" max="16314" width="8.25" style="3063" bestFit="1" customWidth="1"/>
    <col min="16315" max="16315" width="7.875" style="3063"/>
    <col min="16316" max="16316" width="9.875" style="3063" bestFit="1" customWidth="1"/>
    <col min="16317" max="16317" width="11.125" style="3063" bestFit="1" customWidth="1"/>
    <col min="16318" max="16318" width="9.125" style="3063" bestFit="1" customWidth="1"/>
    <col min="16319" max="16319" width="9.875" style="3063" bestFit="1" customWidth="1"/>
    <col min="16320" max="16320" width="11.125" style="3063" bestFit="1" customWidth="1"/>
    <col min="16321" max="16321" width="7.875" style="3063"/>
    <col min="16322" max="16322" width="9" style="3063" customWidth="1"/>
    <col min="16323" max="16323" width="8.625" style="3063" customWidth="1"/>
    <col min="16324" max="16384" width="7.875" style="3063"/>
  </cols>
  <sheetData>
    <row r="1" spans="1:157" s="3038" customFormat="1" ht="24.95" customHeight="1">
      <c r="A1" s="3054" t="s">
        <v>3502</v>
      </c>
      <c r="B1" s="3054"/>
      <c r="C1" s="3037"/>
      <c r="D1" s="3037"/>
      <c r="E1" s="3037"/>
      <c r="F1" s="3055" t="s">
        <v>3187</v>
      </c>
      <c r="G1" s="3056"/>
      <c r="H1" s="3056"/>
      <c r="I1" s="3056"/>
      <c r="J1" s="3056"/>
      <c r="K1" s="3056"/>
      <c r="L1" s="3054"/>
      <c r="M1" s="3054"/>
      <c r="N1" s="3054"/>
      <c r="O1" s="3057"/>
      <c r="P1" s="3058"/>
      <c r="Q1" s="3059"/>
      <c r="R1" s="3059"/>
      <c r="S1" s="3059"/>
      <c r="T1" s="3059"/>
      <c r="U1" s="3059"/>
      <c r="V1" s="3059"/>
      <c r="W1" s="3043"/>
      <c r="X1" s="3044"/>
      <c r="Y1" s="3043"/>
      <c r="Z1" s="3044"/>
      <c r="AA1" s="3106"/>
      <c r="AB1" s="3059"/>
      <c r="AC1" s="3059"/>
      <c r="AD1" s="3059"/>
      <c r="AE1" s="3138"/>
      <c r="AF1" s="3044"/>
      <c r="AG1" s="3044"/>
      <c r="AH1" s="3059"/>
      <c r="AI1" s="3059"/>
      <c r="AJ1" s="3059"/>
      <c r="AK1" s="3043"/>
      <c r="AL1" s="3043"/>
      <c r="AM1" s="3043"/>
      <c r="AN1" s="3043"/>
      <c r="AO1" s="3043"/>
      <c r="AP1" s="3043"/>
      <c r="AQ1" s="3043"/>
      <c r="AR1" s="3044"/>
      <c r="AS1" s="3044"/>
      <c r="AT1" s="3043"/>
      <c r="AU1" s="3059"/>
      <c r="AV1" s="3043"/>
      <c r="AW1" s="3043"/>
      <c r="AX1" s="3059"/>
      <c r="AY1" s="3046"/>
      <c r="AZ1" s="3046"/>
      <c r="BA1" s="3046"/>
      <c r="BB1" s="3060"/>
      <c r="BC1" s="3060"/>
      <c r="BD1" s="3059"/>
      <c r="BE1" s="3059"/>
      <c r="BF1" s="3059"/>
      <c r="BG1" s="3059"/>
      <c r="BH1" s="3059"/>
      <c r="BI1" s="3043"/>
      <c r="BJ1" s="3061"/>
      <c r="BK1" s="3061"/>
      <c r="BL1" s="3061"/>
      <c r="BM1" s="3059"/>
      <c r="BN1" s="3059"/>
      <c r="BO1" s="3059"/>
      <c r="BP1" s="3059"/>
      <c r="BQ1" s="3058"/>
      <c r="BR1" s="3058"/>
      <c r="BS1" s="3058"/>
      <c r="BT1" s="3058"/>
      <c r="BU1" s="3062"/>
      <c r="DU1" s="3063"/>
      <c r="DV1" s="3063"/>
      <c r="DW1" s="3063"/>
      <c r="DX1" s="3063"/>
      <c r="DY1" s="3063"/>
      <c r="DZ1" s="3063"/>
      <c r="EA1" s="3063"/>
      <c r="EB1" s="3063"/>
      <c r="EC1" s="3063"/>
      <c r="ED1" s="3063"/>
      <c r="EE1" s="3063"/>
      <c r="EF1" s="3063"/>
      <c r="EG1" s="3063"/>
      <c r="EH1" s="3063"/>
      <c r="EI1" s="3063"/>
      <c r="EJ1" s="3063"/>
      <c r="EK1" s="3063"/>
      <c r="EL1" s="3063"/>
      <c r="EM1" s="3063"/>
      <c r="EN1" s="3063"/>
      <c r="EO1" s="3063"/>
      <c r="EP1" s="3063"/>
      <c r="EQ1" s="3063"/>
      <c r="ER1" s="3063"/>
      <c r="ES1" s="3063"/>
      <c r="ET1" s="3063"/>
      <c r="EU1" s="3063"/>
      <c r="EV1" s="3063"/>
      <c r="EW1" s="3063"/>
      <c r="EX1" s="3063"/>
      <c r="EY1" s="3063"/>
      <c r="EZ1" s="3063"/>
      <c r="FA1" s="3063"/>
    </row>
    <row r="2" spans="1:157" s="3038" customFormat="1" ht="24.95" customHeight="1">
      <c r="A2" s="3064" t="s">
        <v>3503</v>
      </c>
      <c r="B2" s="3064"/>
      <c r="C2" s="3037"/>
      <c r="D2" s="3037"/>
      <c r="E2" s="3037"/>
      <c r="F2" s="3064"/>
      <c r="G2" s="3064"/>
      <c r="H2" s="3064"/>
      <c r="I2" s="3064"/>
      <c r="J2" s="3064"/>
      <c r="K2" s="3064"/>
      <c r="L2" s="3064"/>
      <c r="M2" s="3064"/>
      <c r="N2" s="3064"/>
      <c r="O2" s="3065"/>
      <c r="P2" s="3066"/>
      <c r="Q2" s="3067"/>
      <c r="R2" s="3067"/>
      <c r="S2" s="3067"/>
      <c r="T2" s="3067"/>
      <c r="U2" s="3067"/>
      <c r="V2" s="3067"/>
      <c r="W2" s="3043"/>
      <c r="X2" s="3044"/>
      <c r="Y2" s="3043"/>
      <c r="Z2" s="3044"/>
      <c r="AA2" s="3106"/>
      <c r="AB2" s="3067"/>
      <c r="AC2" s="3067"/>
      <c r="AD2" s="3067"/>
      <c r="AE2" s="3138"/>
      <c r="AF2" s="3044"/>
      <c r="AG2" s="3044"/>
      <c r="AH2" s="3067"/>
      <c r="AI2" s="3067"/>
      <c r="AJ2" s="3067"/>
      <c r="AK2" s="3043"/>
      <c r="AL2" s="3043"/>
      <c r="AM2" s="3043"/>
      <c r="AN2" s="3043"/>
      <c r="AO2" s="3043"/>
      <c r="AP2" s="3043"/>
      <c r="AQ2" s="3043"/>
      <c r="AR2" s="3044"/>
      <c r="AS2" s="3044"/>
      <c r="AT2" s="3043"/>
      <c r="AU2" s="3067"/>
      <c r="AV2" s="3043"/>
      <c r="AW2" s="3043"/>
      <c r="AX2" s="3067"/>
      <c r="AY2" s="3068"/>
      <c r="AZ2" s="3068"/>
      <c r="BA2" s="3068"/>
      <c r="BB2" s="3069"/>
      <c r="BC2" s="3069"/>
      <c r="BD2" s="3067"/>
      <c r="BE2" s="3067"/>
      <c r="BF2" s="3067"/>
      <c r="BG2" s="3067"/>
      <c r="BH2" s="3067"/>
      <c r="BI2" s="3043"/>
      <c r="BJ2" s="3070"/>
      <c r="BK2" s="3070"/>
      <c r="BL2" s="3070"/>
      <c r="BM2" s="3067"/>
      <c r="BN2" s="3067"/>
      <c r="BO2" s="3067"/>
      <c r="BP2" s="3067"/>
      <c r="BQ2" s="3066"/>
      <c r="BR2" s="3066"/>
      <c r="BS2" s="3066"/>
      <c r="BT2" s="3066"/>
      <c r="BU2" s="3046"/>
      <c r="DU2" s="3063"/>
      <c r="DV2" s="3063"/>
      <c r="DW2" s="3063"/>
      <c r="DX2" s="3063"/>
      <c r="DY2" s="3063"/>
      <c r="DZ2" s="3063"/>
      <c r="EA2" s="3063"/>
      <c r="EB2" s="3063"/>
      <c r="EC2" s="3063"/>
      <c r="ED2" s="3063"/>
      <c r="EE2" s="3063"/>
      <c r="EF2" s="3063"/>
      <c r="EG2" s="3063"/>
      <c r="EH2" s="3063"/>
      <c r="EI2" s="3063"/>
      <c r="EJ2" s="3063"/>
      <c r="EK2" s="3063"/>
      <c r="EL2" s="3063"/>
      <c r="EM2" s="3063"/>
      <c r="EN2" s="3063"/>
      <c r="EO2" s="3063"/>
      <c r="EP2" s="3063"/>
      <c r="EQ2" s="3063"/>
      <c r="ER2" s="3063"/>
      <c r="ES2" s="3063"/>
      <c r="ET2" s="3063"/>
      <c r="EU2" s="3063"/>
      <c r="EV2" s="3063"/>
      <c r="EW2" s="3063"/>
      <c r="EX2" s="3063"/>
      <c r="EY2" s="3063"/>
      <c r="EZ2" s="3063"/>
      <c r="FA2" s="3063"/>
    </row>
    <row r="3" spans="1:157" s="2991" customFormat="1" ht="15.75" customHeight="1">
      <c r="A3" s="3659" t="s">
        <v>3504</v>
      </c>
      <c r="B3" s="3662" t="s">
        <v>3190</v>
      </c>
      <c r="C3" s="3662" t="s">
        <v>3505</v>
      </c>
      <c r="D3" s="3662" t="s">
        <v>3506</v>
      </c>
      <c r="E3" s="3662" t="s">
        <v>3507</v>
      </c>
      <c r="F3" s="3662" t="s">
        <v>3194</v>
      </c>
      <c r="G3" s="3662" t="s">
        <v>3195</v>
      </c>
      <c r="H3" s="3663" t="s">
        <v>3196</v>
      </c>
      <c r="I3" s="3662" t="s">
        <v>3508</v>
      </c>
      <c r="J3" s="3662" t="s">
        <v>3509</v>
      </c>
      <c r="K3" s="3662" t="s">
        <v>3510</v>
      </c>
      <c r="L3" s="3662" t="s">
        <v>3511</v>
      </c>
      <c r="M3" s="3662" t="s">
        <v>3512</v>
      </c>
      <c r="N3" s="3662" t="s">
        <v>3513</v>
      </c>
      <c r="O3" s="3662" t="s">
        <v>3514</v>
      </c>
      <c r="P3" s="3663" t="s">
        <v>3515</v>
      </c>
      <c r="Q3" s="3662" t="s">
        <v>3205</v>
      </c>
      <c r="R3" s="3662"/>
      <c r="S3" s="3662"/>
      <c r="T3" s="3663" t="s">
        <v>3516</v>
      </c>
      <c r="U3" s="3666" t="s">
        <v>3207</v>
      </c>
      <c r="V3" s="3666"/>
      <c r="W3" s="3666"/>
      <c r="X3" s="3666"/>
      <c r="Y3" s="3666" t="s">
        <v>3517</v>
      </c>
      <c r="Z3" s="3666" t="s">
        <v>3209</v>
      </c>
      <c r="AA3" s="3666"/>
      <c r="AB3" s="3666"/>
      <c r="AC3" s="3666"/>
      <c r="AD3" s="3666"/>
      <c r="AE3" s="3666"/>
      <c r="AF3" s="3666"/>
      <c r="AG3" s="3666"/>
      <c r="AH3" s="3666"/>
      <c r="AI3" s="3666"/>
      <c r="AJ3" s="3666"/>
      <c r="AK3" s="3666"/>
      <c r="AL3" s="3666"/>
      <c r="AM3" s="3666"/>
      <c r="AN3" s="3666"/>
      <c r="AO3" s="3666"/>
      <c r="AP3" s="3667" t="s">
        <v>3210</v>
      </c>
      <c r="AQ3" s="3668"/>
      <c r="AR3" s="3669"/>
      <c r="AS3" s="3666" t="s">
        <v>3211</v>
      </c>
      <c r="AT3" s="3666"/>
      <c r="AU3" s="3666"/>
      <c r="AV3" s="3666"/>
      <c r="AW3" s="3666"/>
      <c r="AX3" s="3666"/>
      <c r="AY3" s="3666"/>
      <c r="AZ3" s="3662" t="s">
        <v>3212</v>
      </c>
      <c r="BA3" s="3666" t="s">
        <v>3213</v>
      </c>
      <c r="BB3" s="3666"/>
      <c r="BC3" s="3666"/>
      <c r="BD3" s="3666"/>
      <c r="BE3" s="3666"/>
      <c r="BF3" s="3666"/>
      <c r="BG3" s="3666" t="s">
        <v>3214</v>
      </c>
      <c r="BH3" s="3666"/>
      <c r="BI3" s="3666"/>
      <c r="BJ3" s="3662" t="s">
        <v>3518</v>
      </c>
      <c r="BK3" s="3662" t="s">
        <v>3216</v>
      </c>
      <c r="BL3" s="3662" t="s">
        <v>3519</v>
      </c>
      <c r="BM3" s="3672">
        <v>42736</v>
      </c>
      <c r="BN3" s="3672"/>
      <c r="BO3" s="3672">
        <v>42767</v>
      </c>
      <c r="BP3" s="3672"/>
      <c r="BQ3" s="3672">
        <v>42795</v>
      </c>
      <c r="BR3" s="3672"/>
      <c r="BS3" s="3672">
        <v>42826</v>
      </c>
      <c r="BT3" s="3672"/>
      <c r="BU3" s="3672">
        <v>42856</v>
      </c>
      <c r="BV3" s="3672"/>
      <c r="BW3" s="3672">
        <v>42887</v>
      </c>
      <c r="BX3" s="3672"/>
      <c r="BY3" s="3672">
        <v>42917</v>
      </c>
      <c r="BZ3" s="3672"/>
      <c r="CA3" s="3672">
        <v>42948</v>
      </c>
      <c r="CB3" s="3672"/>
      <c r="CC3" s="3672">
        <v>42979</v>
      </c>
      <c r="CD3" s="3672"/>
      <c r="CE3" s="3672">
        <v>43009</v>
      </c>
      <c r="CF3" s="3672"/>
      <c r="CG3" s="3672">
        <v>43040</v>
      </c>
      <c r="CH3" s="3672"/>
      <c r="CI3" s="3672">
        <v>43070</v>
      </c>
      <c r="CJ3" s="3672"/>
      <c r="CK3" s="3677">
        <v>43101</v>
      </c>
      <c r="CL3" s="3678"/>
      <c r="CM3" s="3677">
        <v>43132</v>
      </c>
      <c r="CN3" s="3678"/>
      <c r="CO3" s="3677">
        <v>43160</v>
      </c>
      <c r="CP3" s="3678"/>
      <c r="CQ3" s="3677">
        <v>43191</v>
      </c>
      <c r="CR3" s="3678"/>
      <c r="CS3" s="3677">
        <v>43221</v>
      </c>
      <c r="CT3" s="3678"/>
      <c r="CU3" s="3677">
        <v>43252</v>
      </c>
      <c r="CV3" s="3678"/>
      <c r="CW3" s="3677">
        <v>43282</v>
      </c>
      <c r="CX3" s="3678"/>
      <c r="CY3" s="3677">
        <v>43313</v>
      </c>
      <c r="CZ3" s="3678"/>
      <c r="DA3" s="3677">
        <v>43344</v>
      </c>
      <c r="DB3" s="3678"/>
      <c r="DC3" s="3677">
        <v>43374</v>
      </c>
      <c r="DD3" s="3678"/>
      <c r="DE3" s="3677">
        <v>43405</v>
      </c>
      <c r="DF3" s="3678"/>
      <c r="DG3" s="3677">
        <v>43435</v>
      </c>
      <c r="DH3" s="3678"/>
      <c r="DI3" s="3666" t="s">
        <v>3520</v>
      </c>
      <c r="DJ3" s="3666"/>
    </row>
    <row r="4" spans="1:157" s="2991" customFormat="1" ht="15.75" customHeight="1">
      <c r="A4" s="3660"/>
      <c r="B4" s="3662"/>
      <c r="C4" s="3662"/>
      <c r="D4" s="3662"/>
      <c r="E4" s="3662"/>
      <c r="F4" s="3662"/>
      <c r="G4" s="3662"/>
      <c r="H4" s="3664"/>
      <c r="I4" s="3662"/>
      <c r="J4" s="3662"/>
      <c r="K4" s="3662"/>
      <c r="L4" s="3662"/>
      <c r="M4" s="3662"/>
      <c r="N4" s="3662"/>
      <c r="O4" s="3662"/>
      <c r="P4" s="3664"/>
      <c r="Q4" s="3673" t="s">
        <v>3219</v>
      </c>
      <c r="R4" s="3663" t="s">
        <v>3220</v>
      </c>
      <c r="S4" s="3663" t="s">
        <v>3221</v>
      </c>
      <c r="T4" s="3664"/>
      <c r="U4" s="3659" t="s">
        <v>3222</v>
      </c>
      <c r="V4" s="3659" t="s">
        <v>3223</v>
      </c>
      <c r="W4" s="3659" t="s">
        <v>3224</v>
      </c>
      <c r="X4" s="3659" t="s">
        <v>3225</v>
      </c>
      <c r="Y4" s="3666"/>
      <c r="Z4" s="3659" t="s">
        <v>3222</v>
      </c>
      <c r="AA4" s="3675" t="s">
        <v>3223</v>
      </c>
      <c r="AB4" s="3659" t="s">
        <v>3226</v>
      </c>
      <c r="AC4" s="3662" t="s">
        <v>3227</v>
      </c>
      <c r="AD4" s="3662" t="s">
        <v>3228</v>
      </c>
      <c r="AE4" s="3670" t="s">
        <v>3890</v>
      </c>
      <c r="AF4" s="3671" t="s">
        <v>3229</v>
      </c>
      <c r="AG4" s="3671"/>
      <c r="AH4" s="3671" t="s">
        <v>3230</v>
      </c>
      <c r="AI4" s="3671"/>
      <c r="AJ4" s="3671" t="s">
        <v>3231</v>
      </c>
      <c r="AK4" s="3671"/>
      <c r="AL4" s="3671" t="s">
        <v>3232</v>
      </c>
      <c r="AM4" s="3671"/>
      <c r="AN4" s="3671" t="s">
        <v>3233</v>
      </c>
      <c r="AO4" s="3671"/>
      <c r="AP4" s="3662" t="s">
        <v>3234</v>
      </c>
      <c r="AQ4" s="3662" t="s">
        <v>3235</v>
      </c>
      <c r="AR4" s="3663" t="s">
        <v>3236</v>
      </c>
      <c r="AS4" s="3660" t="s">
        <v>3237</v>
      </c>
      <c r="AT4" s="3664" t="s">
        <v>3521</v>
      </c>
      <c r="AU4" s="3664" t="s">
        <v>3239</v>
      </c>
      <c r="AV4" s="3664" t="s">
        <v>3240</v>
      </c>
      <c r="AW4" s="3664" t="s">
        <v>3241</v>
      </c>
      <c r="AX4" s="3664" t="s">
        <v>3242</v>
      </c>
      <c r="AY4" s="3664" t="s">
        <v>3236</v>
      </c>
      <c r="AZ4" s="3662"/>
      <c r="BA4" s="3659" t="s">
        <v>3222</v>
      </c>
      <c r="BB4" s="3659" t="s">
        <v>3223</v>
      </c>
      <c r="BC4" s="3659" t="s">
        <v>3224</v>
      </c>
      <c r="BD4" s="3659" t="s">
        <v>3225</v>
      </c>
      <c r="BE4" s="3663" t="s">
        <v>3243</v>
      </c>
      <c r="BF4" s="3663" t="s">
        <v>3244</v>
      </c>
      <c r="BG4" s="3663" t="s">
        <v>3245</v>
      </c>
      <c r="BH4" s="3663" t="s">
        <v>3246</v>
      </c>
      <c r="BI4" s="3663" t="s">
        <v>3247</v>
      </c>
      <c r="BJ4" s="3662"/>
      <c r="BK4" s="3662"/>
      <c r="BL4" s="3662"/>
      <c r="BM4" s="3659" t="s">
        <v>3522</v>
      </c>
      <c r="BN4" s="3659" t="s">
        <v>3523</v>
      </c>
      <c r="BO4" s="3659" t="s">
        <v>3522</v>
      </c>
      <c r="BP4" s="3659" t="s">
        <v>3523</v>
      </c>
      <c r="BQ4" s="3659" t="s">
        <v>3522</v>
      </c>
      <c r="BR4" s="3659" t="s">
        <v>3523</v>
      </c>
      <c r="BS4" s="3659" t="s">
        <v>3522</v>
      </c>
      <c r="BT4" s="3659" t="s">
        <v>3523</v>
      </c>
      <c r="BU4" s="3659" t="s">
        <v>3522</v>
      </c>
      <c r="BV4" s="3659" t="s">
        <v>3523</v>
      </c>
      <c r="BW4" s="3659" t="s">
        <v>3522</v>
      </c>
      <c r="BX4" s="3659" t="s">
        <v>3523</v>
      </c>
      <c r="BY4" s="3659" t="s">
        <v>3522</v>
      </c>
      <c r="BZ4" s="3659" t="s">
        <v>3523</v>
      </c>
      <c r="CA4" s="3659" t="s">
        <v>3522</v>
      </c>
      <c r="CB4" s="3659" t="s">
        <v>3523</v>
      </c>
      <c r="CC4" s="3659" t="s">
        <v>3522</v>
      </c>
      <c r="CD4" s="3659" t="s">
        <v>3523</v>
      </c>
      <c r="CE4" s="3659" t="s">
        <v>3522</v>
      </c>
      <c r="CF4" s="3659" t="s">
        <v>3523</v>
      </c>
      <c r="CG4" s="3659" t="s">
        <v>3522</v>
      </c>
      <c r="CH4" s="3659" t="s">
        <v>3523</v>
      </c>
      <c r="CI4" s="3659" t="s">
        <v>3522</v>
      </c>
      <c r="CJ4" s="3659" t="s">
        <v>3523</v>
      </c>
      <c r="CK4" s="3659" t="s">
        <v>3522</v>
      </c>
      <c r="CL4" s="3659" t="s">
        <v>3523</v>
      </c>
      <c r="CM4" s="3659" t="s">
        <v>3522</v>
      </c>
      <c r="CN4" s="3659" t="s">
        <v>3523</v>
      </c>
      <c r="CO4" s="3659" t="s">
        <v>3522</v>
      </c>
      <c r="CP4" s="3659" t="s">
        <v>3523</v>
      </c>
      <c r="CQ4" s="3659" t="s">
        <v>3522</v>
      </c>
      <c r="CR4" s="3659" t="s">
        <v>3523</v>
      </c>
      <c r="CS4" s="3659" t="s">
        <v>3522</v>
      </c>
      <c r="CT4" s="3659" t="s">
        <v>3523</v>
      </c>
      <c r="CU4" s="3659" t="s">
        <v>3522</v>
      </c>
      <c r="CV4" s="3659" t="s">
        <v>3523</v>
      </c>
      <c r="CW4" s="3659" t="s">
        <v>3522</v>
      </c>
      <c r="CX4" s="3659" t="s">
        <v>3523</v>
      </c>
      <c r="CY4" s="3659" t="s">
        <v>3522</v>
      </c>
      <c r="CZ4" s="3659" t="s">
        <v>3523</v>
      </c>
      <c r="DA4" s="3659" t="s">
        <v>3522</v>
      </c>
      <c r="DB4" s="3659" t="s">
        <v>3523</v>
      </c>
      <c r="DC4" s="3659" t="s">
        <v>3522</v>
      </c>
      <c r="DD4" s="3659" t="s">
        <v>3523</v>
      </c>
      <c r="DE4" s="3659" t="s">
        <v>3522</v>
      </c>
      <c r="DF4" s="3659" t="s">
        <v>3523</v>
      </c>
      <c r="DG4" s="3659" t="s">
        <v>3522</v>
      </c>
      <c r="DH4" s="3659" t="s">
        <v>3523</v>
      </c>
      <c r="DI4" s="3659" t="s">
        <v>3522</v>
      </c>
      <c r="DJ4" s="3659" t="s">
        <v>3523</v>
      </c>
    </row>
    <row r="5" spans="1:157" s="2991" customFormat="1">
      <c r="A5" s="3661"/>
      <c r="B5" s="3662"/>
      <c r="C5" s="3662"/>
      <c r="D5" s="3662"/>
      <c r="E5" s="3662"/>
      <c r="F5" s="3662"/>
      <c r="G5" s="3662"/>
      <c r="H5" s="3665"/>
      <c r="I5" s="3662"/>
      <c r="J5" s="3662"/>
      <c r="K5" s="3662"/>
      <c r="L5" s="3662"/>
      <c r="M5" s="3662"/>
      <c r="N5" s="3662"/>
      <c r="O5" s="3662"/>
      <c r="P5" s="3665"/>
      <c r="Q5" s="3674"/>
      <c r="R5" s="3665"/>
      <c r="S5" s="3665"/>
      <c r="T5" s="3665"/>
      <c r="U5" s="3661"/>
      <c r="V5" s="3661"/>
      <c r="W5" s="3661"/>
      <c r="X5" s="3661"/>
      <c r="Y5" s="3666"/>
      <c r="Z5" s="3661"/>
      <c r="AA5" s="3676"/>
      <c r="AB5" s="3661"/>
      <c r="AC5" s="3662"/>
      <c r="AD5" s="3662"/>
      <c r="AE5" s="3670"/>
      <c r="AF5" s="2992" t="s">
        <v>3250</v>
      </c>
      <c r="AG5" s="2992" t="s">
        <v>3224</v>
      </c>
      <c r="AH5" s="2992" t="s">
        <v>3250</v>
      </c>
      <c r="AI5" s="2992" t="s">
        <v>3224</v>
      </c>
      <c r="AJ5" s="2992" t="s">
        <v>3250</v>
      </c>
      <c r="AK5" s="2992" t="s">
        <v>3224</v>
      </c>
      <c r="AL5" s="2992" t="s">
        <v>3250</v>
      </c>
      <c r="AM5" s="2992" t="s">
        <v>3224</v>
      </c>
      <c r="AN5" s="2992" t="s">
        <v>3250</v>
      </c>
      <c r="AO5" s="2992" t="s">
        <v>3224</v>
      </c>
      <c r="AP5" s="3662"/>
      <c r="AQ5" s="3662"/>
      <c r="AR5" s="3665"/>
      <c r="AS5" s="3661"/>
      <c r="AT5" s="3665"/>
      <c r="AU5" s="3665"/>
      <c r="AV5" s="3665"/>
      <c r="AW5" s="3665"/>
      <c r="AX5" s="3665"/>
      <c r="AY5" s="3665"/>
      <c r="AZ5" s="3662"/>
      <c r="BA5" s="3661"/>
      <c r="BB5" s="3661"/>
      <c r="BC5" s="3661"/>
      <c r="BD5" s="3661"/>
      <c r="BE5" s="3665"/>
      <c r="BF5" s="3665"/>
      <c r="BG5" s="3665"/>
      <c r="BH5" s="3665"/>
      <c r="BI5" s="3665"/>
      <c r="BJ5" s="3662"/>
      <c r="BK5" s="3662"/>
      <c r="BL5" s="3662"/>
      <c r="BM5" s="3661"/>
      <c r="BN5" s="3661"/>
      <c r="BO5" s="3661"/>
      <c r="BP5" s="3661"/>
      <c r="BQ5" s="3661"/>
      <c r="BR5" s="3661"/>
      <c r="BS5" s="3661"/>
      <c r="BT5" s="3661"/>
      <c r="BU5" s="3661"/>
      <c r="BV5" s="3661"/>
      <c r="BW5" s="3661"/>
      <c r="BX5" s="3661"/>
      <c r="BY5" s="3661"/>
      <c r="BZ5" s="3661"/>
      <c r="CA5" s="3661"/>
      <c r="CB5" s="3661"/>
      <c r="CC5" s="3661"/>
      <c r="CD5" s="3661"/>
      <c r="CE5" s="3661"/>
      <c r="CF5" s="3661"/>
      <c r="CG5" s="3661"/>
      <c r="CH5" s="3661"/>
      <c r="CI5" s="3661"/>
      <c r="CJ5" s="3661"/>
      <c r="CK5" s="3661"/>
      <c r="CL5" s="3661"/>
      <c r="CM5" s="3661"/>
      <c r="CN5" s="3661"/>
      <c r="CO5" s="3661"/>
      <c r="CP5" s="3661"/>
      <c r="CQ5" s="3661"/>
      <c r="CR5" s="3661"/>
      <c r="CS5" s="3661"/>
      <c r="CT5" s="3661"/>
      <c r="CU5" s="3661"/>
      <c r="CV5" s="3661"/>
      <c r="CW5" s="3661"/>
      <c r="CX5" s="3661"/>
      <c r="CY5" s="3661"/>
      <c r="CZ5" s="3661"/>
      <c r="DA5" s="3661"/>
      <c r="DB5" s="3661"/>
      <c r="DC5" s="3661"/>
      <c r="DD5" s="3661"/>
      <c r="DE5" s="3661"/>
      <c r="DF5" s="3661"/>
      <c r="DG5" s="3661"/>
      <c r="DH5" s="3661"/>
      <c r="DI5" s="3661"/>
      <c r="DJ5" s="3661"/>
    </row>
    <row r="6" spans="1:157" s="3015" customFormat="1" ht="30" customHeight="1">
      <c r="A6" s="3012">
        <f>ROW()-5</f>
        <v>1</v>
      </c>
      <c r="B6" s="2994">
        <v>41712</v>
      </c>
      <c r="C6" s="2999">
        <v>41710</v>
      </c>
      <c r="D6" s="3012" t="s">
        <v>3524</v>
      </c>
      <c r="E6" s="2997" t="s">
        <v>3525</v>
      </c>
      <c r="F6" s="2995">
        <v>500238</v>
      </c>
      <c r="G6" s="2995" t="s">
        <v>3526</v>
      </c>
      <c r="H6" s="3012" t="s">
        <v>3527</v>
      </c>
      <c r="I6" s="2997" t="s">
        <v>3528</v>
      </c>
      <c r="J6" s="2995" t="s">
        <v>3526</v>
      </c>
      <c r="K6" s="2997" t="s">
        <v>3529</v>
      </c>
      <c r="L6" s="2997" t="s">
        <v>3530</v>
      </c>
      <c r="M6" s="2997" t="s">
        <v>3531</v>
      </c>
      <c r="N6" s="2997" t="s">
        <v>3532</v>
      </c>
      <c r="O6" s="2995">
        <v>55</v>
      </c>
      <c r="P6" s="3012"/>
      <c r="Q6" s="2998">
        <v>6710</v>
      </c>
      <c r="R6" s="2999">
        <v>41710</v>
      </c>
      <c r="S6" s="2998">
        <v>6710</v>
      </c>
      <c r="T6" s="2999">
        <v>41723</v>
      </c>
      <c r="U6" s="2999">
        <v>41777</v>
      </c>
      <c r="V6" s="2999">
        <v>41807</v>
      </c>
      <c r="W6" s="2995"/>
      <c r="X6" s="2995">
        <v>31</v>
      </c>
      <c r="Y6" s="2999">
        <v>42856</v>
      </c>
      <c r="Z6" s="2999">
        <v>41760</v>
      </c>
      <c r="AA6" s="3107">
        <v>43220</v>
      </c>
      <c r="AB6" s="2997" t="s">
        <v>3533</v>
      </c>
      <c r="AC6" s="3012"/>
      <c r="AD6" s="3012"/>
      <c r="AE6" s="3139">
        <f>ROUND(AK6*12*O6,0)</f>
        <v>104392</v>
      </c>
      <c r="AF6" s="2998"/>
      <c r="AG6" s="2998">
        <v>122</v>
      </c>
      <c r="AH6" s="2998"/>
      <c r="AI6" s="2998">
        <v>122</v>
      </c>
      <c r="AJ6" s="2998"/>
      <c r="AK6" s="3135">
        <v>158.16999999999999</v>
      </c>
      <c r="AL6" s="2998"/>
      <c r="AM6" s="3008"/>
      <c r="AN6" s="2998"/>
      <c r="AO6" s="3008"/>
      <c r="AP6" s="2994">
        <v>41808</v>
      </c>
      <c r="AQ6" s="2994">
        <v>43039</v>
      </c>
      <c r="AR6" s="3002" t="s">
        <v>3534</v>
      </c>
      <c r="AS6" s="2998"/>
      <c r="AT6" s="2998">
        <v>1155</v>
      </c>
      <c r="AU6" s="2998"/>
      <c r="AV6" s="3071">
        <v>45</v>
      </c>
      <c r="AW6" s="2994">
        <v>41777</v>
      </c>
      <c r="AX6" s="2994">
        <v>43039</v>
      </c>
      <c r="AY6" s="3004" t="s">
        <v>3534</v>
      </c>
      <c r="AZ6" s="3008"/>
      <c r="BA6" s="2999">
        <v>41358</v>
      </c>
      <c r="BB6" s="2999">
        <v>41388</v>
      </c>
      <c r="BC6" s="2995"/>
      <c r="BD6" s="2995">
        <v>30</v>
      </c>
      <c r="BE6" s="2998">
        <v>3000</v>
      </c>
      <c r="BF6" s="2998">
        <v>550</v>
      </c>
      <c r="BG6" s="3072"/>
      <c r="BH6" s="3072"/>
      <c r="BI6" s="3008"/>
      <c r="BJ6" s="3012"/>
      <c r="BK6" s="3012" t="s">
        <v>3535</v>
      </c>
      <c r="BL6" s="3016"/>
      <c r="BM6" s="3008"/>
      <c r="BN6" s="3008"/>
      <c r="BO6" s="3008">
        <v>8052</v>
      </c>
      <c r="BP6" s="3008">
        <v>1650</v>
      </c>
      <c r="BQ6" s="3008">
        <v>8052</v>
      </c>
      <c r="BR6" s="3008">
        <v>1650</v>
      </c>
      <c r="BS6" s="3008">
        <v>8052</v>
      </c>
      <c r="BT6" s="3008">
        <v>1650</v>
      </c>
      <c r="BU6" s="3008">
        <v>8699.35</v>
      </c>
      <c r="BV6" s="3008">
        <v>2475</v>
      </c>
      <c r="BW6" s="3008">
        <v>8699.35</v>
      </c>
      <c r="BX6" s="3008">
        <v>2475</v>
      </c>
      <c r="BY6" s="3008">
        <v>8699.35</v>
      </c>
      <c r="BZ6" s="3008">
        <v>2475</v>
      </c>
      <c r="CA6" s="3008">
        <v>8699.35</v>
      </c>
      <c r="CB6" s="3008">
        <v>2475</v>
      </c>
      <c r="CC6" s="3008">
        <v>8699.35</v>
      </c>
      <c r="CD6" s="3008">
        <v>2475</v>
      </c>
      <c r="CE6" s="3008">
        <v>8699.35</v>
      </c>
      <c r="CF6" s="3008">
        <v>2475</v>
      </c>
      <c r="CG6" s="3008"/>
      <c r="CH6" s="3008"/>
      <c r="CI6" s="3008"/>
      <c r="CJ6" s="3008"/>
      <c r="CK6" s="3008"/>
      <c r="CL6" s="3008"/>
      <c r="CM6" s="3008"/>
      <c r="CN6" s="3008"/>
      <c r="CO6" s="3008"/>
      <c r="CP6" s="3008"/>
      <c r="CQ6" s="3008"/>
      <c r="CR6" s="3008"/>
      <c r="CS6" s="3008"/>
      <c r="CT6" s="3008"/>
      <c r="CU6" s="3008"/>
      <c r="CV6" s="3008"/>
      <c r="CW6" s="3008"/>
      <c r="CX6" s="3008"/>
      <c r="CY6" s="3008"/>
      <c r="CZ6" s="3008"/>
      <c r="DA6" s="3008"/>
      <c r="DB6" s="3008"/>
      <c r="DC6" s="3008"/>
      <c r="DD6" s="3008"/>
      <c r="DE6" s="3008"/>
      <c r="DF6" s="3008"/>
      <c r="DG6" s="3008"/>
      <c r="DH6" s="3008"/>
      <c r="DI6" s="3010">
        <f ca="1">SUMIF($BM$4:$DH$5,DI$4,$BM6:$DH6)</f>
        <v>76352.100000000006</v>
      </c>
      <c r="DJ6" s="3010">
        <f ca="1">SUMIF($BM$4:$DH$5,DJ$4,$BM6:$DH6)</f>
        <v>19800</v>
      </c>
    </row>
    <row r="7" spans="1:157" s="3015" customFormat="1" ht="30" customHeight="1">
      <c r="A7" s="3012">
        <f>ROW()-5</f>
        <v>2</v>
      </c>
      <c r="B7" s="2999">
        <v>41516</v>
      </c>
      <c r="C7" s="2999">
        <v>41516</v>
      </c>
      <c r="D7" s="3012" t="s">
        <v>3536</v>
      </c>
      <c r="E7" s="2997" t="s">
        <v>3537</v>
      </c>
      <c r="F7" s="2995">
        <v>500052</v>
      </c>
      <c r="G7" s="2995" t="s">
        <v>3538</v>
      </c>
      <c r="H7" s="3012" t="s">
        <v>3527</v>
      </c>
      <c r="I7" s="2997" t="s">
        <v>3539</v>
      </c>
      <c r="J7" s="2995" t="s">
        <v>3540</v>
      </c>
      <c r="K7" s="2997" t="s">
        <v>3541</v>
      </c>
      <c r="L7" s="2997" t="s">
        <v>3530</v>
      </c>
      <c r="M7" s="2997" t="s">
        <v>3531</v>
      </c>
      <c r="N7" s="2997" t="s">
        <v>3542</v>
      </c>
      <c r="O7" s="2995">
        <v>25</v>
      </c>
      <c r="P7" s="3012"/>
      <c r="Q7" s="2998">
        <v>3194</v>
      </c>
      <c r="R7" s="2999">
        <v>41516</v>
      </c>
      <c r="S7" s="2998">
        <v>3194</v>
      </c>
      <c r="T7" s="2999">
        <v>41527</v>
      </c>
      <c r="U7" s="2999"/>
      <c r="V7" s="2999"/>
      <c r="W7" s="2995"/>
      <c r="X7" s="2995"/>
      <c r="Y7" s="2999">
        <v>42917</v>
      </c>
      <c r="Z7" s="2999">
        <v>41760</v>
      </c>
      <c r="AA7" s="3107">
        <v>43281</v>
      </c>
      <c r="AB7" s="2997" t="s">
        <v>3543</v>
      </c>
      <c r="AC7" s="3012"/>
      <c r="AD7" s="3012"/>
      <c r="AE7" s="3139">
        <f>ROUND(AK7*12*O7,0)</f>
        <v>49275</v>
      </c>
      <c r="AF7" s="2998"/>
      <c r="AG7" s="2998">
        <v>152.08000000000001</v>
      </c>
      <c r="AH7" s="2998"/>
      <c r="AI7" s="2998"/>
      <c r="AJ7" s="2998"/>
      <c r="AK7" s="3135">
        <v>164.25</v>
      </c>
      <c r="AL7" s="2998"/>
      <c r="AM7" s="3008"/>
      <c r="AN7" s="2998"/>
      <c r="AO7" s="3008"/>
      <c r="AP7" s="2994">
        <v>41777</v>
      </c>
      <c r="AQ7" s="2994">
        <v>43100</v>
      </c>
      <c r="AR7" s="3002" t="s">
        <v>3534</v>
      </c>
      <c r="AS7" s="2998">
        <v>750</v>
      </c>
      <c r="AT7" s="2998">
        <v>338.71</v>
      </c>
      <c r="AU7" s="2998"/>
      <c r="AV7" s="2998">
        <v>45</v>
      </c>
      <c r="AW7" s="2994">
        <v>41869</v>
      </c>
      <c r="AX7" s="2994">
        <v>43100</v>
      </c>
      <c r="AY7" s="3004" t="s">
        <v>3534</v>
      </c>
      <c r="AZ7" s="3008"/>
      <c r="BA7" s="2999">
        <v>41527</v>
      </c>
      <c r="BB7" s="2999">
        <v>41547</v>
      </c>
      <c r="BC7" s="2995"/>
      <c r="BD7" s="2995">
        <v>20</v>
      </c>
      <c r="BE7" s="2998">
        <v>5000</v>
      </c>
      <c r="BF7" s="2998">
        <v>250</v>
      </c>
      <c r="BG7" s="3072"/>
      <c r="BH7" s="3072"/>
      <c r="BI7" s="3008"/>
      <c r="BJ7" s="3012" t="s">
        <v>3544</v>
      </c>
      <c r="BK7" s="3012" t="s">
        <v>3535</v>
      </c>
      <c r="BL7" s="3016"/>
      <c r="BM7" s="3008"/>
      <c r="BN7" s="3008"/>
      <c r="BO7" s="3008"/>
      <c r="BP7" s="3008"/>
      <c r="BQ7" s="3008"/>
      <c r="BR7" s="3008"/>
      <c r="BS7" s="3008">
        <v>3802</v>
      </c>
      <c r="BT7" s="3008">
        <v>750</v>
      </c>
      <c r="BU7" s="3008">
        <v>3802</v>
      </c>
      <c r="BV7" s="3008">
        <v>750</v>
      </c>
      <c r="BW7" s="3008">
        <v>3802</v>
      </c>
      <c r="BX7" s="3008">
        <v>750</v>
      </c>
      <c r="BY7" s="3008">
        <v>4106.25</v>
      </c>
      <c r="BZ7" s="3008">
        <v>1125</v>
      </c>
      <c r="CA7" s="3008">
        <v>4106.25</v>
      </c>
      <c r="CB7" s="3008">
        <v>1125</v>
      </c>
      <c r="CC7" s="3008">
        <v>4106.25</v>
      </c>
      <c r="CD7" s="3008">
        <v>1125</v>
      </c>
      <c r="CE7" s="3008">
        <v>4106.25</v>
      </c>
      <c r="CF7" s="3008">
        <v>1125</v>
      </c>
      <c r="CG7" s="3008">
        <v>4106.25</v>
      </c>
      <c r="CH7" s="3008">
        <v>1125</v>
      </c>
      <c r="CI7" s="3008">
        <v>4106.25</v>
      </c>
      <c r="CJ7" s="3008">
        <v>1125</v>
      </c>
      <c r="CK7" s="3008"/>
      <c r="CL7" s="3008"/>
      <c r="CM7" s="3008"/>
      <c r="CN7" s="3008"/>
      <c r="CO7" s="3008"/>
      <c r="CP7" s="3008"/>
      <c r="CQ7" s="3008"/>
      <c r="CR7" s="3008"/>
      <c r="CS7" s="3008"/>
      <c r="CT7" s="3008"/>
      <c r="CU7" s="3008"/>
      <c r="CV7" s="3008"/>
      <c r="CW7" s="3008"/>
      <c r="CX7" s="3008"/>
      <c r="CY7" s="3008"/>
      <c r="CZ7" s="3008"/>
      <c r="DA7" s="3008"/>
      <c r="DB7" s="3008"/>
      <c r="DC7" s="3008"/>
      <c r="DD7" s="3008"/>
      <c r="DE7" s="3008"/>
      <c r="DF7" s="3008"/>
      <c r="DG7" s="3008"/>
      <c r="DH7" s="3008"/>
      <c r="DI7" s="3010">
        <f t="shared" ref="DI7:DJ50" ca="1" si="0">SUMIF($BM$4:$DH$5,DI$4,$BM7:$DH7)</f>
        <v>36043.5</v>
      </c>
      <c r="DJ7" s="3010">
        <f t="shared" ca="1" si="0"/>
        <v>9000</v>
      </c>
    </row>
    <row r="8" spans="1:157" s="3015" customFormat="1" ht="30" customHeight="1">
      <c r="A8" s="3012">
        <f t="shared" ref="A8:A50" si="1">ROW()-5</f>
        <v>3</v>
      </c>
      <c r="B8" s="2999">
        <v>41737</v>
      </c>
      <c r="C8" s="2999">
        <v>41737</v>
      </c>
      <c r="D8" s="3012" t="s">
        <v>3545</v>
      </c>
      <c r="E8" s="2997" t="s">
        <v>3546</v>
      </c>
      <c r="F8" s="2995">
        <v>500301</v>
      </c>
      <c r="G8" s="2995" t="s">
        <v>3547</v>
      </c>
      <c r="H8" s="3012" t="s">
        <v>3527</v>
      </c>
      <c r="I8" s="2997" t="s">
        <v>3548</v>
      </c>
      <c r="J8" s="2995" t="s">
        <v>3547</v>
      </c>
      <c r="K8" s="2997" t="s">
        <v>3549</v>
      </c>
      <c r="L8" s="2997" t="s">
        <v>3530</v>
      </c>
      <c r="M8" s="2997" t="s">
        <v>3531</v>
      </c>
      <c r="N8" s="2997" t="s">
        <v>3550</v>
      </c>
      <c r="O8" s="2995">
        <v>15</v>
      </c>
      <c r="P8" s="3012"/>
      <c r="Q8" s="2998">
        <v>1830</v>
      </c>
      <c r="R8" s="2999">
        <v>41747</v>
      </c>
      <c r="S8" s="2998">
        <v>1830</v>
      </c>
      <c r="T8" s="2999">
        <v>41740</v>
      </c>
      <c r="U8" s="2999"/>
      <c r="V8" s="2999"/>
      <c r="W8" s="2995"/>
      <c r="X8" s="2995"/>
      <c r="Y8" s="2999">
        <v>42917</v>
      </c>
      <c r="Z8" s="2999">
        <v>41760</v>
      </c>
      <c r="AA8" s="3107">
        <v>43281</v>
      </c>
      <c r="AB8" s="2997" t="s">
        <v>3543</v>
      </c>
      <c r="AC8" s="3012"/>
      <c r="AD8" s="3012"/>
      <c r="AE8" s="3139">
        <f t="shared" ref="AE8:AE48" si="2">ROUND(AK8*12*O8,0)</f>
        <v>29563</v>
      </c>
      <c r="AF8" s="2998"/>
      <c r="AG8" s="2998">
        <v>122</v>
      </c>
      <c r="AH8" s="2998"/>
      <c r="AI8" s="2998">
        <v>134.19999999999999</v>
      </c>
      <c r="AJ8" s="2998"/>
      <c r="AK8" s="3134">
        <v>164.24</v>
      </c>
      <c r="AL8" s="2998"/>
      <c r="AM8" s="3008"/>
      <c r="AN8" s="2998"/>
      <c r="AO8" s="3008"/>
      <c r="AP8" s="2994">
        <v>41777</v>
      </c>
      <c r="AQ8" s="2994">
        <v>43100</v>
      </c>
      <c r="AR8" s="3002" t="s">
        <v>3534</v>
      </c>
      <c r="AS8" s="2998">
        <v>450</v>
      </c>
      <c r="AT8" s="2998">
        <v>105</v>
      </c>
      <c r="AU8" s="2998"/>
      <c r="AV8" s="2998">
        <v>45</v>
      </c>
      <c r="AW8" s="2994">
        <v>41740</v>
      </c>
      <c r="AX8" s="2994">
        <v>43100</v>
      </c>
      <c r="AY8" s="3004" t="s">
        <v>3534</v>
      </c>
      <c r="AZ8" s="3008"/>
      <c r="BA8" s="2999">
        <v>41740</v>
      </c>
      <c r="BB8" s="2999">
        <v>41749</v>
      </c>
      <c r="BC8" s="2995"/>
      <c r="BD8" s="2995">
        <v>10</v>
      </c>
      <c r="BE8" s="2998">
        <v>5000</v>
      </c>
      <c r="BF8" s="2998">
        <v>150</v>
      </c>
      <c r="BG8" s="3072"/>
      <c r="BH8" s="3072"/>
      <c r="BI8" s="3008"/>
      <c r="BJ8" s="3012" t="s">
        <v>3544</v>
      </c>
      <c r="BK8" s="3012" t="s">
        <v>3535</v>
      </c>
      <c r="BL8" s="3016"/>
      <c r="BM8" s="3073"/>
      <c r="BN8" s="3073"/>
      <c r="BO8" s="3073"/>
      <c r="BP8" s="3073"/>
      <c r="BQ8" s="3073"/>
      <c r="BR8" s="3073"/>
      <c r="BS8" s="3073">
        <v>2281.1999999999998</v>
      </c>
      <c r="BT8" s="3073">
        <v>450</v>
      </c>
      <c r="BU8" s="3073">
        <v>2281.1999999999998</v>
      </c>
      <c r="BV8" s="3073">
        <v>450</v>
      </c>
      <c r="BW8" s="3073">
        <v>2281.1999999999998</v>
      </c>
      <c r="BX8" s="3073">
        <v>450</v>
      </c>
      <c r="BY8" s="3073">
        <v>2463.6</v>
      </c>
      <c r="BZ8" s="3073">
        <v>675</v>
      </c>
      <c r="CA8" s="3073">
        <v>2463.6</v>
      </c>
      <c r="CB8" s="3073">
        <v>675</v>
      </c>
      <c r="CC8" s="3073">
        <v>2463.6</v>
      </c>
      <c r="CD8" s="3073">
        <v>675</v>
      </c>
      <c r="CE8" s="3073">
        <v>2463.6</v>
      </c>
      <c r="CF8" s="3073">
        <v>675</v>
      </c>
      <c r="CG8" s="3073">
        <v>2463.6</v>
      </c>
      <c r="CH8" s="3073">
        <v>675</v>
      </c>
      <c r="CI8" s="3073">
        <v>2463.6</v>
      </c>
      <c r="CJ8" s="3073">
        <v>675</v>
      </c>
      <c r="CK8" s="3073"/>
      <c r="CL8" s="3073"/>
      <c r="CM8" s="3073"/>
      <c r="CN8" s="3073"/>
      <c r="CO8" s="3073"/>
      <c r="CP8" s="3073"/>
      <c r="CQ8" s="3073"/>
      <c r="CR8" s="3073"/>
      <c r="CS8" s="3073"/>
      <c r="CT8" s="3073"/>
      <c r="CU8" s="3073"/>
      <c r="CV8" s="3073"/>
      <c r="CW8" s="3073"/>
      <c r="CX8" s="3073"/>
      <c r="CY8" s="3073"/>
      <c r="CZ8" s="3073"/>
      <c r="DA8" s="3073"/>
      <c r="DB8" s="3073"/>
      <c r="DC8" s="3073"/>
      <c r="DD8" s="3073"/>
      <c r="DE8" s="3073"/>
      <c r="DF8" s="3073"/>
      <c r="DG8" s="3073"/>
      <c r="DH8" s="3073"/>
      <c r="DI8" s="3010">
        <f t="shared" ca="1" si="0"/>
        <v>21625.199999999997</v>
      </c>
      <c r="DJ8" s="3010">
        <f t="shared" ca="1" si="0"/>
        <v>5400</v>
      </c>
    </row>
    <row r="9" spans="1:157" s="3015" customFormat="1" ht="30" customHeight="1">
      <c r="A9" s="3012">
        <f t="shared" si="1"/>
        <v>4</v>
      </c>
      <c r="B9" s="2994">
        <v>41687</v>
      </c>
      <c r="C9" s="2999">
        <v>41687</v>
      </c>
      <c r="D9" s="3012" t="s">
        <v>3551</v>
      </c>
      <c r="E9" s="2997" t="s">
        <v>3552</v>
      </c>
      <c r="F9" s="2995">
        <v>500161</v>
      </c>
      <c r="G9" s="2995" t="s">
        <v>3553</v>
      </c>
      <c r="H9" s="3012" t="s">
        <v>3527</v>
      </c>
      <c r="I9" s="2997" t="s">
        <v>3554</v>
      </c>
      <c r="J9" s="2995" t="s">
        <v>3553</v>
      </c>
      <c r="K9" s="2997" t="s">
        <v>3555</v>
      </c>
      <c r="L9" s="2997" t="s">
        <v>3530</v>
      </c>
      <c r="M9" s="2997" t="s">
        <v>3531</v>
      </c>
      <c r="N9" s="2997" t="s">
        <v>3556</v>
      </c>
      <c r="O9" s="2995">
        <v>17</v>
      </c>
      <c r="P9" s="3012"/>
      <c r="Q9" s="2998">
        <v>1819</v>
      </c>
      <c r="R9" s="2999">
        <v>41687</v>
      </c>
      <c r="S9" s="2998">
        <v>1819</v>
      </c>
      <c r="T9" s="2999">
        <v>41718</v>
      </c>
      <c r="U9" s="2999"/>
      <c r="V9" s="2999"/>
      <c r="W9" s="2995"/>
      <c r="X9" s="2995"/>
      <c r="Y9" s="2999">
        <v>42917</v>
      </c>
      <c r="Z9" s="2999">
        <v>41760</v>
      </c>
      <c r="AA9" s="3107">
        <v>43281</v>
      </c>
      <c r="AB9" s="2997" t="s">
        <v>3543</v>
      </c>
      <c r="AC9" s="3012"/>
      <c r="AD9" s="3012"/>
      <c r="AE9" s="3139">
        <f t="shared" si="2"/>
        <v>33507</v>
      </c>
      <c r="AF9" s="2998"/>
      <c r="AG9" s="2998">
        <v>107</v>
      </c>
      <c r="AH9" s="2998"/>
      <c r="AI9" s="2998">
        <v>117.7</v>
      </c>
      <c r="AJ9" s="2998"/>
      <c r="AK9" s="3134">
        <v>164.25</v>
      </c>
      <c r="AL9" s="2998"/>
      <c r="AM9" s="3008"/>
      <c r="AN9" s="2998"/>
      <c r="AO9" s="3008"/>
      <c r="AP9" s="2994">
        <v>41777</v>
      </c>
      <c r="AQ9" s="2994">
        <v>43100</v>
      </c>
      <c r="AR9" s="3002" t="s">
        <v>3534</v>
      </c>
      <c r="AS9" s="2998">
        <v>510</v>
      </c>
      <c r="AT9" s="2998">
        <v>234.1</v>
      </c>
      <c r="AU9" s="2998"/>
      <c r="AV9" s="2998">
        <v>45</v>
      </c>
      <c r="AW9" s="2994">
        <v>41777</v>
      </c>
      <c r="AX9" s="2994">
        <v>43100</v>
      </c>
      <c r="AY9" s="3004" t="s">
        <v>3534</v>
      </c>
      <c r="AZ9" s="3008"/>
      <c r="BA9" s="2999">
        <v>41718</v>
      </c>
      <c r="BB9" s="2999">
        <v>41739</v>
      </c>
      <c r="BC9" s="2995"/>
      <c r="BD9" s="2995">
        <v>20</v>
      </c>
      <c r="BE9" s="2998">
        <v>3000</v>
      </c>
      <c r="BF9" s="2998">
        <v>170</v>
      </c>
      <c r="BG9" s="3072"/>
      <c r="BH9" s="3072"/>
      <c r="BI9" s="3008"/>
      <c r="BJ9" s="3012" t="s">
        <v>3544</v>
      </c>
      <c r="BK9" s="3012" t="s">
        <v>3535</v>
      </c>
      <c r="BL9" s="3016"/>
      <c r="BM9" s="3008"/>
      <c r="BN9" s="3008"/>
      <c r="BO9" s="3008"/>
      <c r="BP9" s="3008"/>
      <c r="BQ9" s="3008"/>
      <c r="BR9" s="3008"/>
      <c r="BS9" s="3008">
        <v>2585.36</v>
      </c>
      <c r="BT9" s="3008">
        <v>510</v>
      </c>
      <c r="BU9" s="3008">
        <v>2585.36</v>
      </c>
      <c r="BV9" s="3008">
        <v>510</v>
      </c>
      <c r="BW9" s="3008">
        <v>2585.36</v>
      </c>
      <c r="BX9" s="3008">
        <v>510</v>
      </c>
      <c r="BY9" s="3008">
        <v>2792.25</v>
      </c>
      <c r="BZ9" s="3008">
        <v>765</v>
      </c>
      <c r="CA9" s="3008">
        <v>2792.25</v>
      </c>
      <c r="CB9" s="3008">
        <v>765</v>
      </c>
      <c r="CC9" s="3008">
        <v>2792.25</v>
      </c>
      <c r="CD9" s="3008">
        <v>765</v>
      </c>
      <c r="CE9" s="3008">
        <v>2792.25</v>
      </c>
      <c r="CF9" s="3008">
        <v>765</v>
      </c>
      <c r="CG9" s="3008">
        <v>2792.25</v>
      </c>
      <c r="CH9" s="3008">
        <v>765</v>
      </c>
      <c r="CI9" s="3008">
        <v>2792.25</v>
      </c>
      <c r="CJ9" s="3008">
        <v>765</v>
      </c>
      <c r="CK9" s="3008"/>
      <c r="CL9" s="3008"/>
      <c r="CM9" s="3008"/>
      <c r="CN9" s="3008"/>
      <c r="CO9" s="3008"/>
      <c r="CP9" s="3008"/>
      <c r="CQ9" s="3008"/>
      <c r="CR9" s="3008"/>
      <c r="CS9" s="3008"/>
      <c r="CT9" s="3008"/>
      <c r="CU9" s="3008"/>
      <c r="CV9" s="3008"/>
      <c r="CW9" s="3008"/>
      <c r="CX9" s="3008"/>
      <c r="CY9" s="3008"/>
      <c r="CZ9" s="3008"/>
      <c r="DA9" s="3008"/>
      <c r="DB9" s="3008"/>
      <c r="DC9" s="3008"/>
      <c r="DD9" s="3008"/>
      <c r="DE9" s="3008"/>
      <c r="DF9" s="3008"/>
      <c r="DG9" s="3008"/>
      <c r="DH9" s="3008"/>
      <c r="DI9" s="3010">
        <f t="shared" ca="1" si="0"/>
        <v>24509.58</v>
      </c>
      <c r="DJ9" s="3010">
        <f t="shared" ca="1" si="0"/>
        <v>6120</v>
      </c>
    </row>
    <row r="10" spans="1:157" s="3015" customFormat="1" ht="30" customHeight="1">
      <c r="A10" s="3012">
        <f t="shared" si="1"/>
        <v>5</v>
      </c>
      <c r="B10" s="2994">
        <v>41613</v>
      </c>
      <c r="C10" s="2999">
        <v>41613</v>
      </c>
      <c r="D10" s="3012" t="s">
        <v>3545</v>
      </c>
      <c r="E10" s="2997" t="s">
        <v>3537</v>
      </c>
      <c r="F10" s="2995">
        <v>500200</v>
      </c>
      <c r="G10" s="2995" t="s">
        <v>3557</v>
      </c>
      <c r="H10" s="3012" t="s">
        <v>3527</v>
      </c>
      <c r="I10" s="2997" t="s">
        <v>3558</v>
      </c>
      <c r="J10" s="2995" t="s">
        <v>3557</v>
      </c>
      <c r="K10" s="2997" t="s">
        <v>3559</v>
      </c>
      <c r="L10" s="2997" t="s">
        <v>3530</v>
      </c>
      <c r="M10" s="2997" t="s">
        <v>3531</v>
      </c>
      <c r="N10" s="2997" t="s">
        <v>3560</v>
      </c>
      <c r="O10" s="2995">
        <v>42</v>
      </c>
      <c r="P10" s="3012"/>
      <c r="Q10" s="2998">
        <v>5749</v>
      </c>
      <c r="R10" s="2999">
        <v>41613</v>
      </c>
      <c r="S10" s="2998">
        <v>5749</v>
      </c>
      <c r="T10" s="2999">
        <v>41623</v>
      </c>
      <c r="U10" s="2999"/>
      <c r="V10" s="2999"/>
      <c r="W10" s="2995"/>
      <c r="X10" s="2995"/>
      <c r="Y10" s="2999">
        <v>42856</v>
      </c>
      <c r="Z10" s="2999">
        <v>41760</v>
      </c>
      <c r="AA10" s="3107">
        <v>43220</v>
      </c>
      <c r="AB10" s="2997" t="s">
        <v>3561</v>
      </c>
      <c r="AC10" s="3012"/>
      <c r="AD10" s="3012"/>
      <c r="AE10" s="3139">
        <f t="shared" si="2"/>
        <v>70520</v>
      </c>
      <c r="AF10" s="2998">
        <v>3.8</v>
      </c>
      <c r="AG10" s="2998"/>
      <c r="AH10" s="2998">
        <v>3.8</v>
      </c>
      <c r="AI10" s="2998"/>
      <c r="AJ10" s="2998"/>
      <c r="AK10" s="3134">
        <v>139.91999999999999</v>
      </c>
      <c r="AL10" s="2998"/>
      <c r="AM10" s="3008"/>
      <c r="AN10" s="2998"/>
      <c r="AO10" s="3008"/>
      <c r="AP10" s="2994">
        <v>41777</v>
      </c>
      <c r="AQ10" s="2994">
        <v>43039</v>
      </c>
      <c r="AR10" s="3002" t="s">
        <v>3534</v>
      </c>
      <c r="AS10" s="2998"/>
      <c r="AT10" s="2998">
        <v>578.36</v>
      </c>
      <c r="AU10" s="2998"/>
      <c r="AV10" s="2998">
        <v>45</v>
      </c>
      <c r="AW10" s="2994">
        <v>41808</v>
      </c>
      <c r="AX10" s="2994">
        <v>43039</v>
      </c>
      <c r="AY10" s="3004" t="s">
        <v>3534</v>
      </c>
      <c r="AZ10" s="3008"/>
      <c r="BA10" s="2999">
        <v>41623</v>
      </c>
      <c r="BB10" s="2999">
        <v>41642</v>
      </c>
      <c r="BC10" s="2995"/>
      <c r="BD10" s="2995">
        <v>20</v>
      </c>
      <c r="BE10" s="2998">
        <v>5000</v>
      </c>
      <c r="BF10" s="2998">
        <v>420</v>
      </c>
      <c r="BG10" s="3072"/>
      <c r="BH10" s="3072"/>
      <c r="BI10" s="3008"/>
      <c r="BJ10" s="3012" t="s">
        <v>3562</v>
      </c>
      <c r="BK10" s="3012" t="s">
        <v>3535</v>
      </c>
      <c r="BL10" s="3074"/>
      <c r="BM10" s="3075"/>
      <c r="BN10" s="3075"/>
      <c r="BO10" s="3075">
        <v>5436.9</v>
      </c>
      <c r="BP10" s="3075">
        <v>1260</v>
      </c>
      <c r="BQ10" s="3075">
        <v>5436.9</v>
      </c>
      <c r="BR10" s="3075">
        <v>1260</v>
      </c>
      <c r="BS10" s="3075">
        <v>5436.9</v>
      </c>
      <c r="BT10" s="3075">
        <v>1260</v>
      </c>
      <c r="BU10" s="3075">
        <v>5876.64</v>
      </c>
      <c r="BV10" s="3075">
        <v>1890</v>
      </c>
      <c r="BW10" s="3075">
        <v>5876.64</v>
      </c>
      <c r="BX10" s="3075">
        <v>1890</v>
      </c>
      <c r="BY10" s="3075">
        <v>5876.64</v>
      </c>
      <c r="BZ10" s="3075">
        <v>1890</v>
      </c>
      <c r="CA10" s="3075">
        <v>5876.64</v>
      </c>
      <c r="CB10" s="3075">
        <v>1890</v>
      </c>
      <c r="CC10" s="3075">
        <v>5876.64</v>
      </c>
      <c r="CD10" s="3075">
        <v>1890</v>
      </c>
      <c r="CE10" s="3075">
        <v>5876.64</v>
      </c>
      <c r="CF10" s="3075">
        <v>1890</v>
      </c>
      <c r="CG10" s="3075"/>
      <c r="CH10" s="3075"/>
      <c r="CI10" s="3075"/>
      <c r="CJ10" s="3075"/>
      <c r="CK10" s="3075"/>
      <c r="CL10" s="3075"/>
      <c r="CM10" s="3075"/>
      <c r="CN10" s="3075"/>
      <c r="CO10" s="3075"/>
      <c r="CP10" s="3075"/>
      <c r="CQ10" s="3075"/>
      <c r="CR10" s="3075"/>
      <c r="CS10" s="3075"/>
      <c r="CT10" s="3075"/>
      <c r="CU10" s="3075"/>
      <c r="CV10" s="3075"/>
      <c r="CW10" s="3075"/>
      <c r="CX10" s="3075"/>
      <c r="CY10" s="3075"/>
      <c r="CZ10" s="3075"/>
      <c r="DA10" s="3075"/>
      <c r="DB10" s="3075"/>
      <c r="DC10" s="3075"/>
      <c r="DD10" s="3075"/>
      <c r="DE10" s="3075"/>
      <c r="DF10" s="3075"/>
      <c r="DG10" s="3075"/>
      <c r="DH10" s="3075"/>
      <c r="DI10" s="3010">
        <f t="shared" ca="1" si="0"/>
        <v>51570.54</v>
      </c>
      <c r="DJ10" s="3010">
        <f t="shared" ca="1" si="0"/>
        <v>15120</v>
      </c>
    </row>
    <row r="11" spans="1:157" s="3015" customFormat="1" ht="30" customHeight="1">
      <c r="A11" s="3012">
        <f t="shared" si="1"/>
        <v>6</v>
      </c>
      <c r="B11" s="2994">
        <v>42522</v>
      </c>
      <c r="C11" s="2999">
        <v>42522</v>
      </c>
      <c r="D11" s="3012" t="s">
        <v>3563</v>
      </c>
      <c r="E11" s="2997" t="s">
        <v>3564</v>
      </c>
      <c r="F11" s="2995">
        <v>500596</v>
      </c>
      <c r="G11" s="2995" t="s">
        <v>3565</v>
      </c>
      <c r="H11" s="3012" t="s">
        <v>3527</v>
      </c>
      <c r="I11" s="2997" t="s">
        <v>3566</v>
      </c>
      <c r="J11" s="2995" t="s">
        <v>3565</v>
      </c>
      <c r="K11" s="2997" t="s">
        <v>3567</v>
      </c>
      <c r="L11" s="2997" t="s">
        <v>3530</v>
      </c>
      <c r="M11" s="2997" t="s">
        <v>3531</v>
      </c>
      <c r="N11" s="2997" t="s">
        <v>3568</v>
      </c>
      <c r="O11" s="2995">
        <v>59</v>
      </c>
      <c r="P11" s="3012"/>
      <c r="Q11" s="2998">
        <v>8850</v>
      </c>
      <c r="R11" s="2999">
        <v>42522</v>
      </c>
      <c r="S11" s="2998">
        <v>8850</v>
      </c>
      <c r="T11" s="2999">
        <v>42534</v>
      </c>
      <c r="U11" s="2999">
        <v>42564</v>
      </c>
      <c r="V11" s="2999">
        <v>42594</v>
      </c>
      <c r="W11" s="2995">
        <v>1</v>
      </c>
      <c r="X11" s="2995"/>
      <c r="Y11" s="2999">
        <v>42595</v>
      </c>
      <c r="Z11" s="2999">
        <v>42564</v>
      </c>
      <c r="AA11" s="3107">
        <v>43293</v>
      </c>
      <c r="AB11" s="2997" t="s">
        <v>3569</v>
      </c>
      <c r="AC11" s="3012" t="s">
        <v>3570</v>
      </c>
      <c r="AD11" s="3012">
        <v>5</v>
      </c>
      <c r="AE11" s="3139">
        <f>ROUND(AI11*12*O11,0)</f>
        <v>111864</v>
      </c>
      <c r="AF11" s="2998"/>
      <c r="AG11" s="2998">
        <v>150</v>
      </c>
      <c r="AH11" s="2998"/>
      <c r="AI11" s="3134">
        <v>158</v>
      </c>
      <c r="AJ11" s="2998"/>
      <c r="AK11" s="3008"/>
      <c r="AL11" s="2998"/>
      <c r="AM11" s="3008"/>
      <c r="AN11" s="2998"/>
      <c r="AO11" s="3008"/>
      <c r="AP11" s="2994">
        <v>42595</v>
      </c>
      <c r="AQ11" s="2994">
        <v>43039</v>
      </c>
      <c r="AR11" s="3002" t="s">
        <v>3534</v>
      </c>
      <c r="AS11" s="2998">
        <v>1770</v>
      </c>
      <c r="AT11" s="2998">
        <v>1770</v>
      </c>
      <c r="AU11" s="2998"/>
      <c r="AV11" s="2998">
        <v>30</v>
      </c>
      <c r="AW11" s="2994">
        <v>42564</v>
      </c>
      <c r="AX11" s="2994">
        <v>43039</v>
      </c>
      <c r="AY11" s="3004" t="s">
        <v>3534</v>
      </c>
      <c r="AZ11" s="3008"/>
      <c r="BA11" s="2999">
        <v>42534</v>
      </c>
      <c r="BB11" s="2999">
        <v>42563</v>
      </c>
      <c r="BC11" s="2995">
        <v>1</v>
      </c>
      <c r="BD11" s="2995"/>
      <c r="BE11" s="2998">
        <v>5000</v>
      </c>
      <c r="BF11" s="2998">
        <v>590</v>
      </c>
      <c r="BG11" s="3072"/>
      <c r="BH11" s="3072"/>
      <c r="BI11" s="3008"/>
      <c r="BJ11" s="3012"/>
      <c r="BK11" s="3012" t="s">
        <v>3535</v>
      </c>
      <c r="BL11" s="3074"/>
      <c r="BM11" s="3075"/>
      <c r="BN11" s="3075"/>
      <c r="BO11" s="3075">
        <v>8850</v>
      </c>
      <c r="BP11" s="3075">
        <v>1770</v>
      </c>
      <c r="BQ11" s="3075">
        <v>8850</v>
      </c>
      <c r="BR11" s="3075">
        <v>1770</v>
      </c>
      <c r="BS11" s="3075">
        <v>8850</v>
      </c>
      <c r="BT11" s="3075">
        <v>1770</v>
      </c>
      <c r="BU11" s="3075">
        <v>8850</v>
      </c>
      <c r="BV11" s="3075">
        <v>1770</v>
      </c>
      <c r="BW11" s="3075">
        <v>8850</v>
      </c>
      <c r="BX11" s="3075">
        <v>1770</v>
      </c>
      <c r="BY11" s="3075">
        <v>9139.2900000000009</v>
      </c>
      <c r="BZ11" s="3075">
        <v>1770</v>
      </c>
      <c r="CA11" s="3075">
        <v>9322</v>
      </c>
      <c r="CB11" s="3075">
        <v>1770</v>
      </c>
      <c r="CC11" s="3075">
        <v>9322</v>
      </c>
      <c r="CD11" s="3075">
        <v>1770</v>
      </c>
      <c r="CE11" s="3075">
        <v>9322</v>
      </c>
      <c r="CF11" s="3075">
        <v>1770</v>
      </c>
      <c r="CG11" s="3075"/>
      <c r="CH11" s="3075"/>
      <c r="CI11" s="3075"/>
      <c r="CJ11" s="3075"/>
      <c r="CK11" s="3075"/>
      <c r="CL11" s="3075"/>
      <c r="CM11" s="3075"/>
      <c r="CN11" s="3075"/>
      <c r="CO11" s="3075"/>
      <c r="CP11" s="3075"/>
      <c r="CQ11" s="3075"/>
      <c r="CR11" s="3075"/>
      <c r="CS11" s="3075"/>
      <c r="CT11" s="3075"/>
      <c r="CU11" s="3075"/>
      <c r="CV11" s="3075"/>
      <c r="CW11" s="3075"/>
      <c r="CX11" s="3075"/>
      <c r="CY11" s="3075"/>
      <c r="CZ11" s="3075"/>
      <c r="DA11" s="3075"/>
      <c r="DB11" s="3075"/>
      <c r="DC11" s="3075"/>
      <c r="DD11" s="3075"/>
      <c r="DE11" s="3075"/>
      <c r="DF11" s="3075"/>
      <c r="DG11" s="3075"/>
      <c r="DH11" s="3075"/>
      <c r="DI11" s="3010">
        <f t="shared" ca="1" si="0"/>
        <v>81355.290000000008</v>
      </c>
      <c r="DJ11" s="3010">
        <f t="shared" ca="1" si="0"/>
        <v>15930</v>
      </c>
    </row>
    <row r="12" spans="1:157" s="3015" customFormat="1" ht="30" customHeight="1">
      <c r="A12" s="3012">
        <f t="shared" si="1"/>
        <v>7</v>
      </c>
      <c r="B12" s="2994">
        <v>41562</v>
      </c>
      <c r="C12" s="2999">
        <v>41563</v>
      </c>
      <c r="D12" s="3012" t="s">
        <v>3571</v>
      </c>
      <c r="E12" s="2997" t="s">
        <v>3572</v>
      </c>
      <c r="F12" s="2995">
        <v>500202</v>
      </c>
      <c r="G12" s="2995" t="s">
        <v>3573</v>
      </c>
      <c r="H12" s="3012" t="s">
        <v>3527</v>
      </c>
      <c r="I12" s="2997" t="s">
        <v>3574</v>
      </c>
      <c r="J12" s="2995" t="s">
        <v>3575</v>
      </c>
      <c r="K12" s="2997" t="s">
        <v>3576</v>
      </c>
      <c r="L12" s="2997" t="s">
        <v>3530</v>
      </c>
      <c r="M12" s="2997" t="s">
        <v>3531</v>
      </c>
      <c r="N12" s="2997" t="s">
        <v>3577</v>
      </c>
      <c r="O12" s="2995">
        <v>463</v>
      </c>
      <c r="P12" s="3012"/>
      <c r="Q12" s="2998">
        <v>42249</v>
      </c>
      <c r="R12" s="2999">
        <v>41565</v>
      </c>
      <c r="S12" s="2998">
        <v>42249</v>
      </c>
      <c r="T12" s="2999">
        <v>41579</v>
      </c>
      <c r="U12" s="2999" t="s">
        <v>3578</v>
      </c>
      <c r="V12" s="2999" t="s">
        <v>3579</v>
      </c>
      <c r="W12" s="2995">
        <v>3</v>
      </c>
      <c r="X12" s="2995"/>
      <c r="Y12" s="2999">
        <v>41777</v>
      </c>
      <c r="Z12" s="2999">
        <v>41760</v>
      </c>
      <c r="AA12" s="3107">
        <v>43585</v>
      </c>
      <c r="AB12" s="2997" t="s">
        <v>3580</v>
      </c>
      <c r="AC12" s="3012" t="s">
        <v>3581</v>
      </c>
      <c r="AD12" s="3012">
        <v>5</v>
      </c>
      <c r="AE12" s="3141">
        <f>ROUND(AJ12*365*O12,0)</f>
        <v>532334</v>
      </c>
      <c r="AF12" s="2998">
        <v>3</v>
      </c>
      <c r="AG12" s="2998">
        <v>91.25</v>
      </c>
      <c r="AH12" s="2998">
        <v>3</v>
      </c>
      <c r="AI12" s="2998">
        <v>91.25</v>
      </c>
      <c r="AJ12" s="3134">
        <v>3.15</v>
      </c>
      <c r="AK12" s="3008"/>
      <c r="AL12" s="2998">
        <v>3.31</v>
      </c>
      <c r="AM12" s="3008"/>
      <c r="AN12" s="2998"/>
      <c r="AO12" s="3008"/>
      <c r="AP12" s="2994">
        <v>41838</v>
      </c>
      <c r="AQ12" s="2994">
        <v>43069</v>
      </c>
      <c r="AR12" s="3002" t="s">
        <v>3582</v>
      </c>
      <c r="AS12" s="2998"/>
      <c r="AT12" s="2998">
        <v>0</v>
      </c>
      <c r="AU12" s="2998">
        <v>0.5</v>
      </c>
      <c r="AV12" s="2998">
        <v>15.21</v>
      </c>
      <c r="AW12" s="2994">
        <v>41777</v>
      </c>
      <c r="AX12" s="2994">
        <v>43039</v>
      </c>
      <c r="AY12" s="3004" t="s">
        <v>3582</v>
      </c>
      <c r="AZ12" s="3008"/>
      <c r="BA12" s="2999">
        <v>41579</v>
      </c>
      <c r="BB12" s="2999">
        <v>41638</v>
      </c>
      <c r="BC12" s="2995"/>
      <c r="BD12" s="2995">
        <v>60</v>
      </c>
      <c r="BE12" s="2998">
        <v>10000</v>
      </c>
      <c r="BF12" s="2998">
        <v>6000</v>
      </c>
      <c r="BG12" s="3072"/>
      <c r="BH12" s="3072"/>
      <c r="BI12" s="3008"/>
      <c r="BJ12" s="3012" t="s">
        <v>3583</v>
      </c>
      <c r="BK12" s="3012" t="s">
        <v>3535</v>
      </c>
      <c r="BL12" s="3076"/>
      <c r="BM12" s="3073"/>
      <c r="BN12" s="3073"/>
      <c r="BO12" s="3073">
        <v>44361.19</v>
      </c>
      <c r="BP12" s="3073"/>
      <c r="BQ12" s="3073">
        <v>44361.19</v>
      </c>
      <c r="BR12" s="3073">
        <v>7041.44</v>
      </c>
      <c r="BS12" s="3073">
        <v>44361.19</v>
      </c>
      <c r="BT12" s="3073">
        <v>7041.44</v>
      </c>
      <c r="BU12" s="3073">
        <v>44361.19</v>
      </c>
      <c r="BV12" s="3073">
        <v>7041.44</v>
      </c>
      <c r="BW12" s="3073">
        <v>44361.19</v>
      </c>
      <c r="BX12" s="3073">
        <v>7041.44</v>
      </c>
      <c r="BY12" s="3073">
        <v>44361.19</v>
      </c>
      <c r="BZ12" s="3073">
        <v>7041.44</v>
      </c>
      <c r="CA12" s="3073">
        <v>44361.19</v>
      </c>
      <c r="CB12" s="3073">
        <v>7041.44</v>
      </c>
      <c r="CC12" s="3073">
        <v>44361.19</v>
      </c>
      <c r="CD12" s="3073">
        <v>7041.44</v>
      </c>
      <c r="CE12" s="3073">
        <v>44361.19</v>
      </c>
      <c r="CF12" s="3073">
        <v>7041.44</v>
      </c>
      <c r="CG12" s="3073">
        <v>44361.19</v>
      </c>
      <c r="CH12" s="3073"/>
      <c r="CI12" s="3073"/>
      <c r="CJ12" s="3073"/>
      <c r="CK12" s="3073"/>
      <c r="CL12" s="3073"/>
      <c r="CM12" s="3073"/>
      <c r="CN12" s="3073"/>
      <c r="CO12" s="3073"/>
      <c r="CP12" s="3073"/>
      <c r="CQ12" s="3073"/>
      <c r="CR12" s="3073"/>
      <c r="CS12" s="3073"/>
      <c r="CT12" s="3073"/>
      <c r="CU12" s="3073"/>
      <c r="CV12" s="3073"/>
      <c r="CW12" s="3073"/>
      <c r="CX12" s="3073"/>
      <c r="CY12" s="3073"/>
      <c r="CZ12" s="3073"/>
      <c r="DA12" s="3073"/>
      <c r="DB12" s="3073"/>
      <c r="DC12" s="3073"/>
      <c r="DD12" s="3073"/>
      <c r="DE12" s="3073"/>
      <c r="DF12" s="3073"/>
      <c r="DG12" s="3073"/>
      <c r="DH12" s="3073"/>
      <c r="DI12" s="3010">
        <f t="shared" ca="1" si="0"/>
        <v>443611.9</v>
      </c>
      <c r="DJ12" s="3010">
        <f t="shared" ca="1" si="0"/>
        <v>56331.520000000004</v>
      </c>
    </row>
    <row r="13" spans="1:157" s="3015" customFormat="1" ht="30" customHeight="1">
      <c r="A13" s="3012">
        <f t="shared" si="1"/>
        <v>8</v>
      </c>
      <c r="B13" s="2994">
        <v>41738</v>
      </c>
      <c r="C13" s="2999">
        <v>41740</v>
      </c>
      <c r="D13" s="3012" t="s">
        <v>3584</v>
      </c>
      <c r="E13" s="2997"/>
      <c r="F13" s="2995">
        <v>500306</v>
      </c>
      <c r="G13" s="2995" t="s">
        <v>3585</v>
      </c>
      <c r="H13" s="3012" t="s">
        <v>3527</v>
      </c>
      <c r="I13" s="2997" t="s">
        <v>3586</v>
      </c>
      <c r="J13" s="2995" t="s">
        <v>3587</v>
      </c>
      <c r="K13" s="2997" t="s">
        <v>3588</v>
      </c>
      <c r="L13" s="2997" t="s">
        <v>3530</v>
      </c>
      <c r="M13" s="2997" t="s">
        <v>3531</v>
      </c>
      <c r="N13" s="2997" t="s">
        <v>3589</v>
      </c>
      <c r="O13" s="2995">
        <v>200</v>
      </c>
      <c r="P13" s="3012"/>
      <c r="Q13" s="2998"/>
      <c r="R13" s="2999"/>
      <c r="S13" s="2998"/>
      <c r="T13" s="2999"/>
      <c r="U13" s="2999"/>
      <c r="V13" s="2999"/>
      <c r="W13" s="2995"/>
      <c r="X13" s="2995"/>
      <c r="Y13" s="2999">
        <v>42569</v>
      </c>
      <c r="Z13" s="2999">
        <v>41777</v>
      </c>
      <c r="AA13" s="3107">
        <v>43663</v>
      </c>
      <c r="AB13" s="2997" t="s">
        <v>3580</v>
      </c>
      <c r="AC13" s="3012"/>
      <c r="AD13" s="3012"/>
      <c r="AE13" s="3141">
        <f t="shared" ref="AE13:AE14" si="3">ROUND(AJ13*365*O13,0)</f>
        <v>219000</v>
      </c>
      <c r="AF13" s="2998"/>
      <c r="AG13" s="2998"/>
      <c r="AH13" s="2998"/>
      <c r="AI13" s="2998"/>
      <c r="AJ13" s="3134">
        <v>3</v>
      </c>
      <c r="AK13" s="3016"/>
      <c r="AL13" s="2998">
        <v>4</v>
      </c>
      <c r="AM13" s="3016"/>
      <c r="AN13" s="2998"/>
      <c r="AO13" s="3016"/>
      <c r="AP13" s="2994">
        <v>42569</v>
      </c>
      <c r="AQ13" s="2994">
        <v>43039</v>
      </c>
      <c r="AR13" s="3002" t="s">
        <v>3534</v>
      </c>
      <c r="AS13" s="2998"/>
      <c r="AT13" s="2998">
        <v>0</v>
      </c>
      <c r="AU13" s="2998" t="s">
        <v>3590</v>
      </c>
      <c r="AV13" s="2998"/>
      <c r="AW13" s="2994"/>
      <c r="AX13" s="2994"/>
      <c r="AY13" s="3004" t="s">
        <v>3591</v>
      </c>
      <c r="AZ13" s="3016"/>
      <c r="BA13" s="2999"/>
      <c r="BB13" s="2999"/>
      <c r="BC13" s="2995"/>
      <c r="BD13" s="2995"/>
      <c r="BE13" s="2998">
        <v>5000</v>
      </c>
      <c r="BF13" s="2998">
        <v>2000</v>
      </c>
      <c r="BG13" s="3016"/>
      <c r="BH13" s="3016"/>
      <c r="BI13" s="3016"/>
      <c r="BJ13" s="3012"/>
      <c r="BK13" s="3012" t="s">
        <v>3535</v>
      </c>
      <c r="BL13" s="3016"/>
      <c r="BM13" s="3016"/>
      <c r="BN13" s="3016"/>
      <c r="BO13" s="3008">
        <v>16800</v>
      </c>
      <c r="BP13" s="3016"/>
      <c r="BQ13" s="3008">
        <v>18600</v>
      </c>
      <c r="BR13" s="3016"/>
      <c r="BS13" s="3008">
        <v>18000</v>
      </c>
      <c r="BT13" s="3016"/>
      <c r="BU13" s="3008">
        <v>18600</v>
      </c>
      <c r="BV13" s="3016"/>
      <c r="BW13" s="3008">
        <v>18000</v>
      </c>
      <c r="BX13" s="3016"/>
      <c r="BY13" s="3008">
        <v>18600</v>
      </c>
      <c r="BZ13" s="3016"/>
      <c r="CA13" s="3008">
        <v>18600</v>
      </c>
      <c r="CB13" s="3016"/>
      <c r="CC13" s="3008">
        <v>18000</v>
      </c>
      <c r="CD13" s="3016"/>
      <c r="CE13" s="3008">
        <v>18600</v>
      </c>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0">
        <f t="shared" ca="1" si="0"/>
        <v>163800</v>
      </c>
      <c r="DJ13" s="3010">
        <f t="shared" ca="1" si="0"/>
        <v>0</v>
      </c>
    </row>
    <row r="14" spans="1:157" s="3015" customFormat="1" ht="30" customHeight="1">
      <c r="A14" s="3012">
        <f t="shared" si="1"/>
        <v>9</v>
      </c>
      <c r="B14" s="2994">
        <v>41705</v>
      </c>
      <c r="C14" s="2999">
        <v>41705</v>
      </c>
      <c r="D14" s="3012" t="s">
        <v>3584</v>
      </c>
      <c r="E14" s="2997" t="s">
        <v>3592</v>
      </c>
      <c r="F14" s="2995">
        <v>500235</v>
      </c>
      <c r="G14" s="2995" t="s">
        <v>3593</v>
      </c>
      <c r="H14" s="3012" t="s">
        <v>3527</v>
      </c>
      <c r="I14" s="2997" t="s">
        <v>3594</v>
      </c>
      <c r="J14" s="2995" t="s">
        <v>3595</v>
      </c>
      <c r="K14" s="2997" t="s">
        <v>3596</v>
      </c>
      <c r="L14" s="2997" t="s">
        <v>3530</v>
      </c>
      <c r="M14" s="2997" t="s">
        <v>3531</v>
      </c>
      <c r="N14" s="2997" t="s">
        <v>3597</v>
      </c>
      <c r="O14" s="2995">
        <v>237</v>
      </c>
      <c r="P14" s="3012"/>
      <c r="Q14" s="2998">
        <v>40000</v>
      </c>
      <c r="R14" s="2999">
        <v>41708</v>
      </c>
      <c r="S14" s="2998">
        <f>14641+25359</f>
        <v>40000</v>
      </c>
      <c r="T14" s="2999">
        <v>41713</v>
      </c>
      <c r="U14" s="2999">
        <v>41777</v>
      </c>
      <c r="V14" s="2999">
        <v>41837</v>
      </c>
      <c r="W14" s="2995">
        <v>2</v>
      </c>
      <c r="X14" s="2995"/>
      <c r="Y14" s="2999">
        <v>41838</v>
      </c>
      <c r="Z14" s="2999">
        <v>41774</v>
      </c>
      <c r="AA14" s="3107">
        <v>43599</v>
      </c>
      <c r="AB14" s="2997" t="s">
        <v>3580</v>
      </c>
      <c r="AC14" s="3012" t="s">
        <v>3581</v>
      </c>
      <c r="AD14" s="3012">
        <v>3</v>
      </c>
      <c r="AE14" s="3141">
        <f t="shared" si="3"/>
        <v>311418</v>
      </c>
      <c r="AF14" s="2998">
        <v>3.5</v>
      </c>
      <c r="AG14" s="2998">
        <v>106.46</v>
      </c>
      <c r="AH14" s="2998">
        <v>3.5</v>
      </c>
      <c r="AI14" s="2998">
        <v>106.46</v>
      </c>
      <c r="AJ14" s="3134">
        <v>3.6</v>
      </c>
      <c r="AK14" s="3016"/>
      <c r="AL14" s="2998">
        <v>3.7</v>
      </c>
      <c r="AM14" s="3016"/>
      <c r="AN14" s="2998"/>
      <c r="AO14" s="3016"/>
      <c r="AP14" s="2994">
        <v>41838</v>
      </c>
      <c r="AQ14" s="2994">
        <v>43069</v>
      </c>
      <c r="AR14" s="3002" t="s">
        <v>3534</v>
      </c>
      <c r="AS14" s="2998"/>
      <c r="AT14" s="2998">
        <v>9954</v>
      </c>
      <c r="AU14" s="2998">
        <v>0.7</v>
      </c>
      <c r="AV14" s="2998">
        <v>21</v>
      </c>
      <c r="AW14" s="2994">
        <v>41777</v>
      </c>
      <c r="AX14" s="2994">
        <v>43069</v>
      </c>
      <c r="AY14" s="3004" t="s">
        <v>3534</v>
      </c>
      <c r="AZ14" s="3016"/>
      <c r="BA14" s="2999">
        <v>41713</v>
      </c>
      <c r="BB14" s="2999">
        <v>41774</v>
      </c>
      <c r="BC14" s="2995">
        <v>2</v>
      </c>
      <c r="BD14" s="2995"/>
      <c r="BE14" s="2998">
        <v>10000</v>
      </c>
      <c r="BF14" s="2998">
        <v>2370</v>
      </c>
      <c r="BG14" s="3016"/>
      <c r="BH14" s="3016"/>
      <c r="BI14" s="3016"/>
      <c r="BJ14" s="3012"/>
      <c r="BK14" s="3012" t="s">
        <v>3535</v>
      </c>
      <c r="BL14" s="3074"/>
      <c r="BM14" s="3074"/>
      <c r="BN14" s="3074"/>
      <c r="BO14" s="3074"/>
      <c r="BP14" s="3074"/>
      <c r="BQ14" s="3075">
        <v>26022.6</v>
      </c>
      <c r="BR14" s="3075">
        <v>4977</v>
      </c>
      <c r="BS14" s="3075">
        <v>26022.6</v>
      </c>
      <c r="BT14" s="3075">
        <v>4977</v>
      </c>
      <c r="BU14" s="3075">
        <v>26022.6</v>
      </c>
      <c r="BV14" s="3075">
        <v>4977</v>
      </c>
      <c r="BW14" s="3075">
        <v>26022.6</v>
      </c>
      <c r="BX14" s="3075">
        <v>4977</v>
      </c>
      <c r="BY14" s="3075">
        <v>26022.6</v>
      </c>
      <c r="BZ14" s="3075">
        <v>4977</v>
      </c>
      <c r="CA14" s="3075">
        <v>26022.6</v>
      </c>
      <c r="CB14" s="3075">
        <v>4977</v>
      </c>
      <c r="CC14" s="3075">
        <v>26022.6</v>
      </c>
      <c r="CD14" s="3075">
        <v>4977</v>
      </c>
      <c r="CE14" s="3075">
        <v>26022.6</v>
      </c>
      <c r="CF14" s="3075">
        <v>4977</v>
      </c>
      <c r="CG14" s="3075">
        <v>26022.6</v>
      </c>
      <c r="CH14" s="3075">
        <v>4977</v>
      </c>
      <c r="CI14" s="3074"/>
      <c r="CJ14" s="3074"/>
      <c r="CK14" s="3074"/>
      <c r="CL14" s="3074"/>
      <c r="CM14" s="3074"/>
      <c r="CN14" s="3074"/>
      <c r="CO14" s="3074"/>
      <c r="CP14" s="3074"/>
      <c r="CQ14" s="3074"/>
      <c r="CR14" s="3074"/>
      <c r="CS14" s="3074"/>
      <c r="CT14" s="3074"/>
      <c r="CU14" s="3074"/>
      <c r="CV14" s="3074"/>
      <c r="CW14" s="3074"/>
      <c r="CX14" s="3074"/>
      <c r="CY14" s="3074"/>
      <c r="CZ14" s="3074"/>
      <c r="DA14" s="3074"/>
      <c r="DB14" s="3074"/>
      <c r="DC14" s="3074"/>
      <c r="DD14" s="3074"/>
      <c r="DE14" s="3074"/>
      <c r="DF14" s="3074"/>
      <c r="DG14" s="3074"/>
      <c r="DH14" s="3074"/>
      <c r="DI14" s="3010">
        <f t="shared" ca="1" si="0"/>
        <v>234203.40000000002</v>
      </c>
      <c r="DJ14" s="3010">
        <f t="shared" ca="1" si="0"/>
        <v>44793</v>
      </c>
    </row>
    <row r="15" spans="1:157" s="3015" customFormat="1" ht="30" customHeight="1">
      <c r="A15" s="3012">
        <f t="shared" si="1"/>
        <v>10</v>
      </c>
      <c r="B15" s="2994">
        <v>41774</v>
      </c>
      <c r="C15" s="2999">
        <v>41774</v>
      </c>
      <c r="D15" s="3012" t="s">
        <v>3598</v>
      </c>
      <c r="E15" s="2997"/>
      <c r="F15" s="2995">
        <v>500376</v>
      </c>
      <c r="G15" s="2995" t="s">
        <v>3599</v>
      </c>
      <c r="H15" s="3012" t="s">
        <v>3527</v>
      </c>
      <c r="I15" s="2997" t="s">
        <v>3600</v>
      </c>
      <c r="J15" s="2995" t="s">
        <v>3599</v>
      </c>
      <c r="K15" s="2997" t="s">
        <v>3601</v>
      </c>
      <c r="L15" s="2997" t="s">
        <v>3530</v>
      </c>
      <c r="M15" s="2997" t="s">
        <v>3531</v>
      </c>
      <c r="N15" s="2997" t="s">
        <v>3602</v>
      </c>
      <c r="O15" s="2995">
        <v>48</v>
      </c>
      <c r="P15" s="3012"/>
      <c r="Q15" s="2998">
        <v>2928</v>
      </c>
      <c r="R15" s="2999">
        <v>41773</v>
      </c>
      <c r="S15" s="2998">
        <v>2928</v>
      </c>
      <c r="T15" s="2999">
        <v>41774</v>
      </c>
      <c r="U15" s="2999">
        <v>41821</v>
      </c>
      <c r="V15" s="2999">
        <v>41851</v>
      </c>
      <c r="W15" s="2995">
        <v>1</v>
      </c>
      <c r="X15" s="2995"/>
      <c r="Y15" s="2999">
        <v>42917</v>
      </c>
      <c r="Z15" s="2999">
        <v>41821</v>
      </c>
      <c r="AA15" s="3107">
        <v>44012</v>
      </c>
      <c r="AB15" s="2997" t="s">
        <v>3603</v>
      </c>
      <c r="AC15" s="3012"/>
      <c r="AD15" s="3012"/>
      <c r="AE15" s="3139">
        <f t="shared" si="2"/>
        <v>35136</v>
      </c>
      <c r="AF15" s="2998">
        <v>2</v>
      </c>
      <c r="AG15" s="2998">
        <v>61</v>
      </c>
      <c r="AH15" s="2998">
        <v>2</v>
      </c>
      <c r="AI15" s="2998">
        <v>61</v>
      </c>
      <c r="AJ15" s="2998">
        <v>2</v>
      </c>
      <c r="AK15" s="3134">
        <v>61</v>
      </c>
      <c r="AL15" s="2998"/>
      <c r="AM15" s="3016">
        <v>73.81</v>
      </c>
      <c r="AN15" s="2998"/>
      <c r="AO15" s="3016"/>
      <c r="AP15" s="2994">
        <v>41868</v>
      </c>
      <c r="AQ15" s="2994">
        <v>43100</v>
      </c>
      <c r="AR15" s="3002" t="s">
        <v>3534</v>
      </c>
      <c r="AS15" s="2998"/>
      <c r="AT15" s="2998">
        <v>1512</v>
      </c>
      <c r="AU15" s="2998"/>
      <c r="AV15" s="3077" t="s">
        <v>3604</v>
      </c>
      <c r="AW15" s="2994">
        <v>41821</v>
      </c>
      <c r="AX15" s="2994">
        <v>43100</v>
      </c>
      <c r="AY15" s="3004" t="s">
        <v>3534</v>
      </c>
      <c r="AZ15" s="3016"/>
      <c r="BA15" s="2999">
        <v>41774</v>
      </c>
      <c r="BB15" s="2999">
        <v>41820</v>
      </c>
      <c r="BC15" s="2995"/>
      <c r="BD15" s="2995">
        <v>45</v>
      </c>
      <c r="BE15" s="2998">
        <v>3000</v>
      </c>
      <c r="BF15" s="2998">
        <v>480</v>
      </c>
      <c r="BG15" s="3016"/>
      <c r="BH15" s="3016"/>
      <c r="BI15" s="3016"/>
      <c r="BJ15" s="3012"/>
      <c r="BK15" s="3012" t="s">
        <v>3535</v>
      </c>
      <c r="BL15" s="3016"/>
      <c r="BM15" s="3013"/>
      <c r="BN15" s="3013"/>
      <c r="BO15" s="3013"/>
      <c r="BP15" s="3013"/>
      <c r="BQ15" s="3073"/>
      <c r="BR15" s="3073"/>
      <c r="BS15" s="3013">
        <v>2928</v>
      </c>
      <c r="BT15" s="3013">
        <v>1008</v>
      </c>
      <c r="BU15" s="3013">
        <v>2928</v>
      </c>
      <c r="BV15" s="3013">
        <v>1008</v>
      </c>
      <c r="BW15" s="3013">
        <v>2928</v>
      </c>
      <c r="BX15" s="3013">
        <v>1008</v>
      </c>
      <c r="BY15" s="3013">
        <v>2928</v>
      </c>
      <c r="BZ15" s="3013">
        <v>1440</v>
      </c>
      <c r="CA15" s="3013">
        <v>2928</v>
      </c>
      <c r="CB15" s="3013">
        <v>1440</v>
      </c>
      <c r="CC15" s="3013">
        <v>2928</v>
      </c>
      <c r="CD15" s="3013">
        <v>1440</v>
      </c>
      <c r="CE15" s="3013">
        <v>2928</v>
      </c>
      <c r="CF15" s="3013">
        <v>1440</v>
      </c>
      <c r="CG15" s="3013">
        <v>2928</v>
      </c>
      <c r="CH15" s="3013">
        <v>1440</v>
      </c>
      <c r="CI15" s="3013">
        <v>2928</v>
      </c>
      <c r="CJ15" s="3013">
        <v>1440</v>
      </c>
      <c r="CK15" s="3013"/>
      <c r="CL15" s="3013"/>
      <c r="CM15" s="3013"/>
      <c r="CN15" s="3013"/>
      <c r="CO15" s="3013"/>
      <c r="CP15" s="3013"/>
      <c r="CQ15" s="3013"/>
      <c r="CR15" s="3013"/>
      <c r="CS15" s="3013"/>
      <c r="CT15" s="3013"/>
      <c r="CU15" s="3013"/>
      <c r="CV15" s="3013"/>
      <c r="CW15" s="3013"/>
      <c r="CX15" s="3013"/>
      <c r="CY15" s="3013"/>
      <c r="CZ15" s="3013"/>
      <c r="DA15" s="3013"/>
      <c r="DB15" s="3013"/>
      <c r="DC15" s="3013"/>
      <c r="DD15" s="3013"/>
      <c r="DE15" s="3013"/>
      <c r="DF15" s="3013"/>
      <c r="DG15" s="3013"/>
      <c r="DH15" s="3013"/>
      <c r="DI15" s="3010">
        <f t="shared" ca="1" si="0"/>
        <v>26352</v>
      </c>
      <c r="DJ15" s="3010">
        <f t="shared" ca="1" si="0"/>
        <v>11664</v>
      </c>
    </row>
    <row r="16" spans="1:157" s="3015" customFormat="1" ht="30" customHeight="1">
      <c r="A16" s="3012">
        <f t="shared" si="1"/>
        <v>11</v>
      </c>
      <c r="B16" s="2994">
        <v>41467</v>
      </c>
      <c r="C16" s="2999">
        <v>41467</v>
      </c>
      <c r="D16" s="3012" t="s">
        <v>3605</v>
      </c>
      <c r="E16" s="2997" t="s">
        <v>3606</v>
      </c>
      <c r="F16" s="2995">
        <v>500020</v>
      </c>
      <c r="G16" s="2995" t="s">
        <v>3607</v>
      </c>
      <c r="H16" s="3012" t="s">
        <v>3527</v>
      </c>
      <c r="I16" s="2997" t="s">
        <v>3608</v>
      </c>
      <c r="J16" s="2995" t="s">
        <v>3607</v>
      </c>
      <c r="K16" s="2997" t="s">
        <v>3609</v>
      </c>
      <c r="L16" s="2997" t="s">
        <v>3530</v>
      </c>
      <c r="M16" s="2997" t="s">
        <v>3531</v>
      </c>
      <c r="N16" s="2997" t="s">
        <v>3610</v>
      </c>
      <c r="O16" s="2995">
        <v>96</v>
      </c>
      <c r="P16" s="3012"/>
      <c r="Q16" s="2998">
        <v>12775</v>
      </c>
      <c r="R16" s="2999">
        <v>41467</v>
      </c>
      <c r="S16" s="2998">
        <v>12775</v>
      </c>
      <c r="T16" s="2999">
        <v>41518</v>
      </c>
      <c r="U16" s="2999">
        <v>41777</v>
      </c>
      <c r="V16" s="2999">
        <v>41837</v>
      </c>
      <c r="W16" s="2995">
        <v>2</v>
      </c>
      <c r="X16" s="2995"/>
      <c r="Y16" s="2999">
        <v>42856</v>
      </c>
      <c r="Z16" s="2999">
        <v>41760</v>
      </c>
      <c r="AA16" s="3107">
        <v>43585</v>
      </c>
      <c r="AB16" s="2997" t="s">
        <v>3580</v>
      </c>
      <c r="AC16" s="3012" t="s">
        <v>3581</v>
      </c>
      <c r="AD16" s="3012">
        <v>5</v>
      </c>
      <c r="AE16" s="3139">
        <f t="shared" si="2"/>
        <v>135245</v>
      </c>
      <c r="AF16" s="2998">
        <v>3.5</v>
      </c>
      <c r="AG16" s="2998">
        <v>106.46</v>
      </c>
      <c r="AH16" s="2998">
        <v>3.5</v>
      </c>
      <c r="AI16" s="2998">
        <v>106.46</v>
      </c>
      <c r="AJ16" s="2998">
        <v>3.68</v>
      </c>
      <c r="AK16" s="3142">
        <v>117.4</v>
      </c>
      <c r="AL16" s="2998"/>
      <c r="AM16" s="3016">
        <v>117.4</v>
      </c>
      <c r="AN16" s="2998"/>
      <c r="AO16" s="3016"/>
      <c r="AP16" s="2994">
        <v>41838</v>
      </c>
      <c r="AQ16" s="2994">
        <v>43039</v>
      </c>
      <c r="AR16" s="3002" t="s">
        <v>3534</v>
      </c>
      <c r="AS16" s="2998"/>
      <c r="AT16" s="2998">
        <v>2016</v>
      </c>
      <c r="AU16" s="2998"/>
      <c r="AV16" s="2998">
        <v>36</v>
      </c>
      <c r="AW16" s="2994">
        <v>41869</v>
      </c>
      <c r="AX16" s="2994">
        <v>43039</v>
      </c>
      <c r="AY16" s="3004" t="s">
        <v>3534</v>
      </c>
      <c r="AZ16" s="3016"/>
      <c r="BA16" s="2999" t="s">
        <v>3611</v>
      </c>
      <c r="BB16" s="2999" t="s">
        <v>3612</v>
      </c>
      <c r="BC16" s="2995"/>
      <c r="BD16" s="2995" t="s">
        <v>3613</v>
      </c>
      <c r="BE16" s="2998">
        <v>5000</v>
      </c>
      <c r="BF16" s="2998">
        <v>960</v>
      </c>
      <c r="BG16" s="2994">
        <v>42095</v>
      </c>
      <c r="BH16" s="2994">
        <v>42369</v>
      </c>
      <c r="BI16" s="2998">
        <v>13000</v>
      </c>
      <c r="BJ16" s="3012"/>
      <c r="BK16" s="3012" t="s">
        <v>3614</v>
      </c>
      <c r="BL16" s="3074"/>
      <c r="BM16" s="3074"/>
      <c r="BN16" s="3074"/>
      <c r="BO16" s="3074">
        <v>10745.28</v>
      </c>
      <c r="BP16" s="3074">
        <v>2016</v>
      </c>
      <c r="BQ16" s="3074">
        <v>10745.28</v>
      </c>
      <c r="BR16" s="3074">
        <v>2016</v>
      </c>
      <c r="BS16" s="3074">
        <v>10745.28</v>
      </c>
      <c r="BT16" s="3074">
        <v>2016</v>
      </c>
      <c r="BU16" s="3074">
        <v>0</v>
      </c>
      <c r="BV16" s="3074">
        <v>3456</v>
      </c>
      <c r="BW16" s="3074">
        <v>11270.4</v>
      </c>
      <c r="BX16" s="3074">
        <v>3456</v>
      </c>
      <c r="BY16" s="3074">
        <v>11270.4</v>
      </c>
      <c r="BZ16" s="3074">
        <v>3456</v>
      </c>
      <c r="CA16" s="3074">
        <v>11270.4</v>
      </c>
      <c r="CB16" s="3074">
        <v>3456</v>
      </c>
      <c r="CC16" s="3074">
        <v>11270.4</v>
      </c>
      <c r="CD16" s="3074">
        <v>3456</v>
      </c>
      <c r="CE16" s="3074">
        <v>11270.4</v>
      </c>
      <c r="CF16" s="3074">
        <v>3456</v>
      </c>
      <c r="CG16" s="3074"/>
      <c r="CH16" s="3074"/>
      <c r="CI16" s="3074"/>
      <c r="CJ16" s="3074"/>
      <c r="CK16" s="3074"/>
      <c r="CL16" s="3074"/>
      <c r="CM16" s="3074"/>
      <c r="CN16" s="3074"/>
      <c r="CO16" s="3074"/>
      <c r="CP16" s="3074"/>
      <c r="CQ16" s="3074"/>
      <c r="CR16" s="3074"/>
      <c r="CS16" s="3074"/>
      <c r="CT16" s="3074"/>
      <c r="CU16" s="3074"/>
      <c r="CV16" s="3074"/>
      <c r="CW16" s="3074"/>
      <c r="CX16" s="3074"/>
      <c r="CY16" s="3074"/>
      <c r="CZ16" s="3074"/>
      <c r="DA16" s="3074"/>
      <c r="DB16" s="3074"/>
      <c r="DC16" s="3074"/>
      <c r="DD16" s="3074"/>
      <c r="DE16" s="3074"/>
      <c r="DF16" s="3074"/>
      <c r="DG16" s="3074"/>
      <c r="DH16" s="3074"/>
      <c r="DI16" s="3010">
        <f t="shared" ca="1" si="0"/>
        <v>88587.839999999997</v>
      </c>
      <c r="DJ16" s="3010">
        <f t="shared" ca="1" si="0"/>
        <v>26784</v>
      </c>
    </row>
    <row r="17" spans="1:114" s="3015" customFormat="1" ht="30" customHeight="1">
      <c r="A17" s="3012">
        <f t="shared" si="1"/>
        <v>12</v>
      </c>
      <c r="B17" s="2994">
        <v>42174</v>
      </c>
      <c r="C17" s="2999">
        <v>42228</v>
      </c>
      <c r="D17" s="3012" t="s">
        <v>3615</v>
      </c>
      <c r="E17" s="2997" t="s">
        <v>3564</v>
      </c>
      <c r="F17" s="2995">
        <v>500529</v>
      </c>
      <c r="G17" s="2995" t="s">
        <v>3616</v>
      </c>
      <c r="H17" s="3012" t="s">
        <v>3617</v>
      </c>
      <c r="I17" s="2997" t="s">
        <v>3618</v>
      </c>
      <c r="J17" s="2995" t="s">
        <v>3616</v>
      </c>
      <c r="K17" s="2997" t="s">
        <v>3619</v>
      </c>
      <c r="L17" s="2997" t="s">
        <v>3530</v>
      </c>
      <c r="M17" s="2997" t="s">
        <v>3531</v>
      </c>
      <c r="N17" s="2997" t="s">
        <v>3620</v>
      </c>
      <c r="O17" s="2995">
        <v>111</v>
      </c>
      <c r="P17" s="3012" t="s">
        <v>3621</v>
      </c>
      <c r="Q17" s="2998">
        <v>5000</v>
      </c>
      <c r="R17" s="2999">
        <v>42227</v>
      </c>
      <c r="S17" s="2998">
        <v>5000</v>
      </c>
      <c r="T17" s="2999">
        <v>42186</v>
      </c>
      <c r="U17" s="2999">
        <v>42211</v>
      </c>
      <c r="V17" s="2999">
        <v>42241</v>
      </c>
      <c r="W17" s="2995">
        <v>1</v>
      </c>
      <c r="X17" s="2995"/>
      <c r="Y17" s="2999">
        <v>42242</v>
      </c>
      <c r="Z17" s="2999">
        <v>42211</v>
      </c>
      <c r="AA17" s="3107">
        <v>43306</v>
      </c>
      <c r="AB17" s="2997" t="s">
        <v>3622</v>
      </c>
      <c r="AC17" s="3012"/>
      <c r="AD17" s="3012"/>
      <c r="AE17" s="3143">
        <f ca="1">DI17</f>
        <v>37328.18</v>
      </c>
      <c r="AF17" s="2998"/>
      <c r="AG17" s="2998"/>
      <c r="AH17" s="2998"/>
      <c r="AI17" s="2998"/>
      <c r="AJ17" s="2998"/>
      <c r="AK17" s="3016"/>
      <c r="AL17" s="2998"/>
      <c r="AM17" s="3016"/>
      <c r="AN17" s="2998"/>
      <c r="AO17" s="3016"/>
      <c r="AP17" s="2994">
        <v>42211</v>
      </c>
      <c r="AQ17" s="2994">
        <v>42947</v>
      </c>
      <c r="AR17" s="3002" t="s">
        <v>3623</v>
      </c>
      <c r="AS17" s="2998"/>
      <c r="AT17" s="2998"/>
      <c r="AU17" s="2998"/>
      <c r="AV17" s="2998"/>
      <c r="AW17" s="2994"/>
      <c r="AX17" s="2994"/>
      <c r="AY17" s="3004" t="s">
        <v>3624</v>
      </c>
      <c r="AZ17" s="3016"/>
      <c r="BA17" s="2999">
        <v>42186</v>
      </c>
      <c r="BB17" s="2999">
        <v>42210</v>
      </c>
      <c r="BC17" s="2995"/>
      <c r="BD17" s="2995">
        <v>25</v>
      </c>
      <c r="BE17" s="2998">
        <v>5000</v>
      </c>
      <c r="BF17" s="2998">
        <v>1110</v>
      </c>
      <c r="BG17" s="3016"/>
      <c r="BH17" s="3016"/>
      <c r="BI17" s="3016"/>
      <c r="BJ17" s="3012"/>
      <c r="BK17" s="3012" t="s">
        <v>3535</v>
      </c>
      <c r="BL17" s="3074"/>
      <c r="BM17" s="3074">
        <f>2895.45+5654.8</f>
        <v>8550.25</v>
      </c>
      <c r="BN17" s="3074"/>
      <c r="BO17" s="3074">
        <v>2672.73</v>
      </c>
      <c r="BP17" s="3074"/>
      <c r="BQ17" s="3074">
        <v>4617.3100000000004</v>
      </c>
      <c r="BR17" s="3074"/>
      <c r="BS17" s="3074">
        <v>6164.82</v>
      </c>
      <c r="BT17" s="3074"/>
      <c r="BU17" s="3074">
        <v>8213.76</v>
      </c>
      <c r="BV17" s="3074"/>
      <c r="BW17" s="3074">
        <v>3821.04</v>
      </c>
      <c r="BX17" s="3074"/>
      <c r="BY17" s="3074">
        <v>3288.27</v>
      </c>
      <c r="BZ17" s="3074"/>
      <c r="CA17" s="3074"/>
      <c r="CB17" s="3074"/>
      <c r="CC17" s="3074"/>
      <c r="CD17" s="3074"/>
      <c r="CE17" s="3074"/>
      <c r="CF17" s="3074"/>
      <c r="CG17" s="3074"/>
      <c r="CH17" s="3074"/>
      <c r="CI17" s="3074"/>
      <c r="CJ17" s="3074"/>
      <c r="CK17" s="3074"/>
      <c r="CL17" s="3074"/>
      <c r="CM17" s="3074"/>
      <c r="CN17" s="3074"/>
      <c r="CO17" s="3074"/>
      <c r="CP17" s="3074"/>
      <c r="CQ17" s="3074"/>
      <c r="CR17" s="3074"/>
      <c r="CS17" s="3074"/>
      <c r="CT17" s="3074"/>
      <c r="CU17" s="3074"/>
      <c r="CV17" s="3074"/>
      <c r="CW17" s="3074"/>
      <c r="CX17" s="3074"/>
      <c r="CY17" s="3074"/>
      <c r="CZ17" s="3074"/>
      <c r="DA17" s="3074"/>
      <c r="DB17" s="3074"/>
      <c r="DC17" s="3074"/>
      <c r="DD17" s="3074"/>
      <c r="DE17" s="3074"/>
      <c r="DF17" s="3074"/>
      <c r="DG17" s="3074"/>
      <c r="DH17" s="3074"/>
      <c r="DI17" s="3010">
        <f t="shared" ca="1" si="0"/>
        <v>37328.18</v>
      </c>
      <c r="DJ17" s="3010">
        <f t="shared" ca="1" si="0"/>
        <v>0</v>
      </c>
    </row>
    <row r="18" spans="1:114" s="3015" customFormat="1" ht="30" customHeight="1">
      <c r="A18" s="3012">
        <f t="shared" si="1"/>
        <v>13</v>
      </c>
      <c r="B18" s="2994">
        <v>42173</v>
      </c>
      <c r="C18" s="2999">
        <v>42191</v>
      </c>
      <c r="D18" s="3012" t="s">
        <v>3615</v>
      </c>
      <c r="E18" s="2997" t="s">
        <v>3564</v>
      </c>
      <c r="F18" s="2995">
        <v>500530</v>
      </c>
      <c r="G18" s="2995" t="s">
        <v>3625</v>
      </c>
      <c r="H18" s="3012" t="s">
        <v>3617</v>
      </c>
      <c r="I18" s="2997" t="s">
        <v>3626</v>
      </c>
      <c r="J18" s="2995" t="s">
        <v>3627</v>
      </c>
      <c r="K18" s="2997" t="s">
        <v>3628</v>
      </c>
      <c r="L18" s="2997" t="s">
        <v>3530</v>
      </c>
      <c r="M18" s="2997" t="s">
        <v>3531</v>
      </c>
      <c r="N18" s="2997" t="s">
        <v>3629</v>
      </c>
      <c r="O18" s="2995">
        <v>452</v>
      </c>
      <c r="P18" s="3012" t="s">
        <v>3630</v>
      </c>
      <c r="Q18" s="2998">
        <v>10000</v>
      </c>
      <c r="R18" s="2999">
        <v>42208</v>
      </c>
      <c r="S18" s="2998">
        <v>10000</v>
      </c>
      <c r="T18" s="2999">
        <v>42186</v>
      </c>
      <c r="U18" s="2999" t="s">
        <v>3631</v>
      </c>
      <c r="V18" s="2999" t="s">
        <v>3632</v>
      </c>
      <c r="W18" s="2995">
        <v>2</v>
      </c>
      <c r="X18" s="2995"/>
      <c r="Y18" s="2999">
        <v>42278</v>
      </c>
      <c r="Z18" s="2999">
        <v>42248</v>
      </c>
      <c r="AA18" s="3107">
        <v>44074</v>
      </c>
      <c r="AB18" s="2997" t="s">
        <v>3580</v>
      </c>
      <c r="AC18" s="3012"/>
      <c r="AD18" s="3012"/>
      <c r="AE18" s="3143">
        <f ca="1">DI18</f>
        <v>45503.46</v>
      </c>
      <c r="AF18" s="2998"/>
      <c r="AG18" s="2998"/>
      <c r="AH18" s="2998"/>
      <c r="AI18" s="2998"/>
      <c r="AJ18" s="2998"/>
      <c r="AK18" s="3016"/>
      <c r="AL18" s="2998"/>
      <c r="AM18" s="3016"/>
      <c r="AN18" s="2998"/>
      <c r="AO18" s="3016"/>
      <c r="AP18" s="2994">
        <v>42278</v>
      </c>
      <c r="AQ18" s="2994">
        <v>42947</v>
      </c>
      <c r="AR18" s="3002" t="s">
        <v>3623</v>
      </c>
      <c r="AS18" s="2998"/>
      <c r="AT18" s="2998"/>
      <c r="AU18" s="2998"/>
      <c r="AV18" s="2998"/>
      <c r="AW18" s="2994"/>
      <c r="AX18" s="2994"/>
      <c r="AY18" s="3004" t="s">
        <v>3624</v>
      </c>
      <c r="AZ18" s="3016"/>
      <c r="BA18" s="2999">
        <v>42186</v>
      </c>
      <c r="BB18" s="2999">
        <v>42247</v>
      </c>
      <c r="BC18" s="2995">
        <v>2</v>
      </c>
      <c r="BD18" s="2995"/>
      <c r="BE18" s="2998">
        <v>5000</v>
      </c>
      <c r="BF18" s="2998">
        <v>2000</v>
      </c>
      <c r="BG18" s="3016"/>
      <c r="BH18" s="3016"/>
      <c r="BI18" s="3016"/>
      <c r="BJ18" s="3012"/>
      <c r="BK18" s="3012" t="s">
        <v>3535</v>
      </c>
      <c r="BL18" s="3074"/>
      <c r="BM18" s="3074">
        <v>4546.26</v>
      </c>
      <c r="BN18" s="3074"/>
      <c r="BO18" s="3074">
        <v>5684.1</v>
      </c>
      <c r="BP18" s="3074"/>
      <c r="BQ18" s="3074">
        <v>8264.4599999999991</v>
      </c>
      <c r="BR18" s="3074"/>
      <c r="BS18" s="3074">
        <v>8125.8</v>
      </c>
      <c r="BT18" s="3074"/>
      <c r="BU18" s="3074">
        <v>7731.78</v>
      </c>
      <c r="BV18" s="3074"/>
      <c r="BW18" s="3074">
        <v>4704.18</v>
      </c>
      <c r="BX18" s="3074"/>
      <c r="BY18" s="3074">
        <v>6446.88</v>
      </c>
      <c r="BZ18" s="3074"/>
      <c r="CA18" s="3074"/>
      <c r="CB18" s="3074"/>
      <c r="CC18" s="3074"/>
      <c r="CD18" s="3074"/>
      <c r="CE18" s="3074"/>
      <c r="CF18" s="3074"/>
      <c r="CG18" s="3074"/>
      <c r="CH18" s="3074"/>
      <c r="CI18" s="3074"/>
      <c r="CJ18" s="3074"/>
      <c r="CK18" s="3074"/>
      <c r="CL18" s="3074"/>
      <c r="CM18" s="3074"/>
      <c r="CN18" s="3074"/>
      <c r="CO18" s="3074"/>
      <c r="CP18" s="3074"/>
      <c r="CQ18" s="3074"/>
      <c r="CR18" s="3074"/>
      <c r="CS18" s="3074"/>
      <c r="CT18" s="3074"/>
      <c r="CU18" s="3074"/>
      <c r="CV18" s="3074"/>
      <c r="CW18" s="3074"/>
      <c r="CX18" s="3074"/>
      <c r="CY18" s="3074"/>
      <c r="CZ18" s="3074"/>
      <c r="DA18" s="3074"/>
      <c r="DB18" s="3074"/>
      <c r="DC18" s="3074"/>
      <c r="DD18" s="3074"/>
      <c r="DE18" s="3074"/>
      <c r="DF18" s="3074"/>
      <c r="DG18" s="3074"/>
      <c r="DH18" s="3074"/>
      <c r="DI18" s="3010">
        <f t="shared" ca="1" si="0"/>
        <v>45503.46</v>
      </c>
      <c r="DJ18" s="3010">
        <f t="shared" ca="1" si="0"/>
        <v>0</v>
      </c>
    </row>
    <row r="19" spans="1:114" s="3015" customFormat="1" ht="30" customHeight="1">
      <c r="A19" s="3012">
        <f t="shared" si="1"/>
        <v>14</v>
      </c>
      <c r="B19" s="2994">
        <v>42508</v>
      </c>
      <c r="C19" s="2999">
        <v>42509</v>
      </c>
      <c r="D19" s="3012" t="s">
        <v>3633</v>
      </c>
      <c r="E19" s="2997" t="s">
        <v>3634</v>
      </c>
      <c r="F19" s="2995">
        <v>500594</v>
      </c>
      <c r="G19" s="2995" t="s">
        <v>3635</v>
      </c>
      <c r="H19" s="3012" t="s">
        <v>3527</v>
      </c>
      <c r="I19" s="2997" t="s">
        <v>3636</v>
      </c>
      <c r="J19" s="2995" t="s">
        <v>3637</v>
      </c>
      <c r="K19" s="2997" t="s">
        <v>3638</v>
      </c>
      <c r="L19" s="2997" t="s">
        <v>3530</v>
      </c>
      <c r="M19" s="2997" t="s">
        <v>3531</v>
      </c>
      <c r="N19" s="2997" t="s">
        <v>3639</v>
      </c>
      <c r="O19" s="2995">
        <v>80</v>
      </c>
      <c r="P19" s="3012"/>
      <c r="Q19" s="2998">
        <v>20000</v>
      </c>
      <c r="R19" s="2999">
        <v>42509</v>
      </c>
      <c r="S19" s="2998">
        <v>20000</v>
      </c>
      <c r="T19" s="2999">
        <v>42520</v>
      </c>
      <c r="U19" s="2999"/>
      <c r="V19" s="2999"/>
      <c r="W19" s="2995"/>
      <c r="X19" s="2995"/>
      <c r="Y19" s="2999">
        <v>42910</v>
      </c>
      <c r="Z19" s="2999">
        <v>42545</v>
      </c>
      <c r="AA19" s="3107">
        <v>43274</v>
      </c>
      <c r="AB19" s="2997" t="s">
        <v>3569</v>
      </c>
      <c r="AC19" s="3012"/>
      <c r="AD19" s="3012"/>
      <c r="AE19" s="3139">
        <f>ROUND(AI19*12*O19,0)</f>
        <v>151747</v>
      </c>
      <c r="AF19" s="2998"/>
      <c r="AG19" s="2998">
        <v>152</v>
      </c>
      <c r="AH19" s="2998"/>
      <c r="AI19" s="3134">
        <v>158.07</v>
      </c>
      <c r="AJ19" s="2998"/>
      <c r="AK19" s="3016"/>
      <c r="AL19" s="2998"/>
      <c r="AM19" s="3016"/>
      <c r="AN19" s="2998"/>
      <c r="AO19" s="3016"/>
      <c r="AP19" s="2994">
        <v>42545</v>
      </c>
      <c r="AQ19" s="2994">
        <v>43008</v>
      </c>
      <c r="AR19" s="3002" t="s">
        <v>3534</v>
      </c>
      <c r="AS19" s="2998">
        <v>2400</v>
      </c>
      <c r="AT19" s="2998">
        <v>2000</v>
      </c>
      <c r="AU19" s="2998"/>
      <c r="AV19" s="2998">
        <v>45</v>
      </c>
      <c r="AW19" s="2994">
        <v>42545</v>
      </c>
      <c r="AX19" s="2994">
        <v>43008</v>
      </c>
      <c r="AY19" s="3004" t="s">
        <v>3534</v>
      </c>
      <c r="AZ19" s="3016"/>
      <c r="BA19" s="2999">
        <v>42520</v>
      </c>
      <c r="BB19" s="2999">
        <v>42544</v>
      </c>
      <c r="BC19" s="2995"/>
      <c r="BD19" s="2995">
        <v>25</v>
      </c>
      <c r="BE19" s="2998">
        <v>5000</v>
      </c>
      <c r="BF19" s="2998">
        <v>800</v>
      </c>
      <c r="BG19" s="3016"/>
      <c r="BH19" s="3016"/>
      <c r="BI19" s="3016"/>
      <c r="BJ19" s="3012"/>
      <c r="BK19" s="3012" t="s">
        <v>3535</v>
      </c>
      <c r="BL19" s="3074"/>
      <c r="BM19" s="3074">
        <v>12160</v>
      </c>
      <c r="BN19" s="3074">
        <v>2400</v>
      </c>
      <c r="BO19" s="3074">
        <v>12160</v>
      </c>
      <c r="BP19" s="3074">
        <v>2400</v>
      </c>
      <c r="BQ19" s="3074">
        <v>12160</v>
      </c>
      <c r="BR19" s="3074">
        <v>2400</v>
      </c>
      <c r="BS19" s="3074">
        <v>12160</v>
      </c>
      <c r="BT19" s="3074">
        <v>2400</v>
      </c>
      <c r="BU19" s="3074">
        <v>12160</v>
      </c>
      <c r="BV19" s="3074">
        <v>2400</v>
      </c>
      <c r="BW19" s="3074">
        <f>9322.67+2950.64</f>
        <v>12273.31</v>
      </c>
      <c r="BX19" s="3074">
        <f>1840+840</f>
        <v>2680</v>
      </c>
      <c r="BY19" s="3074">
        <v>12645.6</v>
      </c>
      <c r="BZ19" s="3074">
        <v>3600</v>
      </c>
      <c r="CA19" s="3074">
        <v>12645.6</v>
      </c>
      <c r="CB19" s="3074">
        <v>3600</v>
      </c>
      <c r="CC19" s="3074">
        <v>12645.6</v>
      </c>
      <c r="CD19" s="3074">
        <v>3600</v>
      </c>
      <c r="CE19" s="3074"/>
      <c r="CF19" s="3074"/>
      <c r="CG19" s="3074"/>
      <c r="CH19" s="3074"/>
      <c r="CI19" s="3074"/>
      <c r="CJ19" s="3074"/>
      <c r="CK19" s="3074"/>
      <c r="CL19" s="3074"/>
      <c r="CM19" s="3074"/>
      <c r="CN19" s="3074"/>
      <c r="CO19" s="3074"/>
      <c r="CP19" s="3074"/>
      <c r="CQ19" s="3074"/>
      <c r="CR19" s="3074"/>
      <c r="CS19" s="3074"/>
      <c r="CT19" s="3074"/>
      <c r="CU19" s="3074"/>
      <c r="CV19" s="3074"/>
      <c r="CW19" s="3074"/>
      <c r="CX19" s="3074"/>
      <c r="CY19" s="3074"/>
      <c r="CZ19" s="3074"/>
      <c r="DA19" s="3074"/>
      <c r="DB19" s="3074"/>
      <c r="DC19" s="3074"/>
      <c r="DD19" s="3074"/>
      <c r="DE19" s="3074"/>
      <c r="DF19" s="3074"/>
      <c r="DG19" s="3074"/>
      <c r="DH19" s="3074"/>
      <c r="DI19" s="3010">
        <f t="shared" ca="1" si="0"/>
        <v>111010.11000000002</v>
      </c>
      <c r="DJ19" s="3010">
        <f t="shared" ca="1" si="0"/>
        <v>25480</v>
      </c>
    </row>
    <row r="20" spans="1:114" s="3015" customFormat="1" ht="30" customHeight="1">
      <c r="A20" s="3012">
        <f t="shared" si="1"/>
        <v>15</v>
      </c>
      <c r="B20" s="2994">
        <v>41715</v>
      </c>
      <c r="C20" s="2999">
        <v>41720</v>
      </c>
      <c r="D20" s="3012" t="s">
        <v>3640</v>
      </c>
      <c r="E20" s="2997" t="s">
        <v>3564</v>
      </c>
      <c r="F20" s="2995">
        <v>500245</v>
      </c>
      <c r="G20" s="2995" t="s">
        <v>3641</v>
      </c>
      <c r="H20" s="3012" t="s">
        <v>3642</v>
      </c>
      <c r="I20" s="2997" t="s">
        <v>3643</v>
      </c>
      <c r="J20" s="2995" t="s">
        <v>3641</v>
      </c>
      <c r="K20" s="2997" t="s">
        <v>3644</v>
      </c>
      <c r="L20" s="2997" t="s">
        <v>3530</v>
      </c>
      <c r="M20" s="2997" t="s">
        <v>3645</v>
      </c>
      <c r="N20" s="2997" t="s">
        <v>3646</v>
      </c>
      <c r="O20" s="2995">
        <v>92</v>
      </c>
      <c r="P20" s="3012" t="s">
        <v>3647</v>
      </c>
      <c r="Q20" s="2998">
        <v>3000</v>
      </c>
      <c r="R20" s="2999">
        <v>41718</v>
      </c>
      <c r="S20" s="2998">
        <v>3000</v>
      </c>
      <c r="T20" s="2999">
        <v>41718</v>
      </c>
      <c r="U20" s="2999"/>
      <c r="V20" s="2999"/>
      <c r="W20" s="2995"/>
      <c r="X20" s="2995"/>
      <c r="Y20" s="2999">
        <v>42856</v>
      </c>
      <c r="Z20" s="2999">
        <v>41760</v>
      </c>
      <c r="AA20" s="3107">
        <v>43585</v>
      </c>
      <c r="AB20" s="2997" t="s">
        <v>3648</v>
      </c>
      <c r="AC20" s="3012"/>
      <c r="AD20" s="3012"/>
      <c r="AE20" s="3143">
        <f ca="1">DI20</f>
        <v>48874.41</v>
      </c>
      <c r="AF20" s="2998"/>
      <c r="AG20" s="2998"/>
      <c r="AH20" s="2998"/>
      <c r="AI20" s="2998"/>
      <c r="AJ20" s="2998"/>
      <c r="AK20" s="3016"/>
      <c r="AL20" s="2998"/>
      <c r="AM20" s="3016"/>
      <c r="AN20" s="2998"/>
      <c r="AO20" s="3016"/>
      <c r="AP20" s="2994">
        <v>41777</v>
      </c>
      <c r="AQ20" s="2994">
        <v>42978</v>
      </c>
      <c r="AR20" s="3002" t="s">
        <v>3623</v>
      </c>
      <c r="AS20" s="2998"/>
      <c r="AT20" s="2998">
        <v>644</v>
      </c>
      <c r="AU20" s="2998"/>
      <c r="AV20" s="2998">
        <v>45</v>
      </c>
      <c r="AW20" s="2994">
        <v>41777</v>
      </c>
      <c r="AX20" s="2994">
        <v>43039</v>
      </c>
      <c r="AY20" s="3004" t="s">
        <v>3624</v>
      </c>
      <c r="AZ20" s="3016"/>
      <c r="BA20" s="2999">
        <v>41718</v>
      </c>
      <c r="BB20" s="2999">
        <v>41727</v>
      </c>
      <c r="BC20" s="2995"/>
      <c r="BD20" s="2995">
        <v>10</v>
      </c>
      <c r="BE20" s="2998">
        <v>5000</v>
      </c>
      <c r="BF20" s="2998">
        <v>680</v>
      </c>
      <c r="BG20" s="3016"/>
      <c r="BH20" s="3016"/>
      <c r="BI20" s="3016"/>
      <c r="BJ20" s="3012" t="s">
        <v>3544</v>
      </c>
      <c r="BK20" s="3012" t="s">
        <v>3614</v>
      </c>
      <c r="BL20" s="3074"/>
      <c r="BM20" s="3074">
        <f>5000+5464.88</f>
        <v>10464.880000000001</v>
      </c>
      <c r="BN20" s="3074">
        <f>2760+2760</f>
        <v>5520</v>
      </c>
      <c r="BO20" s="3074">
        <v>5000</v>
      </c>
      <c r="BP20" s="3074">
        <v>2760</v>
      </c>
      <c r="BQ20" s="3074">
        <v>5000</v>
      </c>
      <c r="BR20" s="3074">
        <v>2760</v>
      </c>
      <c r="BS20" s="3074">
        <v>5000</v>
      </c>
      <c r="BT20" s="3074">
        <v>2760</v>
      </c>
      <c r="BU20" s="3074">
        <v>6159.53</v>
      </c>
      <c r="BV20" s="3074">
        <v>4140</v>
      </c>
      <c r="BW20" s="3074">
        <v>5750</v>
      </c>
      <c r="BX20" s="3074">
        <v>4140</v>
      </c>
      <c r="BY20" s="3074">
        <v>5750</v>
      </c>
      <c r="BZ20" s="3074">
        <v>4140</v>
      </c>
      <c r="CA20" s="3074">
        <v>5750</v>
      </c>
      <c r="CB20" s="3074">
        <v>4140</v>
      </c>
      <c r="CC20" s="3074"/>
      <c r="CD20" s="3074">
        <v>4140</v>
      </c>
      <c r="CE20" s="3074"/>
      <c r="CF20" s="3074">
        <v>4140</v>
      </c>
      <c r="CG20" s="3074"/>
      <c r="CH20" s="3074"/>
      <c r="CI20" s="3074"/>
      <c r="CJ20" s="3074"/>
      <c r="CK20" s="3074"/>
      <c r="CL20" s="3074"/>
      <c r="CM20" s="3074"/>
      <c r="CN20" s="3074"/>
      <c r="CO20" s="3074"/>
      <c r="CP20" s="3074"/>
      <c r="CQ20" s="3074"/>
      <c r="CR20" s="3074"/>
      <c r="CS20" s="3074"/>
      <c r="CT20" s="3074"/>
      <c r="CU20" s="3074"/>
      <c r="CV20" s="3074"/>
      <c r="CW20" s="3074"/>
      <c r="CX20" s="3074"/>
      <c r="CY20" s="3074"/>
      <c r="CZ20" s="3074"/>
      <c r="DA20" s="3074"/>
      <c r="DB20" s="3074"/>
      <c r="DC20" s="3074"/>
      <c r="DD20" s="3074"/>
      <c r="DE20" s="3074"/>
      <c r="DF20" s="3074"/>
      <c r="DG20" s="3074"/>
      <c r="DH20" s="3074"/>
      <c r="DI20" s="3010">
        <f t="shared" ca="1" si="0"/>
        <v>48874.41</v>
      </c>
      <c r="DJ20" s="3010">
        <f t="shared" ca="1" si="0"/>
        <v>38640</v>
      </c>
    </row>
    <row r="21" spans="1:114" s="3015" customFormat="1" ht="30" customHeight="1">
      <c r="A21" s="3012">
        <f t="shared" si="1"/>
        <v>16</v>
      </c>
      <c r="B21" s="2994">
        <v>42662</v>
      </c>
      <c r="C21" s="2999">
        <v>42668</v>
      </c>
      <c r="D21" s="3012" t="s">
        <v>3649</v>
      </c>
      <c r="E21" s="2997" t="s">
        <v>3564</v>
      </c>
      <c r="F21" s="2995">
        <v>500619</v>
      </c>
      <c r="G21" s="2995" t="s">
        <v>3650</v>
      </c>
      <c r="H21" s="3012" t="s">
        <v>3527</v>
      </c>
      <c r="I21" s="2997" t="s">
        <v>3651</v>
      </c>
      <c r="J21" s="2995" t="s">
        <v>3650</v>
      </c>
      <c r="K21" s="2997" t="s">
        <v>3652</v>
      </c>
      <c r="L21" s="2997" t="s">
        <v>3530</v>
      </c>
      <c r="M21" s="2997" t="s">
        <v>3645</v>
      </c>
      <c r="N21" s="2997" t="s">
        <v>3653</v>
      </c>
      <c r="O21" s="2995">
        <v>103</v>
      </c>
      <c r="P21" s="3012"/>
      <c r="Q21" s="2998">
        <v>9476</v>
      </c>
      <c r="R21" s="2999">
        <v>42662</v>
      </c>
      <c r="S21" s="2998">
        <v>9476</v>
      </c>
      <c r="T21" s="2999">
        <v>42676</v>
      </c>
      <c r="U21" s="2999">
        <v>42721</v>
      </c>
      <c r="V21" s="2999">
        <v>42751</v>
      </c>
      <c r="W21" s="2995">
        <v>1</v>
      </c>
      <c r="X21" s="2995"/>
      <c r="Y21" s="2999">
        <v>42752</v>
      </c>
      <c r="Z21" s="2999">
        <v>42676</v>
      </c>
      <c r="AA21" s="3107">
        <v>43405</v>
      </c>
      <c r="AB21" s="2997" t="s">
        <v>3569</v>
      </c>
      <c r="AC21" s="3012" t="s">
        <v>3570</v>
      </c>
      <c r="AD21" s="3012">
        <v>5</v>
      </c>
      <c r="AE21" s="3139">
        <f>ROUND(AI21*12*O21,0)</f>
        <v>119892</v>
      </c>
      <c r="AF21" s="2998"/>
      <c r="AG21" s="2998">
        <v>92</v>
      </c>
      <c r="AH21" s="3078"/>
      <c r="AI21" s="3134">
        <v>97</v>
      </c>
      <c r="AJ21" s="2998"/>
      <c r="AK21" s="3016"/>
      <c r="AL21" s="2998"/>
      <c r="AM21" s="3016"/>
      <c r="AN21" s="2998"/>
      <c r="AO21" s="3016"/>
      <c r="AP21" s="2994">
        <v>42752</v>
      </c>
      <c r="AQ21" s="2994">
        <v>43100</v>
      </c>
      <c r="AR21" s="3002" t="s">
        <v>3534</v>
      </c>
      <c r="AS21" s="2998">
        <v>3090</v>
      </c>
      <c r="AT21" s="2998">
        <v>4635</v>
      </c>
      <c r="AU21" s="2998"/>
      <c r="AV21" s="2998">
        <v>30</v>
      </c>
      <c r="AW21" s="2994">
        <v>42721</v>
      </c>
      <c r="AX21" s="2994">
        <v>43100</v>
      </c>
      <c r="AY21" s="3004" t="s">
        <v>3534</v>
      </c>
      <c r="AZ21" s="3016"/>
      <c r="BA21" s="2999">
        <v>42676</v>
      </c>
      <c r="BB21" s="2999">
        <v>42720</v>
      </c>
      <c r="BC21" s="2995"/>
      <c r="BD21" s="2995">
        <v>45</v>
      </c>
      <c r="BE21" s="2998">
        <v>5000</v>
      </c>
      <c r="BF21" s="2998">
        <v>1030</v>
      </c>
      <c r="BG21" s="3016"/>
      <c r="BH21" s="3016"/>
      <c r="BI21" s="3016"/>
      <c r="BJ21" s="3012"/>
      <c r="BK21" s="3012" t="s">
        <v>3535</v>
      </c>
      <c r="BL21" s="3016"/>
      <c r="BM21" s="3013"/>
      <c r="BN21" s="3013"/>
      <c r="BO21" s="3013"/>
      <c r="BP21" s="3013"/>
      <c r="BQ21" s="3013"/>
      <c r="BR21" s="3013"/>
      <c r="BS21" s="3013">
        <v>4585.16</v>
      </c>
      <c r="BT21" s="3013">
        <v>1495.16</v>
      </c>
      <c r="BU21" s="3013">
        <v>9476</v>
      </c>
      <c r="BV21" s="3013">
        <v>3090</v>
      </c>
      <c r="BW21" s="3013">
        <v>9476</v>
      </c>
      <c r="BX21" s="3013">
        <v>3090</v>
      </c>
      <c r="BY21" s="3013">
        <v>9476</v>
      </c>
      <c r="BZ21" s="3013">
        <v>3090</v>
      </c>
      <c r="CA21" s="3013">
        <v>9476</v>
      </c>
      <c r="CB21" s="3013">
        <v>3090</v>
      </c>
      <c r="CC21" s="3013">
        <v>9476</v>
      </c>
      <c r="CD21" s="3013">
        <v>3090</v>
      </c>
      <c r="CE21" s="3013">
        <v>9476</v>
      </c>
      <c r="CF21" s="3013">
        <v>3090</v>
      </c>
      <c r="CG21" s="3013">
        <f>315.87+9657.97</f>
        <v>9973.84</v>
      </c>
      <c r="CH21" s="3013">
        <v>3090</v>
      </c>
      <c r="CI21" s="3013">
        <v>9991</v>
      </c>
      <c r="CJ21" s="3013">
        <v>3090</v>
      </c>
      <c r="CK21" s="3013"/>
      <c r="CL21" s="3013"/>
      <c r="CM21" s="3013"/>
      <c r="CN21" s="3013"/>
      <c r="CO21" s="3013"/>
      <c r="CP21" s="3013"/>
      <c r="CQ21" s="3013"/>
      <c r="CR21" s="3013"/>
      <c r="CS21" s="3013"/>
      <c r="CT21" s="3013"/>
      <c r="CU21" s="3013"/>
      <c r="CV21" s="3013"/>
      <c r="CW21" s="3013"/>
      <c r="CX21" s="3013"/>
      <c r="CY21" s="3013"/>
      <c r="CZ21" s="3013"/>
      <c r="DA21" s="3013"/>
      <c r="DB21" s="3013"/>
      <c r="DC21" s="3013"/>
      <c r="DD21" s="3013"/>
      <c r="DE21" s="3013"/>
      <c r="DF21" s="3013"/>
      <c r="DG21" s="3013"/>
      <c r="DH21" s="3013"/>
      <c r="DI21" s="3010">
        <f t="shared" ca="1" si="0"/>
        <v>81406</v>
      </c>
      <c r="DJ21" s="3010">
        <f t="shared" ca="1" si="0"/>
        <v>26215.16</v>
      </c>
    </row>
    <row r="22" spans="1:114" s="3015" customFormat="1" ht="30" customHeight="1">
      <c r="A22" s="3012">
        <f t="shared" si="1"/>
        <v>17</v>
      </c>
      <c r="B22" s="2999">
        <v>41465</v>
      </c>
      <c r="C22" s="2999">
        <v>41466</v>
      </c>
      <c r="D22" s="3012" t="s">
        <v>3654</v>
      </c>
      <c r="E22" s="2997" t="s">
        <v>3537</v>
      </c>
      <c r="F22" s="2995">
        <v>500011</v>
      </c>
      <c r="G22" s="2995" t="s">
        <v>3655</v>
      </c>
      <c r="H22" s="3012" t="s">
        <v>3527</v>
      </c>
      <c r="I22" s="2997" t="s">
        <v>3656</v>
      </c>
      <c r="J22" s="2995" t="s">
        <v>3655</v>
      </c>
      <c r="K22" s="2997" t="s">
        <v>3657</v>
      </c>
      <c r="L22" s="2997" t="s">
        <v>3530</v>
      </c>
      <c r="M22" s="2997" t="s">
        <v>3645</v>
      </c>
      <c r="N22" s="2997" t="s">
        <v>3658</v>
      </c>
      <c r="O22" s="2995">
        <v>78</v>
      </c>
      <c r="P22" s="3012"/>
      <c r="Q22" s="2998">
        <v>8048.25</v>
      </c>
      <c r="R22" s="2999">
        <v>41465</v>
      </c>
      <c r="S22" s="2998">
        <v>8048.25</v>
      </c>
      <c r="T22" s="2999">
        <v>41501</v>
      </c>
      <c r="U22" s="2999"/>
      <c r="V22" s="2999"/>
      <c r="W22" s="2995"/>
      <c r="X22" s="2995"/>
      <c r="Y22" s="2999">
        <v>42736</v>
      </c>
      <c r="Z22" s="2999">
        <v>41760</v>
      </c>
      <c r="AA22" s="3107">
        <v>43465</v>
      </c>
      <c r="AB22" s="2997" t="s">
        <v>3659</v>
      </c>
      <c r="AC22" s="3012"/>
      <c r="AD22" s="3012"/>
      <c r="AE22" s="3139">
        <f t="shared" si="2"/>
        <v>92524</v>
      </c>
      <c r="AF22" s="2998">
        <v>3.5</v>
      </c>
      <c r="AG22" s="2998"/>
      <c r="AH22" s="2998"/>
      <c r="AI22" s="2998" t="s">
        <v>3660</v>
      </c>
      <c r="AJ22" s="2998"/>
      <c r="AK22" s="3134">
        <v>98.85</v>
      </c>
      <c r="AL22" s="2998"/>
      <c r="AM22" s="2998">
        <v>98.85</v>
      </c>
      <c r="AN22" s="2998"/>
      <c r="AO22" s="3016"/>
      <c r="AP22" s="2994">
        <v>41808</v>
      </c>
      <c r="AQ22" s="2994">
        <v>43100</v>
      </c>
      <c r="AR22" s="3002" t="s">
        <v>3534</v>
      </c>
      <c r="AS22" s="2998">
        <v>1890</v>
      </c>
      <c r="AT22" s="2998">
        <v>1984.5</v>
      </c>
      <c r="AU22" s="2998"/>
      <c r="AV22" s="2998">
        <v>45</v>
      </c>
      <c r="AW22" s="2994">
        <v>42217</v>
      </c>
      <c r="AX22" s="2994">
        <v>43100</v>
      </c>
      <c r="AY22" s="3004" t="s">
        <v>3534</v>
      </c>
      <c r="AZ22" s="3016"/>
      <c r="BA22" s="2999"/>
      <c r="BB22" s="2999"/>
      <c r="BC22" s="2995"/>
      <c r="BD22" s="2995">
        <v>45</v>
      </c>
      <c r="BE22" s="2998">
        <v>5000</v>
      </c>
      <c r="BF22" s="2998">
        <v>630</v>
      </c>
      <c r="BG22" s="3016"/>
      <c r="BH22" s="3016"/>
      <c r="BI22" s="3016"/>
      <c r="BJ22" s="3012" t="s">
        <v>3544</v>
      </c>
      <c r="BK22" s="3012" t="s">
        <v>3614</v>
      </c>
      <c r="BL22" s="3074"/>
      <c r="BM22" s="3074">
        <v>7710.3</v>
      </c>
      <c r="BN22" s="3074">
        <v>3510</v>
      </c>
      <c r="BO22" s="3074">
        <v>7710.3</v>
      </c>
      <c r="BP22" s="3074">
        <v>3510</v>
      </c>
      <c r="BQ22" s="3074">
        <v>7710.3</v>
      </c>
      <c r="BR22" s="3074">
        <v>3510</v>
      </c>
      <c r="BS22" s="3074">
        <v>7710.3</v>
      </c>
      <c r="BT22" s="3074">
        <v>3510</v>
      </c>
      <c r="BU22" s="3074">
        <v>7710.3</v>
      </c>
      <c r="BV22" s="3074">
        <v>3510</v>
      </c>
      <c r="BW22" s="3074">
        <v>7710.3</v>
      </c>
      <c r="BX22" s="3074">
        <v>3510</v>
      </c>
      <c r="BY22" s="3074">
        <v>7710.3</v>
      </c>
      <c r="BZ22" s="3074">
        <v>3510</v>
      </c>
      <c r="CA22" s="3074">
        <v>7710.3</v>
      </c>
      <c r="CB22" s="3074">
        <v>3510</v>
      </c>
      <c r="CC22" s="3074">
        <v>7710.3</v>
      </c>
      <c r="CD22" s="3074">
        <v>3510</v>
      </c>
      <c r="CE22" s="3074">
        <v>7710.3</v>
      </c>
      <c r="CF22" s="3074">
        <v>3510</v>
      </c>
      <c r="CG22" s="3074">
        <v>7710.3</v>
      </c>
      <c r="CH22" s="3074">
        <v>3510</v>
      </c>
      <c r="CI22" s="3074">
        <v>7710.3</v>
      </c>
      <c r="CJ22" s="3074">
        <v>3510</v>
      </c>
      <c r="CK22" s="3074"/>
      <c r="CL22" s="3074"/>
      <c r="CM22" s="3074"/>
      <c r="CN22" s="3074"/>
      <c r="CO22" s="3074"/>
      <c r="CP22" s="3074"/>
      <c r="CQ22" s="3074"/>
      <c r="CR22" s="3074"/>
      <c r="CS22" s="3074"/>
      <c r="CT22" s="3074"/>
      <c r="CU22" s="3074"/>
      <c r="CV22" s="3074"/>
      <c r="CW22" s="3074"/>
      <c r="CX22" s="3074"/>
      <c r="CY22" s="3074"/>
      <c r="CZ22" s="3074"/>
      <c r="DA22" s="3074"/>
      <c r="DB22" s="3074"/>
      <c r="DC22" s="3074"/>
      <c r="DD22" s="3074"/>
      <c r="DE22" s="3074"/>
      <c r="DF22" s="3074"/>
      <c r="DG22" s="3074"/>
      <c r="DH22" s="3074"/>
      <c r="DI22" s="3010">
        <f t="shared" ca="1" si="0"/>
        <v>92523.60000000002</v>
      </c>
      <c r="DJ22" s="3010">
        <f t="shared" ca="1" si="0"/>
        <v>42120</v>
      </c>
    </row>
    <row r="23" spans="1:114" s="3015" customFormat="1" ht="30" customHeight="1">
      <c r="A23" s="3012">
        <f t="shared" si="1"/>
        <v>18</v>
      </c>
      <c r="B23" s="2999">
        <v>41765</v>
      </c>
      <c r="C23" s="2999">
        <v>41765</v>
      </c>
      <c r="D23" s="3012" t="s">
        <v>3661</v>
      </c>
      <c r="E23" s="2997" t="s">
        <v>3564</v>
      </c>
      <c r="F23" s="2995">
        <v>500339</v>
      </c>
      <c r="G23" s="2995" t="s">
        <v>3662</v>
      </c>
      <c r="H23" s="3012" t="s">
        <v>3527</v>
      </c>
      <c r="I23" s="2997" t="s">
        <v>3663</v>
      </c>
      <c r="J23" s="2995" t="s">
        <v>3662</v>
      </c>
      <c r="K23" s="2997" t="s">
        <v>3664</v>
      </c>
      <c r="L23" s="2997" t="s">
        <v>3530</v>
      </c>
      <c r="M23" s="2997" t="s">
        <v>3665</v>
      </c>
      <c r="N23" s="2997" t="s">
        <v>3666</v>
      </c>
      <c r="O23" s="2995">
        <v>63</v>
      </c>
      <c r="P23" s="3012"/>
      <c r="Q23" s="2998">
        <v>3904</v>
      </c>
      <c r="R23" s="2999">
        <v>41765</v>
      </c>
      <c r="S23" s="2998">
        <v>3904</v>
      </c>
      <c r="T23" s="2999">
        <v>41768</v>
      </c>
      <c r="U23" s="2999"/>
      <c r="V23" s="2999"/>
      <c r="W23" s="2995"/>
      <c r="X23" s="2995"/>
      <c r="Y23" s="2999">
        <v>42917</v>
      </c>
      <c r="Z23" s="2999">
        <v>41883</v>
      </c>
      <c r="AA23" s="3107">
        <v>43281</v>
      </c>
      <c r="AB23" s="2997" t="s">
        <v>3667</v>
      </c>
      <c r="AC23" s="3012"/>
      <c r="AD23" s="3012"/>
      <c r="AE23" s="3139">
        <f t="shared" si="2"/>
        <v>91786</v>
      </c>
      <c r="AF23" s="2998"/>
      <c r="AG23" s="2998" t="s">
        <v>3668</v>
      </c>
      <c r="AH23" s="2998"/>
      <c r="AI23" s="2998" t="s">
        <v>3669</v>
      </c>
      <c r="AJ23" s="2998"/>
      <c r="AK23" s="3134">
        <v>121.41</v>
      </c>
      <c r="AL23" s="2998"/>
      <c r="AM23" s="3016"/>
      <c r="AN23" s="2998"/>
      <c r="AO23" s="3016"/>
      <c r="AP23" s="2994">
        <v>41883</v>
      </c>
      <c r="AQ23" s="2994">
        <v>43100</v>
      </c>
      <c r="AR23" s="3002" t="s">
        <v>3534</v>
      </c>
      <c r="AS23" s="2998">
        <v>1890</v>
      </c>
      <c r="AT23" s="2998">
        <v>336</v>
      </c>
      <c r="AU23" s="2998"/>
      <c r="AV23" s="2998">
        <v>45</v>
      </c>
      <c r="AW23" s="2994">
        <v>41883</v>
      </c>
      <c r="AX23" s="2994">
        <v>43100</v>
      </c>
      <c r="AY23" s="3004" t="s">
        <v>3534</v>
      </c>
      <c r="AZ23" s="3016"/>
      <c r="BA23" s="2999">
        <v>41768</v>
      </c>
      <c r="BB23" s="2999">
        <v>41782</v>
      </c>
      <c r="BC23" s="2995"/>
      <c r="BD23" s="2995">
        <v>15</v>
      </c>
      <c r="BE23" s="2998">
        <v>3000</v>
      </c>
      <c r="BF23" s="2998">
        <v>320</v>
      </c>
      <c r="BG23" s="3016"/>
      <c r="BH23" s="3016"/>
      <c r="BI23" s="3016"/>
      <c r="BJ23" s="3012"/>
      <c r="BK23" s="3012" t="s">
        <v>3614</v>
      </c>
      <c r="BL23" s="3016"/>
      <c r="BM23" s="3079"/>
      <c r="BN23" s="3079"/>
      <c r="BO23" s="3079"/>
      <c r="BP23" s="3079"/>
      <c r="BQ23" s="3079"/>
      <c r="BR23" s="3079"/>
      <c r="BS23" s="3079">
        <v>6953.94</v>
      </c>
      <c r="BT23" s="3079">
        <v>1890</v>
      </c>
      <c r="BU23" s="3079">
        <v>6953.94</v>
      </c>
      <c r="BV23" s="3079">
        <v>1890</v>
      </c>
      <c r="BW23" s="3079">
        <v>6953.94</v>
      </c>
      <c r="BX23" s="3079">
        <v>1890</v>
      </c>
      <c r="BY23" s="3079">
        <v>7648.83</v>
      </c>
      <c r="BZ23" s="3079">
        <v>2835</v>
      </c>
      <c r="CA23" s="3079">
        <v>7648.83</v>
      </c>
      <c r="CB23" s="3079">
        <v>2835</v>
      </c>
      <c r="CC23" s="3079">
        <v>7648.83</v>
      </c>
      <c r="CD23" s="3079">
        <v>2835</v>
      </c>
      <c r="CE23" s="3079">
        <v>7648.83</v>
      </c>
      <c r="CF23" s="3079">
        <v>2835</v>
      </c>
      <c r="CG23" s="3079">
        <v>7648.83</v>
      </c>
      <c r="CH23" s="3079">
        <v>2835</v>
      </c>
      <c r="CI23" s="3079">
        <v>7648.83</v>
      </c>
      <c r="CJ23" s="3079">
        <v>2835</v>
      </c>
      <c r="CK23" s="3079"/>
      <c r="CL23" s="3079"/>
      <c r="CM23" s="3079"/>
      <c r="CN23" s="3079"/>
      <c r="CO23" s="3079"/>
      <c r="CP23" s="3079"/>
      <c r="CQ23" s="3079"/>
      <c r="CR23" s="3079"/>
      <c r="CS23" s="3079"/>
      <c r="CT23" s="3079"/>
      <c r="CU23" s="3079"/>
      <c r="CV23" s="3079"/>
      <c r="CW23" s="3079"/>
      <c r="CX23" s="3079"/>
      <c r="CY23" s="3079"/>
      <c r="CZ23" s="3079"/>
      <c r="DA23" s="3079"/>
      <c r="DB23" s="3079"/>
      <c r="DC23" s="3079"/>
      <c r="DD23" s="3079"/>
      <c r="DE23" s="3079"/>
      <c r="DF23" s="3079"/>
      <c r="DG23" s="3079"/>
      <c r="DH23" s="3079"/>
      <c r="DI23" s="3010">
        <f t="shared" ca="1" si="0"/>
        <v>66754.8</v>
      </c>
      <c r="DJ23" s="3010">
        <f t="shared" ca="1" si="0"/>
        <v>22680</v>
      </c>
    </row>
    <row r="24" spans="1:114" s="3015" customFormat="1" ht="30" customHeight="1">
      <c r="A24" s="3012">
        <f t="shared" si="1"/>
        <v>19</v>
      </c>
      <c r="B24" s="2999">
        <v>41962</v>
      </c>
      <c r="C24" s="2999">
        <v>41962</v>
      </c>
      <c r="D24" s="3012" t="s">
        <v>3670</v>
      </c>
      <c r="E24" s="2997" t="s">
        <v>3525</v>
      </c>
      <c r="F24" s="2995">
        <v>500472</v>
      </c>
      <c r="G24" s="2995" t="s">
        <v>3671</v>
      </c>
      <c r="H24" s="3012" t="s">
        <v>3527</v>
      </c>
      <c r="I24" s="2997" t="s">
        <v>3672</v>
      </c>
      <c r="J24" s="2995" t="s">
        <v>3671</v>
      </c>
      <c r="K24" s="2997" t="s">
        <v>3673</v>
      </c>
      <c r="L24" s="2997" t="s">
        <v>3530</v>
      </c>
      <c r="M24" s="2997" t="s">
        <v>3665</v>
      </c>
      <c r="N24" s="2997" t="s">
        <v>3674</v>
      </c>
      <c r="O24" s="2995">
        <v>21</v>
      </c>
      <c r="P24" s="3012"/>
      <c r="Q24" s="2998">
        <v>1281</v>
      </c>
      <c r="R24" s="2999">
        <v>41962</v>
      </c>
      <c r="S24" s="2998">
        <v>1281</v>
      </c>
      <c r="T24" s="2999">
        <v>41974</v>
      </c>
      <c r="U24" s="2999"/>
      <c r="V24" s="2999"/>
      <c r="W24" s="2995"/>
      <c r="X24" s="2995"/>
      <c r="Y24" s="2999">
        <v>42917</v>
      </c>
      <c r="Z24" s="2999">
        <v>41979</v>
      </c>
      <c r="AA24" s="3107">
        <v>43281</v>
      </c>
      <c r="AB24" s="2997" t="s">
        <v>3675</v>
      </c>
      <c r="AC24" s="3012"/>
      <c r="AD24" s="3012"/>
      <c r="AE24" s="3139">
        <f t="shared" si="2"/>
        <v>29088</v>
      </c>
      <c r="AF24" s="2998"/>
      <c r="AG24" s="2998">
        <v>61</v>
      </c>
      <c r="AH24" s="2998"/>
      <c r="AI24" s="2998" t="s">
        <v>3676</v>
      </c>
      <c r="AJ24" s="2998"/>
      <c r="AK24" s="3134">
        <v>115.43</v>
      </c>
      <c r="AL24" s="2998"/>
      <c r="AM24" s="3016"/>
      <c r="AN24" s="2998"/>
      <c r="AO24" s="3016"/>
      <c r="AP24" s="2994">
        <v>41979</v>
      </c>
      <c r="AQ24" s="2994">
        <v>43100</v>
      </c>
      <c r="AR24" s="3002" t="s">
        <v>3534</v>
      </c>
      <c r="AS24" s="2998"/>
      <c r="AT24" s="2998">
        <v>94.5</v>
      </c>
      <c r="AU24" s="2998"/>
      <c r="AV24" s="2998">
        <v>45</v>
      </c>
      <c r="AW24" s="2994">
        <v>41979</v>
      </c>
      <c r="AX24" s="2994">
        <v>43100</v>
      </c>
      <c r="AY24" s="3004" t="s">
        <v>3534</v>
      </c>
      <c r="AZ24" s="3016"/>
      <c r="BA24" s="2999">
        <v>41974</v>
      </c>
      <c r="BB24" s="2999">
        <v>41978</v>
      </c>
      <c r="BC24" s="2995"/>
      <c r="BD24" s="2995">
        <v>5</v>
      </c>
      <c r="BE24" s="2998">
        <v>3000</v>
      </c>
      <c r="BF24" s="2998">
        <v>210</v>
      </c>
      <c r="BG24" s="3016"/>
      <c r="BH24" s="3016"/>
      <c r="BI24" s="3016"/>
      <c r="BJ24" s="3012"/>
      <c r="BK24" s="3012" t="s">
        <v>3614</v>
      </c>
      <c r="BL24" s="3074"/>
      <c r="BM24" s="3074"/>
      <c r="BN24" s="3074"/>
      <c r="BO24" s="3074"/>
      <c r="BP24" s="3074"/>
      <c r="BQ24" s="3074"/>
      <c r="BR24" s="3074"/>
      <c r="BS24" s="3074">
        <v>2107.98</v>
      </c>
      <c r="BT24" s="3074">
        <v>630</v>
      </c>
      <c r="BU24" s="3074">
        <v>2107.98</v>
      </c>
      <c r="BV24" s="3074">
        <v>630</v>
      </c>
      <c r="BW24" s="3074">
        <v>2107.98</v>
      </c>
      <c r="BX24" s="3074">
        <v>630</v>
      </c>
      <c r="BY24" s="3074">
        <v>2424.0300000000002</v>
      </c>
      <c r="BZ24" s="3074">
        <v>945</v>
      </c>
      <c r="CA24" s="3074">
        <v>2424.0300000000002</v>
      </c>
      <c r="CB24" s="3074">
        <v>945</v>
      </c>
      <c r="CC24" s="3074">
        <v>2424.0300000000002</v>
      </c>
      <c r="CD24" s="3074">
        <v>945</v>
      </c>
      <c r="CE24" s="3074">
        <v>2424.0300000000002</v>
      </c>
      <c r="CF24" s="3074">
        <v>945</v>
      </c>
      <c r="CG24" s="3074">
        <v>2424.0300000000002</v>
      </c>
      <c r="CH24" s="3074">
        <v>945</v>
      </c>
      <c r="CI24" s="3074">
        <v>2424.0300000000002</v>
      </c>
      <c r="CJ24" s="3074">
        <v>945</v>
      </c>
      <c r="CK24" s="3074"/>
      <c r="CL24" s="3074"/>
      <c r="CM24" s="3074"/>
      <c r="CN24" s="3074"/>
      <c r="CO24" s="3074"/>
      <c r="CP24" s="3074"/>
      <c r="CQ24" s="3074"/>
      <c r="CR24" s="3074"/>
      <c r="CS24" s="3074"/>
      <c r="CT24" s="3074"/>
      <c r="CU24" s="3074"/>
      <c r="CV24" s="3074"/>
      <c r="CW24" s="3074"/>
      <c r="CX24" s="3074"/>
      <c r="CY24" s="3074"/>
      <c r="CZ24" s="3074"/>
      <c r="DA24" s="3074"/>
      <c r="DB24" s="3074"/>
      <c r="DC24" s="3074"/>
      <c r="DD24" s="3074"/>
      <c r="DE24" s="3074"/>
      <c r="DF24" s="3074"/>
      <c r="DG24" s="3074"/>
      <c r="DH24" s="3074"/>
      <c r="DI24" s="3010">
        <f t="shared" ca="1" si="0"/>
        <v>20868.120000000003</v>
      </c>
      <c r="DJ24" s="3010">
        <f t="shared" ca="1" si="0"/>
        <v>7560</v>
      </c>
    </row>
    <row r="25" spans="1:114" s="3015" customFormat="1" ht="30" customHeight="1">
      <c r="A25" s="3012">
        <f t="shared" si="1"/>
        <v>20</v>
      </c>
      <c r="B25" s="2999">
        <v>42947</v>
      </c>
      <c r="C25" s="2999">
        <v>42954</v>
      </c>
      <c r="D25" s="3012" t="s">
        <v>3677</v>
      </c>
      <c r="E25" s="2997" t="s">
        <v>3678</v>
      </c>
      <c r="F25" s="2995">
        <v>500690</v>
      </c>
      <c r="G25" s="2995" t="s">
        <v>3679</v>
      </c>
      <c r="H25" s="3012" t="s">
        <v>3527</v>
      </c>
      <c r="I25" s="2997" t="s">
        <v>3680</v>
      </c>
      <c r="J25" s="2995" t="s">
        <v>3679</v>
      </c>
      <c r="K25" s="2997" t="s">
        <v>3681</v>
      </c>
      <c r="L25" s="2997" t="s">
        <v>3530</v>
      </c>
      <c r="M25" s="2997" t="s">
        <v>3645</v>
      </c>
      <c r="N25" s="2997" t="s">
        <v>3682</v>
      </c>
      <c r="O25" s="2995">
        <v>67</v>
      </c>
      <c r="P25" s="3012"/>
      <c r="Q25" s="2998">
        <v>7169</v>
      </c>
      <c r="R25" s="2999">
        <v>42954</v>
      </c>
      <c r="S25" s="2998">
        <v>7169</v>
      </c>
      <c r="T25" s="2999">
        <v>42972</v>
      </c>
      <c r="U25" s="2999"/>
      <c r="V25" s="2999"/>
      <c r="W25" s="2995"/>
      <c r="X25" s="2995"/>
      <c r="Y25" s="2999">
        <v>43003</v>
      </c>
      <c r="Z25" s="2999">
        <v>42972</v>
      </c>
      <c r="AA25" s="3107">
        <v>43336</v>
      </c>
      <c r="AB25" s="2997" t="s">
        <v>3683</v>
      </c>
      <c r="AC25" s="3012"/>
      <c r="AD25" s="3012"/>
      <c r="AE25" s="3139">
        <f>ROUND(AG25*12*O25,0)</f>
        <v>86028</v>
      </c>
      <c r="AF25" s="2998"/>
      <c r="AG25" s="3134">
        <v>107</v>
      </c>
      <c r="AH25" s="2998"/>
      <c r="AI25" s="2998"/>
      <c r="AJ25" s="2998"/>
      <c r="AK25" s="2998"/>
      <c r="AL25" s="2998"/>
      <c r="AM25" s="3016"/>
      <c r="AN25" s="2998"/>
      <c r="AO25" s="3016"/>
      <c r="AP25" s="2994">
        <v>43003</v>
      </c>
      <c r="AQ25" s="2994">
        <v>43093</v>
      </c>
      <c r="AR25" s="3002" t="s">
        <v>3534</v>
      </c>
      <c r="AS25" s="2998">
        <v>3056.88</v>
      </c>
      <c r="AT25" s="2998">
        <v>3115.5</v>
      </c>
      <c r="AU25" s="2998">
        <v>1.5</v>
      </c>
      <c r="AV25" s="2998"/>
      <c r="AW25" s="2994">
        <v>43003</v>
      </c>
      <c r="AX25" s="2994">
        <v>43093</v>
      </c>
      <c r="AY25" s="3004" t="s">
        <v>3534</v>
      </c>
      <c r="AZ25" s="3016"/>
      <c r="BA25" s="2999">
        <v>42972</v>
      </c>
      <c r="BB25" s="2999">
        <v>43002</v>
      </c>
      <c r="BC25" s="2995">
        <v>1</v>
      </c>
      <c r="BD25" s="2995"/>
      <c r="BE25" s="2998">
        <v>5000</v>
      </c>
      <c r="BF25" s="2998">
        <v>670</v>
      </c>
      <c r="BG25" s="3016"/>
      <c r="BH25" s="3016"/>
      <c r="BI25" s="3016"/>
      <c r="BJ25" s="3012"/>
      <c r="BK25" s="3012" t="s">
        <v>3614</v>
      </c>
      <c r="BL25" s="3074"/>
      <c r="BM25" s="3074"/>
      <c r="BN25" s="3074"/>
      <c r="BO25" s="3074"/>
      <c r="BP25" s="3074"/>
      <c r="BQ25" s="3074"/>
      <c r="BR25" s="3074"/>
      <c r="BS25" s="3074"/>
      <c r="BT25" s="3074"/>
      <c r="BU25" s="3074"/>
      <c r="BV25" s="3074"/>
      <c r="BW25" s="3074"/>
      <c r="BX25" s="3074"/>
      <c r="BY25" s="3074"/>
      <c r="BZ25" s="3074"/>
      <c r="CA25" s="3074"/>
      <c r="CB25" s="3074"/>
      <c r="CC25" s="3074">
        <v>1433.8</v>
      </c>
      <c r="CD25" s="3074">
        <v>603</v>
      </c>
      <c r="CE25" s="3074">
        <v>7169</v>
      </c>
      <c r="CF25" s="3074">
        <v>3115.5</v>
      </c>
      <c r="CG25" s="3074">
        <v>7169</v>
      </c>
      <c r="CH25" s="3074">
        <v>3015</v>
      </c>
      <c r="CI25" s="3074">
        <v>5550.19</v>
      </c>
      <c r="CJ25" s="3074">
        <v>2412</v>
      </c>
      <c r="CK25" s="3074"/>
      <c r="CL25" s="3074"/>
      <c r="CM25" s="3074"/>
      <c r="CN25" s="3074"/>
      <c r="CO25" s="3074"/>
      <c r="CP25" s="3074"/>
      <c r="CQ25" s="3074"/>
      <c r="CR25" s="3074"/>
      <c r="CS25" s="3074"/>
      <c r="CT25" s="3074"/>
      <c r="CU25" s="3074"/>
      <c r="CV25" s="3074"/>
      <c r="CW25" s="3074"/>
      <c r="CX25" s="3074"/>
      <c r="CY25" s="3074"/>
      <c r="CZ25" s="3074"/>
      <c r="DA25" s="3074"/>
      <c r="DB25" s="3074"/>
      <c r="DC25" s="3074"/>
      <c r="DD25" s="3074"/>
      <c r="DE25" s="3074"/>
      <c r="DF25" s="3074"/>
      <c r="DG25" s="3074"/>
      <c r="DH25" s="3074"/>
      <c r="DI25" s="3010">
        <f t="shared" ca="1" si="0"/>
        <v>21321.989999999998</v>
      </c>
      <c r="DJ25" s="3010">
        <f t="shared" ca="1" si="0"/>
        <v>9145.5</v>
      </c>
    </row>
    <row r="26" spans="1:114" s="3015" customFormat="1" ht="30" customHeight="1">
      <c r="A26" s="3012">
        <f t="shared" si="1"/>
        <v>21</v>
      </c>
      <c r="B26" s="2999">
        <v>41775</v>
      </c>
      <c r="C26" s="2999">
        <v>41775</v>
      </c>
      <c r="D26" s="3012" t="s">
        <v>3684</v>
      </c>
      <c r="E26" s="2997" t="s">
        <v>3564</v>
      </c>
      <c r="F26" s="2995">
        <v>500391</v>
      </c>
      <c r="G26" s="2995" t="s">
        <v>3685</v>
      </c>
      <c r="H26" s="3012" t="s">
        <v>3527</v>
      </c>
      <c r="I26" s="2997" t="s">
        <v>3686</v>
      </c>
      <c r="J26" s="2995" t="s">
        <v>3685</v>
      </c>
      <c r="K26" s="2997" t="s">
        <v>3687</v>
      </c>
      <c r="L26" s="2997" t="s">
        <v>3530</v>
      </c>
      <c r="M26" s="2997" t="s">
        <v>3645</v>
      </c>
      <c r="N26" s="2997" t="s">
        <v>3688</v>
      </c>
      <c r="O26" s="2995">
        <v>59</v>
      </c>
      <c r="P26" s="3012"/>
      <c r="Q26" s="2998">
        <v>4148</v>
      </c>
      <c r="R26" s="2999">
        <v>41775</v>
      </c>
      <c r="S26" s="2998">
        <v>4148</v>
      </c>
      <c r="T26" s="2999">
        <v>41779</v>
      </c>
      <c r="U26" s="2999"/>
      <c r="V26" s="2999"/>
      <c r="W26" s="2995"/>
      <c r="X26" s="2995"/>
      <c r="Y26" s="2999">
        <v>42917</v>
      </c>
      <c r="Z26" s="2999">
        <v>41883</v>
      </c>
      <c r="AA26" s="3107">
        <v>43281</v>
      </c>
      <c r="AB26" s="2997" t="s">
        <v>3667</v>
      </c>
      <c r="AC26" s="3012"/>
      <c r="AD26" s="3012"/>
      <c r="AE26" s="3139">
        <f t="shared" si="2"/>
        <v>74906</v>
      </c>
      <c r="AF26" s="2998"/>
      <c r="AG26" s="2998" t="s">
        <v>3689</v>
      </c>
      <c r="AH26" s="2998"/>
      <c r="AI26" s="2998" t="s">
        <v>3690</v>
      </c>
      <c r="AJ26" s="2998"/>
      <c r="AK26" s="3134">
        <v>105.8</v>
      </c>
      <c r="AL26" s="2998"/>
      <c r="AM26" s="3016"/>
      <c r="AN26" s="2998"/>
      <c r="AO26" s="3016"/>
      <c r="AP26" s="2994">
        <v>41883</v>
      </c>
      <c r="AQ26" s="2994">
        <v>43100</v>
      </c>
      <c r="AR26" s="3002" t="s">
        <v>3534</v>
      </c>
      <c r="AS26" s="2998">
        <v>1770</v>
      </c>
      <c r="AT26" s="2998">
        <v>357</v>
      </c>
      <c r="AU26" s="2998"/>
      <c r="AV26" s="2998">
        <v>45</v>
      </c>
      <c r="AW26" s="2994">
        <v>41883</v>
      </c>
      <c r="AX26" s="2994">
        <v>43100</v>
      </c>
      <c r="AY26" s="3004" t="s">
        <v>3534</v>
      </c>
      <c r="AZ26" s="3016"/>
      <c r="BA26" s="2999">
        <v>41779</v>
      </c>
      <c r="BB26" s="2999">
        <v>41793</v>
      </c>
      <c r="BC26" s="2995"/>
      <c r="BD26" s="2995">
        <v>15</v>
      </c>
      <c r="BE26" s="2998">
        <v>3000</v>
      </c>
      <c r="BF26" s="2998">
        <v>400</v>
      </c>
      <c r="BG26" s="3016"/>
      <c r="BH26" s="3016"/>
      <c r="BI26" s="3016"/>
      <c r="BJ26" s="3012"/>
      <c r="BK26" s="3012" t="s">
        <v>3614</v>
      </c>
      <c r="BL26" s="3076"/>
      <c r="BM26" s="3013">
        <v>5428</v>
      </c>
      <c r="BN26" s="3013">
        <v>1770</v>
      </c>
      <c r="BO26" s="3013">
        <v>5428</v>
      </c>
      <c r="BP26" s="3013">
        <v>1770</v>
      </c>
      <c r="BQ26" s="3013">
        <v>5428</v>
      </c>
      <c r="BR26" s="3013">
        <v>1770</v>
      </c>
      <c r="BS26" s="3013">
        <v>5428</v>
      </c>
      <c r="BT26" s="3013">
        <v>1770</v>
      </c>
      <c r="BU26" s="3013">
        <v>5428</v>
      </c>
      <c r="BV26" s="3013">
        <v>1770</v>
      </c>
      <c r="BW26" s="3013">
        <v>5428</v>
      </c>
      <c r="BX26" s="3013">
        <v>1770</v>
      </c>
      <c r="BY26" s="3013">
        <v>6242.2</v>
      </c>
      <c r="BZ26" s="3013">
        <v>2655</v>
      </c>
      <c r="CA26" s="3013">
        <v>6242.2</v>
      </c>
      <c r="CB26" s="3013">
        <v>2655</v>
      </c>
      <c r="CC26" s="3013">
        <v>6242.2</v>
      </c>
      <c r="CD26" s="3013">
        <v>2655</v>
      </c>
      <c r="CE26" s="3013">
        <v>6242.2</v>
      </c>
      <c r="CF26" s="3013">
        <v>2655</v>
      </c>
      <c r="CG26" s="3013">
        <v>6242.2</v>
      </c>
      <c r="CH26" s="3013">
        <v>2655</v>
      </c>
      <c r="CI26" s="3013">
        <v>6242.2</v>
      </c>
      <c r="CJ26" s="3013">
        <v>2655</v>
      </c>
      <c r="CK26" s="3013"/>
      <c r="CL26" s="3013"/>
      <c r="CM26" s="3013"/>
      <c r="CN26" s="3013"/>
      <c r="CO26" s="3013"/>
      <c r="CP26" s="3013"/>
      <c r="CQ26" s="3013"/>
      <c r="CR26" s="3013"/>
      <c r="CS26" s="3013"/>
      <c r="CT26" s="3013"/>
      <c r="CU26" s="3013"/>
      <c r="CV26" s="3013"/>
      <c r="CW26" s="3013"/>
      <c r="CX26" s="3013"/>
      <c r="CY26" s="3013"/>
      <c r="CZ26" s="3013"/>
      <c r="DA26" s="3013"/>
      <c r="DB26" s="3013"/>
      <c r="DC26" s="3013"/>
      <c r="DD26" s="3013"/>
      <c r="DE26" s="3013"/>
      <c r="DF26" s="3013"/>
      <c r="DG26" s="3013"/>
      <c r="DH26" s="3013"/>
      <c r="DI26" s="3010">
        <f t="shared" ca="1" si="0"/>
        <v>70021.199999999983</v>
      </c>
      <c r="DJ26" s="3010">
        <f t="shared" ca="1" si="0"/>
        <v>26550</v>
      </c>
    </row>
    <row r="27" spans="1:114" s="3015" customFormat="1" ht="30" customHeight="1">
      <c r="A27" s="3012">
        <f t="shared" si="1"/>
        <v>22</v>
      </c>
      <c r="B27" s="2999">
        <v>41578</v>
      </c>
      <c r="C27" s="2999">
        <v>41578</v>
      </c>
      <c r="D27" s="3012" t="s">
        <v>3691</v>
      </c>
      <c r="E27" s="2997" t="s">
        <v>3692</v>
      </c>
      <c r="F27" s="2995">
        <v>500183</v>
      </c>
      <c r="G27" s="2995" t="s">
        <v>3693</v>
      </c>
      <c r="H27" s="3012" t="s">
        <v>3527</v>
      </c>
      <c r="I27" s="2997" t="s">
        <v>3694</v>
      </c>
      <c r="J27" s="2995" t="s">
        <v>3693</v>
      </c>
      <c r="K27" s="2997" t="s">
        <v>3695</v>
      </c>
      <c r="L27" s="2997" t="s">
        <v>3530</v>
      </c>
      <c r="M27" s="2997" t="s">
        <v>3665</v>
      </c>
      <c r="N27" s="2997" t="s">
        <v>3696</v>
      </c>
      <c r="O27" s="2995">
        <v>37</v>
      </c>
      <c r="P27" s="3012"/>
      <c r="Q27" s="2998">
        <v>3376</v>
      </c>
      <c r="R27" s="2999">
        <v>41578</v>
      </c>
      <c r="S27" s="2998">
        <v>3376</v>
      </c>
      <c r="T27" s="2999">
        <v>41598</v>
      </c>
      <c r="U27" s="2999">
        <v>41777</v>
      </c>
      <c r="V27" s="2999">
        <v>41807</v>
      </c>
      <c r="W27" s="2995">
        <v>1</v>
      </c>
      <c r="X27" s="2995"/>
      <c r="Y27" s="2999">
        <v>42917</v>
      </c>
      <c r="Z27" s="2999">
        <v>41760</v>
      </c>
      <c r="AA27" s="3107">
        <v>43465</v>
      </c>
      <c r="AB27" s="2997" t="s">
        <v>3697</v>
      </c>
      <c r="AC27" s="3012"/>
      <c r="AD27" s="3012"/>
      <c r="AE27" s="3139">
        <f t="shared" si="2"/>
        <v>53910</v>
      </c>
      <c r="AF27" s="2998">
        <v>3</v>
      </c>
      <c r="AG27" s="2998"/>
      <c r="AH27" s="2998"/>
      <c r="AI27" s="2998">
        <v>100.38</v>
      </c>
      <c r="AJ27" s="2998"/>
      <c r="AK27" s="3144">
        <v>121.42</v>
      </c>
      <c r="AL27" s="2998"/>
      <c r="AM27" s="3016"/>
      <c r="AN27" s="2998"/>
      <c r="AO27" s="3016"/>
      <c r="AP27" s="2994">
        <v>41808</v>
      </c>
      <c r="AQ27" s="2994">
        <v>43100</v>
      </c>
      <c r="AR27" s="3002" t="s">
        <v>3534</v>
      </c>
      <c r="AS27" s="2998">
        <v>1110</v>
      </c>
      <c r="AT27" s="2998">
        <v>518</v>
      </c>
      <c r="AU27" s="2998"/>
      <c r="AV27" s="2998">
        <v>45</v>
      </c>
      <c r="AW27" s="2994">
        <v>41777</v>
      </c>
      <c r="AX27" s="2994">
        <v>43100</v>
      </c>
      <c r="AY27" s="3004" t="s">
        <v>3534</v>
      </c>
      <c r="AZ27" s="3016"/>
      <c r="BA27" s="2999">
        <v>41598</v>
      </c>
      <c r="BB27" s="2999">
        <v>41617</v>
      </c>
      <c r="BC27" s="2995"/>
      <c r="BD27" s="2995">
        <v>20</v>
      </c>
      <c r="BE27" s="2998">
        <v>5000</v>
      </c>
      <c r="BF27" s="2998">
        <v>370</v>
      </c>
      <c r="BG27" s="3016"/>
      <c r="BH27" s="3016"/>
      <c r="BI27" s="2998"/>
      <c r="BJ27" s="3012" t="s">
        <v>3544</v>
      </c>
      <c r="BK27" s="3012" t="s">
        <v>3614</v>
      </c>
      <c r="BL27" s="3074"/>
      <c r="BM27" s="3074"/>
      <c r="BN27" s="3074"/>
      <c r="BO27" s="3074"/>
      <c r="BP27" s="3074"/>
      <c r="BQ27" s="3074"/>
      <c r="BR27" s="3074"/>
      <c r="BS27" s="3074">
        <v>4011.17</v>
      </c>
      <c r="BT27" s="3074">
        <v>1110</v>
      </c>
      <c r="BU27" s="3074">
        <v>4011.17</v>
      </c>
      <c r="BV27" s="3074">
        <v>1110</v>
      </c>
      <c r="BW27" s="3074">
        <v>4011.17</v>
      </c>
      <c r="BX27" s="3074">
        <v>1110</v>
      </c>
      <c r="BY27" s="3074">
        <v>4492.54</v>
      </c>
      <c r="BZ27" s="3074">
        <v>1665</v>
      </c>
      <c r="CA27" s="3074">
        <v>4492.54</v>
      </c>
      <c r="CB27" s="3074">
        <v>1665</v>
      </c>
      <c r="CC27" s="3074">
        <v>4492.54</v>
      </c>
      <c r="CD27" s="3074">
        <v>1665</v>
      </c>
      <c r="CE27" s="3074">
        <v>4492.54</v>
      </c>
      <c r="CF27" s="3074">
        <v>1665</v>
      </c>
      <c r="CG27" s="3074">
        <v>4492.54</v>
      </c>
      <c r="CH27" s="3074">
        <v>1665</v>
      </c>
      <c r="CI27" s="3074">
        <v>4492.54</v>
      </c>
      <c r="CJ27" s="3074">
        <v>1665</v>
      </c>
      <c r="CK27" s="3074"/>
      <c r="CL27" s="3074"/>
      <c r="CM27" s="3074"/>
      <c r="CN27" s="3074"/>
      <c r="CO27" s="3074"/>
      <c r="CP27" s="3074"/>
      <c r="CQ27" s="3074"/>
      <c r="CR27" s="3074"/>
      <c r="CS27" s="3074"/>
      <c r="CT27" s="3074"/>
      <c r="CU27" s="3074"/>
      <c r="CV27" s="3074"/>
      <c r="CW27" s="3074"/>
      <c r="CX27" s="3074"/>
      <c r="CY27" s="3074"/>
      <c r="CZ27" s="3074"/>
      <c r="DA27" s="3074"/>
      <c r="DB27" s="3074"/>
      <c r="DC27" s="3074"/>
      <c r="DD27" s="3074"/>
      <c r="DE27" s="3074"/>
      <c r="DF27" s="3074"/>
      <c r="DG27" s="3074"/>
      <c r="DH27" s="3074"/>
      <c r="DI27" s="3010">
        <f t="shared" ca="1" si="0"/>
        <v>38988.75</v>
      </c>
      <c r="DJ27" s="3010">
        <f t="shared" ca="1" si="0"/>
        <v>13320</v>
      </c>
    </row>
    <row r="28" spans="1:114" s="3015" customFormat="1" ht="30" customHeight="1">
      <c r="A28" s="3012">
        <f t="shared" si="1"/>
        <v>23</v>
      </c>
      <c r="B28" s="2994">
        <v>42566</v>
      </c>
      <c r="C28" s="2999">
        <v>42566</v>
      </c>
      <c r="D28" s="3012" t="s">
        <v>3691</v>
      </c>
      <c r="E28" s="2997" t="s">
        <v>3698</v>
      </c>
      <c r="F28" s="2995">
        <v>500609</v>
      </c>
      <c r="G28" s="2995" t="s">
        <v>3699</v>
      </c>
      <c r="H28" s="3012" t="s">
        <v>3527</v>
      </c>
      <c r="I28" s="2997" t="s">
        <v>3700</v>
      </c>
      <c r="J28" s="2995" t="s">
        <v>3699</v>
      </c>
      <c r="K28" s="2997" t="s">
        <v>3701</v>
      </c>
      <c r="L28" s="2997" t="s">
        <v>3530</v>
      </c>
      <c r="M28" s="2997" t="s">
        <v>3645</v>
      </c>
      <c r="N28" s="2997" t="s">
        <v>3702</v>
      </c>
      <c r="O28" s="2995">
        <v>46</v>
      </c>
      <c r="P28" s="3012"/>
      <c r="Q28" s="2998">
        <f>4232+14715.4</f>
        <v>18947.400000000001</v>
      </c>
      <c r="R28" s="2999" t="s">
        <v>3703</v>
      </c>
      <c r="S28" s="2998">
        <f>4232+14715.4</f>
        <v>18947.400000000001</v>
      </c>
      <c r="T28" s="2999">
        <v>42590</v>
      </c>
      <c r="U28" s="2999"/>
      <c r="V28" s="2999"/>
      <c r="W28" s="2995"/>
      <c r="X28" s="2995"/>
      <c r="Y28" s="2999">
        <v>42985</v>
      </c>
      <c r="Z28" s="2999">
        <v>42588</v>
      </c>
      <c r="AA28" s="3107">
        <v>43349</v>
      </c>
      <c r="AB28" s="2997" t="s">
        <v>3704</v>
      </c>
      <c r="AC28" s="3012"/>
      <c r="AD28" s="3012"/>
      <c r="AE28" s="3139">
        <f>ROUND(AI28*12*O28,0)</f>
        <v>75790</v>
      </c>
      <c r="AF28" s="2998"/>
      <c r="AG28" s="2998">
        <v>92</v>
      </c>
      <c r="AH28" s="2998"/>
      <c r="AI28" s="3134">
        <v>137.30000000000001</v>
      </c>
      <c r="AJ28" s="2998"/>
      <c r="AK28" s="3016"/>
      <c r="AL28" s="2998"/>
      <c r="AM28" s="3016"/>
      <c r="AN28" s="2998"/>
      <c r="AO28" s="3016"/>
      <c r="AP28" s="2994">
        <v>42588</v>
      </c>
      <c r="AQ28" s="2994">
        <v>43069</v>
      </c>
      <c r="AR28" s="3002" t="s">
        <v>3534</v>
      </c>
      <c r="AS28" s="2998">
        <f>1380+4830</f>
        <v>6210</v>
      </c>
      <c r="AT28" s="2998">
        <v>966</v>
      </c>
      <c r="AU28" s="2998"/>
      <c r="AV28" s="2998">
        <v>45</v>
      </c>
      <c r="AW28" s="2994">
        <v>42588</v>
      </c>
      <c r="AX28" s="2994">
        <v>43069</v>
      </c>
      <c r="AY28" s="3004" t="s">
        <v>3534</v>
      </c>
      <c r="AZ28" s="3016"/>
      <c r="BA28" s="2999">
        <v>42567</v>
      </c>
      <c r="BB28" s="2999">
        <v>42587</v>
      </c>
      <c r="BC28" s="2995"/>
      <c r="BD28" s="2995">
        <v>21</v>
      </c>
      <c r="BE28" s="2998">
        <v>3000</v>
      </c>
      <c r="BF28" s="2998">
        <v>460</v>
      </c>
      <c r="BG28" s="3016"/>
      <c r="BH28" s="3016"/>
      <c r="BI28" s="2998">
        <v>600</v>
      </c>
      <c r="BJ28" s="3012"/>
      <c r="BK28" s="3012" t="s">
        <v>3614</v>
      </c>
      <c r="BL28" s="3016"/>
      <c r="BM28" s="3079"/>
      <c r="BN28" s="3079"/>
      <c r="BO28" s="3079">
        <v>4232</v>
      </c>
      <c r="BP28" s="3079">
        <v>1380</v>
      </c>
      <c r="BQ28" s="3079">
        <v>4232</v>
      </c>
      <c r="BR28" s="3079">
        <v>1380</v>
      </c>
      <c r="BS28" s="3079">
        <v>4232</v>
      </c>
      <c r="BT28" s="3079">
        <v>1380</v>
      </c>
      <c r="BU28" s="3079">
        <v>4232</v>
      </c>
      <c r="BV28" s="3079">
        <v>1380</v>
      </c>
      <c r="BW28" s="3079">
        <v>4232</v>
      </c>
      <c r="BX28" s="3079">
        <v>1380</v>
      </c>
      <c r="BY28" s="3079">
        <v>4232</v>
      </c>
      <c r="BZ28" s="3079">
        <v>1380</v>
      </c>
      <c r="CA28" s="3079">
        <v>4232</v>
      </c>
      <c r="CB28" s="3079">
        <v>1380</v>
      </c>
      <c r="CC28" s="3079">
        <f>846.4+5052.64</f>
        <v>5899.04</v>
      </c>
      <c r="CD28" s="3079">
        <f>276+1656</f>
        <v>1932</v>
      </c>
      <c r="CE28" s="3079">
        <v>6315.8</v>
      </c>
      <c r="CF28" s="3079">
        <v>2070</v>
      </c>
      <c r="CG28" s="3079">
        <v>6315.8</v>
      </c>
      <c r="CH28" s="3079">
        <v>2070</v>
      </c>
      <c r="CI28" s="3079"/>
      <c r="CJ28" s="3079"/>
      <c r="CK28" s="3079"/>
      <c r="CL28" s="3079"/>
      <c r="CM28" s="3079"/>
      <c r="CN28" s="3079"/>
      <c r="CO28" s="3079"/>
      <c r="CP28" s="3079"/>
      <c r="CQ28" s="3079"/>
      <c r="CR28" s="3079"/>
      <c r="CS28" s="3079"/>
      <c r="CT28" s="3079"/>
      <c r="CU28" s="3079"/>
      <c r="CV28" s="3079"/>
      <c r="CW28" s="3079"/>
      <c r="CX28" s="3079"/>
      <c r="CY28" s="3079"/>
      <c r="CZ28" s="3079"/>
      <c r="DA28" s="3079"/>
      <c r="DB28" s="3079"/>
      <c r="DC28" s="3079"/>
      <c r="DD28" s="3079"/>
      <c r="DE28" s="3079"/>
      <c r="DF28" s="3079"/>
      <c r="DG28" s="3079"/>
      <c r="DH28" s="3079"/>
      <c r="DI28" s="3010">
        <f t="shared" ca="1" si="0"/>
        <v>48154.640000000007</v>
      </c>
      <c r="DJ28" s="3010">
        <f t="shared" ca="1" si="0"/>
        <v>15732</v>
      </c>
    </row>
    <row r="29" spans="1:114" s="3015" customFormat="1" ht="30" customHeight="1">
      <c r="A29" s="3012">
        <f t="shared" si="1"/>
        <v>24</v>
      </c>
      <c r="B29" s="2994">
        <v>42436</v>
      </c>
      <c r="C29" s="2999">
        <v>42436</v>
      </c>
      <c r="D29" s="3012" t="s">
        <v>3705</v>
      </c>
      <c r="E29" s="2997" t="s">
        <v>3564</v>
      </c>
      <c r="F29" s="2995">
        <v>500577</v>
      </c>
      <c r="G29" s="2995" t="s">
        <v>3706</v>
      </c>
      <c r="H29" s="3012" t="s">
        <v>3527</v>
      </c>
      <c r="I29" s="2997" t="s">
        <v>3707</v>
      </c>
      <c r="J29" s="2995" t="s">
        <v>3706</v>
      </c>
      <c r="K29" s="2997" t="s">
        <v>3708</v>
      </c>
      <c r="L29" s="2997" t="s">
        <v>3530</v>
      </c>
      <c r="M29" s="2997" t="s">
        <v>3645</v>
      </c>
      <c r="N29" s="2997" t="s">
        <v>3709</v>
      </c>
      <c r="O29" s="2995">
        <v>50</v>
      </c>
      <c r="P29" s="3012"/>
      <c r="Q29" s="2998">
        <v>4600</v>
      </c>
      <c r="R29" s="2999">
        <v>42436</v>
      </c>
      <c r="S29" s="2998">
        <v>4600</v>
      </c>
      <c r="T29" s="2999">
        <v>42443</v>
      </c>
      <c r="U29" s="2999"/>
      <c r="V29" s="2999"/>
      <c r="W29" s="2995"/>
      <c r="X29" s="2995"/>
      <c r="Y29" s="2999">
        <v>42838</v>
      </c>
      <c r="Z29" s="2999">
        <v>42473</v>
      </c>
      <c r="AA29" s="3107">
        <v>43202</v>
      </c>
      <c r="AB29" s="2997" t="s">
        <v>3569</v>
      </c>
      <c r="AC29" s="3012"/>
      <c r="AD29" s="3012"/>
      <c r="AE29" s="3139">
        <f>ROUND(AI29*12*O29,0)</f>
        <v>60774</v>
      </c>
      <c r="AF29" s="2998"/>
      <c r="AG29" s="2998">
        <v>92</v>
      </c>
      <c r="AH29" s="2998"/>
      <c r="AI29" s="3134">
        <v>101.29</v>
      </c>
      <c r="AJ29" s="2998"/>
      <c r="AK29" s="3016"/>
      <c r="AL29" s="2998"/>
      <c r="AM29" s="3016"/>
      <c r="AN29" s="2998"/>
      <c r="AO29" s="3016"/>
      <c r="AP29" s="2994">
        <v>42473</v>
      </c>
      <c r="AQ29" s="2994">
        <v>43100</v>
      </c>
      <c r="AR29" s="3002" t="s">
        <v>3534</v>
      </c>
      <c r="AS29" s="2998">
        <v>1500</v>
      </c>
      <c r="AT29" s="2998">
        <v>1500</v>
      </c>
      <c r="AU29" s="2998"/>
      <c r="AV29" s="2998">
        <v>45</v>
      </c>
      <c r="AW29" s="2994">
        <v>42473</v>
      </c>
      <c r="AX29" s="2994">
        <v>43100</v>
      </c>
      <c r="AY29" s="3004" t="s">
        <v>3534</v>
      </c>
      <c r="AZ29" s="3016"/>
      <c r="BA29" s="2999">
        <v>42443</v>
      </c>
      <c r="BB29" s="2999">
        <v>42472</v>
      </c>
      <c r="BC29" s="2995"/>
      <c r="BD29" s="2995">
        <v>30</v>
      </c>
      <c r="BE29" s="2998">
        <v>3000</v>
      </c>
      <c r="BF29" s="2998">
        <v>500</v>
      </c>
      <c r="BG29" s="3016"/>
      <c r="BH29" s="3016"/>
      <c r="BI29" s="3016"/>
      <c r="BJ29" s="3012"/>
      <c r="BK29" s="3012" t="s">
        <v>3614</v>
      </c>
      <c r="BL29" s="3076"/>
      <c r="BM29" s="3013"/>
      <c r="BN29" s="3013"/>
      <c r="BO29" s="3013"/>
      <c r="BP29" s="3013"/>
      <c r="BQ29" s="3013"/>
      <c r="BR29" s="3013"/>
      <c r="BS29" s="3013">
        <v>4878.7</v>
      </c>
      <c r="BT29" s="3013">
        <v>1950</v>
      </c>
      <c r="BU29" s="3013">
        <v>5064.5</v>
      </c>
      <c r="BV29" s="3013">
        <v>2250</v>
      </c>
      <c r="BW29" s="3013">
        <v>5064.5</v>
      </c>
      <c r="BX29" s="3013">
        <v>2250</v>
      </c>
      <c r="BY29" s="3013">
        <v>5064.5</v>
      </c>
      <c r="BZ29" s="3013">
        <v>2250</v>
      </c>
      <c r="CA29" s="3013">
        <v>5064.5</v>
      </c>
      <c r="CB29" s="3013">
        <v>2250</v>
      </c>
      <c r="CC29" s="3013">
        <v>5064.5</v>
      </c>
      <c r="CD29" s="3013">
        <v>2250</v>
      </c>
      <c r="CE29" s="3013">
        <v>5064.5</v>
      </c>
      <c r="CF29" s="3013">
        <v>2250</v>
      </c>
      <c r="CG29" s="3013">
        <v>5064.5</v>
      </c>
      <c r="CH29" s="3013">
        <v>2250</v>
      </c>
      <c r="CI29" s="3013">
        <v>5064.5</v>
      </c>
      <c r="CJ29" s="3013">
        <v>2250</v>
      </c>
      <c r="CK29" s="3013"/>
      <c r="CL29" s="3013"/>
      <c r="CM29" s="3013"/>
      <c r="CN29" s="3013"/>
      <c r="CO29" s="3013"/>
      <c r="CP29" s="3013"/>
      <c r="CQ29" s="3013"/>
      <c r="CR29" s="3013"/>
      <c r="CS29" s="3013"/>
      <c r="CT29" s="3013"/>
      <c r="CU29" s="3013"/>
      <c r="CV29" s="3013"/>
      <c r="CW29" s="3013"/>
      <c r="CX29" s="3013"/>
      <c r="CY29" s="3013"/>
      <c r="CZ29" s="3013"/>
      <c r="DA29" s="3013"/>
      <c r="DB29" s="3013"/>
      <c r="DC29" s="3013"/>
      <c r="DD29" s="3013"/>
      <c r="DE29" s="3013"/>
      <c r="DF29" s="3013"/>
      <c r="DG29" s="3013"/>
      <c r="DH29" s="3013"/>
      <c r="DI29" s="3010">
        <f t="shared" ca="1" si="0"/>
        <v>45394.7</v>
      </c>
      <c r="DJ29" s="3010">
        <f t="shared" ca="1" si="0"/>
        <v>19950</v>
      </c>
    </row>
    <row r="30" spans="1:114" s="3015" customFormat="1" ht="30" customHeight="1">
      <c r="A30" s="3012">
        <f t="shared" si="1"/>
        <v>25</v>
      </c>
      <c r="B30" s="2999">
        <v>41618</v>
      </c>
      <c r="C30" s="2999">
        <v>41618</v>
      </c>
      <c r="D30" s="3012" t="s">
        <v>3710</v>
      </c>
      <c r="E30" s="2997" t="s">
        <v>3537</v>
      </c>
      <c r="F30" s="2995">
        <v>500188</v>
      </c>
      <c r="G30" s="2995" t="s">
        <v>3711</v>
      </c>
      <c r="H30" s="3012" t="s">
        <v>3527</v>
      </c>
      <c r="I30" s="2997" t="s">
        <v>3712</v>
      </c>
      <c r="J30" s="2995" t="s">
        <v>3711</v>
      </c>
      <c r="K30" s="2997" t="s">
        <v>3713</v>
      </c>
      <c r="L30" s="2997" t="s">
        <v>3530</v>
      </c>
      <c r="M30" s="2997" t="s">
        <v>3645</v>
      </c>
      <c r="N30" s="2997" t="s">
        <v>3714</v>
      </c>
      <c r="O30" s="2995">
        <v>21</v>
      </c>
      <c r="P30" s="3012"/>
      <c r="Q30" s="2998">
        <v>2363</v>
      </c>
      <c r="R30" s="2999">
        <v>41618</v>
      </c>
      <c r="S30" s="2998">
        <v>2363</v>
      </c>
      <c r="T30" s="2999">
        <v>41629</v>
      </c>
      <c r="U30" s="2999">
        <v>41777</v>
      </c>
      <c r="V30" s="2999">
        <v>41807</v>
      </c>
      <c r="W30" s="2995">
        <v>1</v>
      </c>
      <c r="X30" s="2995"/>
      <c r="Y30" s="2999">
        <v>42917</v>
      </c>
      <c r="Z30" s="2999">
        <v>41760</v>
      </c>
      <c r="AA30" s="3107">
        <v>43281</v>
      </c>
      <c r="AB30" s="2997" t="s">
        <v>3543</v>
      </c>
      <c r="AC30" s="3012"/>
      <c r="AD30" s="3012"/>
      <c r="AE30" s="3139">
        <f t="shared" si="2"/>
        <v>30595</v>
      </c>
      <c r="AF30" s="2998">
        <v>3</v>
      </c>
      <c r="AG30" s="2998"/>
      <c r="AH30" s="2998"/>
      <c r="AI30" s="2998">
        <v>100.38</v>
      </c>
      <c r="AJ30" s="2998"/>
      <c r="AK30" s="3144">
        <v>121.41</v>
      </c>
      <c r="AL30" s="2998"/>
      <c r="AM30" s="3016"/>
      <c r="AN30" s="2998"/>
      <c r="AO30" s="3016"/>
      <c r="AP30" s="2994">
        <v>41808</v>
      </c>
      <c r="AQ30" s="2994">
        <v>43100</v>
      </c>
      <c r="AR30" s="3002" t="s">
        <v>3534</v>
      </c>
      <c r="AS30" s="2998">
        <v>630</v>
      </c>
      <c r="AT30" s="2998">
        <v>220.5</v>
      </c>
      <c r="AU30" s="2998"/>
      <c r="AV30" s="2998">
        <v>45</v>
      </c>
      <c r="AW30" s="2994">
        <v>41869</v>
      </c>
      <c r="AX30" s="2994">
        <v>43100</v>
      </c>
      <c r="AY30" s="3004" t="s">
        <v>3534</v>
      </c>
      <c r="AZ30" s="3016"/>
      <c r="BA30" s="2999">
        <v>41629</v>
      </c>
      <c r="BB30" s="2999">
        <v>41643</v>
      </c>
      <c r="BC30" s="2995"/>
      <c r="BD30" s="2995">
        <v>15</v>
      </c>
      <c r="BE30" s="2998">
        <v>3000</v>
      </c>
      <c r="BF30" s="2998">
        <v>210</v>
      </c>
      <c r="BG30" s="3016"/>
      <c r="BH30" s="3016"/>
      <c r="BI30" s="3016"/>
      <c r="BJ30" s="3012" t="s">
        <v>3544</v>
      </c>
      <c r="BK30" s="3012" t="s">
        <v>3614</v>
      </c>
      <c r="BL30" s="3074"/>
      <c r="BM30" s="3074">
        <v>2276.61</v>
      </c>
      <c r="BN30" s="3074">
        <v>630</v>
      </c>
      <c r="BO30" s="3074">
        <v>2276.61</v>
      </c>
      <c r="BP30" s="3074">
        <v>630</v>
      </c>
      <c r="BQ30" s="3074">
        <v>2276.61</v>
      </c>
      <c r="BR30" s="3074">
        <v>630</v>
      </c>
      <c r="BS30" s="3074">
        <v>2276.61</v>
      </c>
      <c r="BT30" s="3074">
        <v>630</v>
      </c>
      <c r="BU30" s="3074">
        <v>2276.61</v>
      </c>
      <c r="BV30" s="3074">
        <v>630</v>
      </c>
      <c r="BW30" s="3074">
        <v>2276.61</v>
      </c>
      <c r="BX30" s="3074">
        <v>630</v>
      </c>
      <c r="BY30" s="3074">
        <v>2549.61</v>
      </c>
      <c r="BZ30" s="3074">
        <v>945</v>
      </c>
      <c r="CA30" s="3074">
        <v>2549.61</v>
      </c>
      <c r="CB30" s="3074">
        <v>945</v>
      </c>
      <c r="CC30" s="3074">
        <v>2549.61</v>
      </c>
      <c r="CD30" s="3074">
        <v>945</v>
      </c>
      <c r="CE30" s="3074">
        <v>2549.61</v>
      </c>
      <c r="CF30" s="3074">
        <v>945</v>
      </c>
      <c r="CG30" s="3074">
        <v>2549.61</v>
      </c>
      <c r="CH30" s="3074">
        <v>945</v>
      </c>
      <c r="CI30" s="3074">
        <v>2549.61</v>
      </c>
      <c r="CJ30" s="3074">
        <v>945</v>
      </c>
      <c r="CK30" s="3074"/>
      <c r="CL30" s="3074"/>
      <c r="CM30" s="3074"/>
      <c r="CN30" s="3074"/>
      <c r="CO30" s="3074"/>
      <c r="CP30" s="3074"/>
      <c r="CQ30" s="3074"/>
      <c r="CR30" s="3074"/>
      <c r="CS30" s="3074"/>
      <c r="CT30" s="3074"/>
      <c r="CU30" s="3074"/>
      <c r="CV30" s="3074"/>
      <c r="CW30" s="3074"/>
      <c r="CX30" s="3074"/>
      <c r="CY30" s="3074"/>
      <c r="CZ30" s="3074"/>
      <c r="DA30" s="3074"/>
      <c r="DB30" s="3074"/>
      <c r="DC30" s="3074"/>
      <c r="DD30" s="3074"/>
      <c r="DE30" s="3074"/>
      <c r="DF30" s="3074"/>
      <c r="DG30" s="3074"/>
      <c r="DH30" s="3074"/>
      <c r="DI30" s="3010">
        <f t="shared" ca="1" si="0"/>
        <v>28957.320000000003</v>
      </c>
      <c r="DJ30" s="3010">
        <f t="shared" ca="1" si="0"/>
        <v>9450</v>
      </c>
    </row>
    <row r="31" spans="1:114" s="3015" customFormat="1" ht="30" customHeight="1">
      <c r="A31" s="3012">
        <f t="shared" si="1"/>
        <v>26</v>
      </c>
      <c r="B31" s="2994">
        <v>41718</v>
      </c>
      <c r="C31" s="2999">
        <v>41718</v>
      </c>
      <c r="D31" s="3012" t="s">
        <v>3715</v>
      </c>
      <c r="E31" s="2997" t="s">
        <v>3716</v>
      </c>
      <c r="F31" s="2995">
        <v>500244</v>
      </c>
      <c r="G31" s="2995" t="s">
        <v>3717</v>
      </c>
      <c r="H31" s="3012" t="s">
        <v>3527</v>
      </c>
      <c r="I31" s="2997" t="s">
        <v>3718</v>
      </c>
      <c r="J31" s="2995" t="s">
        <v>3717</v>
      </c>
      <c r="K31" s="2997" t="s">
        <v>3719</v>
      </c>
      <c r="L31" s="2997" t="s">
        <v>3530</v>
      </c>
      <c r="M31" s="2997" t="s">
        <v>3645</v>
      </c>
      <c r="N31" s="2997" t="s">
        <v>3720</v>
      </c>
      <c r="O31" s="2995">
        <v>38</v>
      </c>
      <c r="P31" s="3012"/>
      <c r="Q31" s="2998">
        <v>3500</v>
      </c>
      <c r="R31" s="2999">
        <v>41718</v>
      </c>
      <c r="S31" s="2998">
        <v>3500</v>
      </c>
      <c r="T31" s="2999">
        <v>41726</v>
      </c>
      <c r="U31" s="2999"/>
      <c r="V31" s="2999"/>
      <c r="W31" s="2995"/>
      <c r="X31" s="2995"/>
      <c r="Y31" s="2999">
        <v>42917</v>
      </c>
      <c r="Z31" s="2999">
        <v>41760</v>
      </c>
      <c r="AA31" s="3107">
        <v>43281</v>
      </c>
      <c r="AB31" s="2997" t="s">
        <v>3543</v>
      </c>
      <c r="AC31" s="3012"/>
      <c r="AD31" s="3012"/>
      <c r="AE31" s="3139">
        <f t="shared" si="2"/>
        <v>55363</v>
      </c>
      <c r="AF31" s="2998">
        <v>3</v>
      </c>
      <c r="AG31" s="2998"/>
      <c r="AH31" s="2998"/>
      <c r="AI31" s="2998">
        <v>100.38</v>
      </c>
      <c r="AJ31" s="2998"/>
      <c r="AK31" s="3144">
        <v>121.41</v>
      </c>
      <c r="AL31" s="2998"/>
      <c r="AM31" s="3016"/>
      <c r="AN31" s="2998"/>
      <c r="AO31" s="3016"/>
      <c r="AP31" s="2994">
        <v>41777</v>
      </c>
      <c r="AQ31" s="2994">
        <v>43100</v>
      </c>
      <c r="AR31" s="3002" t="s">
        <v>3534</v>
      </c>
      <c r="AS31" s="2998">
        <v>1140</v>
      </c>
      <c r="AT31" s="2998">
        <v>532</v>
      </c>
      <c r="AU31" s="2998"/>
      <c r="AV31" s="2998">
        <v>45</v>
      </c>
      <c r="AW31" s="2994">
        <v>41777</v>
      </c>
      <c r="AX31" s="2994">
        <v>43100</v>
      </c>
      <c r="AY31" s="3004" t="s">
        <v>3534</v>
      </c>
      <c r="AZ31" s="3016"/>
      <c r="BA31" s="2999">
        <v>41726</v>
      </c>
      <c r="BB31" s="2999">
        <v>41745</v>
      </c>
      <c r="BC31" s="2995"/>
      <c r="BD31" s="2995">
        <v>20</v>
      </c>
      <c r="BE31" s="2998">
        <v>3000</v>
      </c>
      <c r="BF31" s="2998">
        <v>380</v>
      </c>
      <c r="BG31" s="3016"/>
      <c r="BH31" s="3016"/>
      <c r="BI31" s="2998">
        <v>600</v>
      </c>
      <c r="BJ31" s="3012" t="s">
        <v>3544</v>
      </c>
      <c r="BK31" s="3012" t="s">
        <v>3614</v>
      </c>
      <c r="BL31" s="3076"/>
      <c r="BM31" s="3013">
        <v>4119.58</v>
      </c>
      <c r="BN31" s="3013">
        <v>1140</v>
      </c>
      <c r="BO31" s="3013">
        <v>4119.58</v>
      </c>
      <c r="BP31" s="3013">
        <v>1140</v>
      </c>
      <c r="BQ31" s="3013">
        <v>4119.58</v>
      </c>
      <c r="BR31" s="3013">
        <v>1140</v>
      </c>
      <c r="BS31" s="3013">
        <v>4119.58</v>
      </c>
      <c r="BT31" s="3013">
        <v>1140</v>
      </c>
      <c r="BU31" s="3013">
        <v>4119.58</v>
      </c>
      <c r="BV31" s="3013">
        <v>1140</v>
      </c>
      <c r="BW31" s="3013">
        <v>4119.58</v>
      </c>
      <c r="BX31" s="3013">
        <v>1140</v>
      </c>
      <c r="BY31" s="3013">
        <v>4613.58</v>
      </c>
      <c r="BZ31" s="3013">
        <v>1710</v>
      </c>
      <c r="CA31" s="3013">
        <v>4613.58</v>
      </c>
      <c r="CB31" s="3013">
        <v>1710</v>
      </c>
      <c r="CC31" s="3013">
        <v>4613.58</v>
      </c>
      <c r="CD31" s="3013">
        <v>1710</v>
      </c>
      <c r="CE31" s="3013">
        <v>4613.58</v>
      </c>
      <c r="CF31" s="3013">
        <v>1710</v>
      </c>
      <c r="CG31" s="3013">
        <v>4613.58</v>
      </c>
      <c r="CH31" s="3013">
        <v>1710</v>
      </c>
      <c r="CI31" s="3013">
        <v>4613.58</v>
      </c>
      <c r="CJ31" s="3013">
        <v>1710</v>
      </c>
      <c r="CK31" s="3013"/>
      <c r="CL31" s="3013"/>
      <c r="CM31" s="3013"/>
      <c r="CN31" s="3013"/>
      <c r="CO31" s="3013"/>
      <c r="CP31" s="3013"/>
      <c r="CQ31" s="3013"/>
      <c r="CR31" s="3013"/>
      <c r="CS31" s="3013"/>
      <c r="CT31" s="3013"/>
      <c r="CU31" s="3013"/>
      <c r="CV31" s="3013"/>
      <c r="CW31" s="3013"/>
      <c r="CX31" s="3013"/>
      <c r="CY31" s="3013"/>
      <c r="CZ31" s="3013"/>
      <c r="DA31" s="3013"/>
      <c r="DB31" s="3013"/>
      <c r="DC31" s="3013"/>
      <c r="DD31" s="3013"/>
      <c r="DE31" s="3013"/>
      <c r="DF31" s="3013"/>
      <c r="DG31" s="3013"/>
      <c r="DH31" s="3013"/>
      <c r="DI31" s="3010">
        <f t="shared" ca="1" si="0"/>
        <v>52398.960000000014</v>
      </c>
      <c r="DJ31" s="3010">
        <f t="shared" ca="1" si="0"/>
        <v>17100</v>
      </c>
    </row>
    <row r="32" spans="1:114" s="3015" customFormat="1" ht="30" customHeight="1">
      <c r="A32" s="3012">
        <f t="shared" si="1"/>
        <v>27</v>
      </c>
      <c r="B32" s="2994">
        <v>42558</v>
      </c>
      <c r="C32" s="2999">
        <v>42558</v>
      </c>
      <c r="D32" s="3012" t="s">
        <v>3721</v>
      </c>
      <c r="E32" s="2997" t="s">
        <v>3564</v>
      </c>
      <c r="F32" s="2995">
        <v>500614</v>
      </c>
      <c r="G32" s="2995" t="s">
        <v>3722</v>
      </c>
      <c r="H32" s="3012" t="s">
        <v>3527</v>
      </c>
      <c r="I32" s="2997" t="s">
        <v>3723</v>
      </c>
      <c r="J32" s="2995" t="s">
        <v>3722</v>
      </c>
      <c r="K32" s="2997" t="s">
        <v>3724</v>
      </c>
      <c r="L32" s="2997" t="s">
        <v>3530</v>
      </c>
      <c r="M32" s="2997" t="s">
        <v>3645</v>
      </c>
      <c r="N32" s="2997" t="s">
        <v>3725</v>
      </c>
      <c r="O32" s="2995">
        <v>12</v>
      </c>
      <c r="P32" s="3012"/>
      <c r="Q32" s="2998">
        <v>1800</v>
      </c>
      <c r="R32" s="2999">
        <v>42558</v>
      </c>
      <c r="S32" s="2998">
        <v>1800</v>
      </c>
      <c r="T32" s="2999">
        <v>42568</v>
      </c>
      <c r="U32" s="2999"/>
      <c r="V32" s="2999"/>
      <c r="W32" s="2995"/>
      <c r="X32" s="2995"/>
      <c r="Y32" s="2999">
        <v>42948</v>
      </c>
      <c r="Z32" s="2999">
        <v>42583</v>
      </c>
      <c r="AA32" s="3107">
        <v>43312</v>
      </c>
      <c r="AB32" s="2997" t="s">
        <v>3569</v>
      </c>
      <c r="AC32" s="3012"/>
      <c r="AD32" s="3012"/>
      <c r="AE32" s="3139">
        <f>ROUND(AI32*12*O32,0)</f>
        <v>24091</v>
      </c>
      <c r="AF32" s="2998"/>
      <c r="AG32" s="2998">
        <v>150</v>
      </c>
      <c r="AH32" s="2998"/>
      <c r="AI32" s="3134">
        <v>167.3</v>
      </c>
      <c r="AJ32" s="2998"/>
      <c r="AK32" s="3016"/>
      <c r="AL32" s="2998"/>
      <c r="AM32" s="3016"/>
      <c r="AN32" s="2998"/>
      <c r="AO32" s="3016"/>
      <c r="AP32" s="2994">
        <v>42583</v>
      </c>
      <c r="AQ32" s="2994">
        <v>43039</v>
      </c>
      <c r="AR32" s="3002" t="s">
        <v>3534</v>
      </c>
      <c r="AS32" s="2998">
        <v>360</v>
      </c>
      <c r="AT32" s="2998">
        <v>180</v>
      </c>
      <c r="AU32" s="2998"/>
      <c r="AV32" s="2998">
        <v>45</v>
      </c>
      <c r="AW32" s="2994">
        <v>42583</v>
      </c>
      <c r="AX32" s="2994">
        <v>43039</v>
      </c>
      <c r="AY32" s="3004" t="s">
        <v>3534</v>
      </c>
      <c r="AZ32" s="3016"/>
      <c r="BA32" s="2999">
        <v>42568</v>
      </c>
      <c r="BB32" s="2999">
        <v>42582</v>
      </c>
      <c r="BC32" s="2995"/>
      <c r="BD32" s="2995">
        <v>15</v>
      </c>
      <c r="BE32" s="2998">
        <v>3000</v>
      </c>
      <c r="BF32" s="2998">
        <v>120</v>
      </c>
      <c r="BG32" s="3016"/>
      <c r="BH32" s="3016"/>
      <c r="BI32" s="3016"/>
      <c r="BJ32" s="3012"/>
      <c r="BK32" s="3012" t="s">
        <v>3535</v>
      </c>
      <c r="BL32" s="3074"/>
      <c r="BM32" s="3074"/>
      <c r="BN32" s="3074"/>
      <c r="BO32" s="3074">
        <v>1800</v>
      </c>
      <c r="BP32" s="3074">
        <v>360</v>
      </c>
      <c r="BQ32" s="3074">
        <v>1800</v>
      </c>
      <c r="BR32" s="3074">
        <v>360</v>
      </c>
      <c r="BS32" s="3074">
        <v>1800</v>
      </c>
      <c r="BT32" s="3074">
        <v>360</v>
      </c>
      <c r="BU32" s="3074">
        <v>1800</v>
      </c>
      <c r="BV32" s="3074">
        <v>360</v>
      </c>
      <c r="BW32" s="3074">
        <v>1800</v>
      </c>
      <c r="BX32" s="3074">
        <v>360</v>
      </c>
      <c r="BY32" s="3074">
        <v>1800</v>
      </c>
      <c r="BZ32" s="3074">
        <v>360</v>
      </c>
      <c r="CA32" s="3074">
        <v>2007.6</v>
      </c>
      <c r="CB32" s="3074">
        <v>540</v>
      </c>
      <c r="CC32" s="3074">
        <v>2007.6</v>
      </c>
      <c r="CD32" s="3074">
        <v>540</v>
      </c>
      <c r="CE32" s="3074">
        <v>2007.6</v>
      </c>
      <c r="CF32" s="3074">
        <v>540</v>
      </c>
      <c r="CG32" s="3074"/>
      <c r="CH32" s="3074"/>
      <c r="CI32" s="3074"/>
      <c r="CJ32" s="3074"/>
      <c r="CK32" s="3074"/>
      <c r="CL32" s="3074"/>
      <c r="CM32" s="3074"/>
      <c r="CN32" s="3074"/>
      <c r="CO32" s="3074"/>
      <c r="CP32" s="3074"/>
      <c r="CQ32" s="3074"/>
      <c r="CR32" s="3074"/>
      <c r="CS32" s="3074"/>
      <c r="CT32" s="3074"/>
      <c r="CU32" s="3074"/>
      <c r="CV32" s="3074"/>
      <c r="CW32" s="3074"/>
      <c r="CX32" s="3074"/>
      <c r="CY32" s="3074"/>
      <c r="CZ32" s="3074"/>
      <c r="DA32" s="3074"/>
      <c r="DB32" s="3074"/>
      <c r="DC32" s="3074"/>
      <c r="DD32" s="3074"/>
      <c r="DE32" s="3074"/>
      <c r="DF32" s="3074"/>
      <c r="DG32" s="3074"/>
      <c r="DH32" s="3074"/>
      <c r="DI32" s="3010">
        <f t="shared" ca="1" si="0"/>
        <v>16822.8</v>
      </c>
      <c r="DJ32" s="3010">
        <f t="shared" ca="1" si="0"/>
        <v>3780</v>
      </c>
    </row>
    <row r="33" spans="1:114" s="3015" customFormat="1" ht="30" customHeight="1">
      <c r="A33" s="3012">
        <f t="shared" si="1"/>
        <v>28</v>
      </c>
      <c r="B33" s="2994">
        <v>41747</v>
      </c>
      <c r="C33" s="2999">
        <v>41748</v>
      </c>
      <c r="D33" s="3012" t="s">
        <v>3726</v>
      </c>
      <c r="E33" s="2997" t="s">
        <v>3564</v>
      </c>
      <c r="F33" s="2995">
        <v>500305</v>
      </c>
      <c r="G33" s="2995" t="s">
        <v>3727</v>
      </c>
      <c r="H33" s="3012" t="s">
        <v>3642</v>
      </c>
      <c r="I33" s="2997" t="s">
        <v>3728</v>
      </c>
      <c r="J33" s="2995" t="s">
        <v>3727</v>
      </c>
      <c r="K33" s="2997" t="s">
        <v>3729</v>
      </c>
      <c r="L33" s="2997" t="s">
        <v>3530</v>
      </c>
      <c r="M33" s="2997" t="s">
        <v>3645</v>
      </c>
      <c r="N33" s="2997" t="s">
        <v>3730</v>
      </c>
      <c r="O33" s="2995">
        <v>67</v>
      </c>
      <c r="P33" s="3012" t="s">
        <v>3647</v>
      </c>
      <c r="Q33" s="2998">
        <v>5621</v>
      </c>
      <c r="R33" s="2999">
        <v>41777</v>
      </c>
      <c r="S33" s="2998">
        <v>5621</v>
      </c>
      <c r="T33" s="2999">
        <v>41750</v>
      </c>
      <c r="U33" s="2999"/>
      <c r="V33" s="2999"/>
      <c r="W33" s="2995"/>
      <c r="X33" s="2995"/>
      <c r="Y33" s="2999">
        <v>42873</v>
      </c>
      <c r="Z33" s="2999">
        <v>41777</v>
      </c>
      <c r="AA33" s="3107">
        <v>43602</v>
      </c>
      <c r="AB33" s="2997" t="s">
        <v>3648</v>
      </c>
      <c r="AC33" s="3012"/>
      <c r="AD33" s="3012"/>
      <c r="AE33" s="3143">
        <f ca="1">DI33</f>
        <v>51605.71</v>
      </c>
      <c r="AF33" s="2998"/>
      <c r="AG33" s="2998"/>
      <c r="AH33" s="2998"/>
      <c r="AI33" s="2998"/>
      <c r="AJ33" s="2998"/>
      <c r="AK33" s="3016"/>
      <c r="AL33" s="2998"/>
      <c r="AM33" s="3016"/>
      <c r="AN33" s="2998"/>
      <c r="AO33" s="3016"/>
      <c r="AP33" s="2994">
        <v>41777</v>
      </c>
      <c r="AQ33" s="2994">
        <v>42978</v>
      </c>
      <c r="AR33" s="3002" t="s">
        <v>3623</v>
      </c>
      <c r="AS33" s="2998"/>
      <c r="AT33" s="2998">
        <v>1022</v>
      </c>
      <c r="AU33" s="2998"/>
      <c r="AV33" s="2998">
        <v>45</v>
      </c>
      <c r="AW33" s="2994">
        <v>41777</v>
      </c>
      <c r="AX33" s="2994">
        <v>43039</v>
      </c>
      <c r="AY33" s="3004" t="s">
        <v>3624</v>
      </c>
      <c r="AZ33" s="3016"/>
      <c r="BA33" s="2999">
        <v>41750</v>
      </c>
      <c r="BB33" s="2999">
        <v>41769</v>
      </c>
      <c r="BC33" s="2995"/>
      <c r="BD33" s="2995">
        <v>20</v>
      </c>
      <c r="BE33" s="2998">
        <v>5000</v>
      </c>
      <c r="BF33" s="2998">
        <v>730</v>
      </c>
      <c r="BG33" s="3016"/>
      <c r="BH33" s="3016"/>
      <c r="BI33" s="3016"/>
      <c r="BJ33" s="3012" t="s">
        <v>3544</v>
      </c>
      <c r="BK33" s="3012" t="s">
        <v>3614</v>
      </c>
      <c r="BL33" s="3074"/>
      <c r="BM33" s="3074">
        <f>4000+9764.85</f>
        <v>13764.85</v>
      </c>
      <c r="BN33" s="3074">
        <f>2010+2010</f>
        <v>4020</v>
      </c>
      <c r="BO33" s="3074">
        <v>4000</v>
      </c>
      <c r="BP33" s="3074">
        <v>2010</v>
      </c>
      <c r="BQ33" s="3074">
        <v>4473.54</v>
      </c>
      <c r="BR33" s="3074">
        <v>2010</v>
      </c>
      <c r="BS33" s="3074">
        <v>6549.32</v>
      </c>
      <c r="BT33" s="3074">
        <v>2010</v>
      </c>
      <c r="BU33" s="3074">
        <v>7050.24</v>
      </c>
      <c r="BV33" s="3074">
        <f>1102.26+1361.61</f>
        <v>2463.87</v>
      </c>
      <c r="BW33" s="3074">
        <v>4800</v>
      </c>
      <c r="BX33" s="3074">
        <v>3015</v>
      </c>
      <c r="BY33" s="3074">
        <v>4800</v>
      </c>
      <c r="BZ33" s="3074">
        <v>3015</v>
      </c>
      <c r="CA33" s="3074">
        <v>6167.76</v>
      </c>
      <c r="CB33" s="3074">
        <v>3015</v>
      </c>
      <c r="CC33" s="3074"/>
      <c r="CD33" s="3074">
        <v>3015</v>
      </c>
      <c r="CE33" s="3074"/>
      <c r="CF33" s="3074">
        <v>3015</v>
      </c>
      <c r="CG33" s="3074"/>
      <c r="CH33" s="3074"/>
      <c r="CI33" s="3074"/>
      <c r="CJ33" s="3074"/>
      <c r="CK33" s="3074"/>
      <c r="CL33" s="3074"/>
      <c r="CM33" s="3074"/>
      <c r="CN33" s="3074"/>
      <c r="CO33" s="3074"/>
      <c r="CP33" s="3074"/>
      <c r="CQ33" s="3074"/>
      <c r="CR33" s="3074"/>
      <c r="CS33" s="3074"/>
      <c r="CT33" s="3074"/>
      <c r="CU33" s="3074"/>
      <c r="CV33" s="3074"/>
      <c r="CW33" s="3074"/>
      <c r="CX33" s="3074"/>
      <c r="CY33" s="3074"/>
      <c r="CZ33" s="3074"/>
      <c r="DA33" s="3074"/>
      <c r="DB33" s="3074"/>
      <c r="DC33" s="3074"/>
      <c r="DD33" s="3074"/>
      <c r="DE33" s="3074"/>
      <c r="DF33" s="3074"/>
      <c r="DG33" s="3074"/>
      <c r="DH33" s="3074"/>
      <c r="DI33" s="3010">
        <f t="shared" ca="1" si="0"/>
        <v>51605.71</v>
      </c>
      <c r="DJ33" s="3010">
        <f t="shared" ca="1" si="0"/>
        <v>27588.87</v>
      </c>
    </row>
    <row r="34" spans="1:114" s="3015" customFormat="1" ht="30" customHeight="1">
      <c r="A34" s="3012">
        <f t="shared" si="1"/>
        <v>29</v>
      </c>
      <c r="B34" s="2994">
        <v>42437</v>
      </c>
      <c r="C34" s="2999">
        <v>42438</v>
      </c>
      <c r="D34" s="3012" t="s">
        <v>3731</v>
      </c>
      <c r="E34" s="2997" t="s">
        <v>3564</v>
      </c>
      <c r="F34" s="2995">
        <v>500576</v>
      </c>
      <c r="G34" s="2995" t="s">
        <v>3732</v>
      </c>
      <c r="H34" s="3012" t="s">
        <v>3527</v>
      </c>
      <c r="I34" s="2997" t="s">
        <v>3733</v>
      </c>
      <c r="J34" s="2995" t="s">
        <v>3732</v>
      </c>
      <c r="K34" s="2997" t="s">
        <v>3734</v>
      </c>
      <c r="L34" s="2997" t="s">
        <v>3530</v>
      </c>
      <c r="M34" s="2997" t="s">
        <v>3645</v>
      </c>
      <c r="N34" s="2997" t="s">
        <v>3735</v>
      </c>
      <c r="O34" s="2995">
        <v>156</v>
      </c>
      <c r="P34" s="3012"/>
      <c r="Q34" s="2998">
        <v>10920</v>
      </c>
      <c r="R34" s="2999">
        <v>42438</v>
      </c>
      <c r="S34" s="2998">
        <v>10920</v>
      </c>
      <c r="T34" s="2999">
        <v>42446</v>
      </c>
      <c r="U34" s="2999" t="s">
        <v>3736</v>
      </c>
      <c r="V34" s="2999" t="s">
        <v>3737</v>
      </c>
      <c r="W34" s="2995">
        <v>2</v>
      </c>
      <c r="X34" s="2995"/>
      <c r="Y34" s="2999">
        <v>42538</v>
      </c>
      <c r="Z34" s="2999">
        <v>42507</v>
      </c>
      <c r="AA34" s="3107">
        <v>43601</v>
      </c>
      <c r="AB34" s="2997" t="s">
        <v>3622</v>
      </c>
      <c r="AC34" s="3012" t="s">
        <v>3581</v>
      </c>
      <c r="AD34" s="3012">
        <v>5</v>
      </c>
      <c r="AE34" s="3139">
        <f>ROUND(AI34*12*O34,0)</f>
        <v>131040</v>
      </c>
      <c r="AF34" s="2998"/>
      <c r="AG34" s="2998">
        <v>70</v>
      </c>
      <c r="AH34" s="2998"/>
      <c r="AI34" s="3134">
        <v>70</v>
      </c>
      <c r="AJ34" s="2998"/>
      <c r="AK34" s="2998">
        <v>74</v>
      </c>
      <c r="AL34" s="2998"/>
      <c r="AM34" s="3016"/>
      <c r="AN34" s="2998"/>
      <c r="AO34" s="3016"/>
      <c r="AP34" s="2994">
        <v>42538</v>
      </c>
      <c r="AQ34" s="2994">
        <v>43069</v>
      </c>
      <c r="AR34" s="3002" t="s">
        <v>3534</v>
      </c>
      <c r="AS34" s="2998">
        <v>4680</v>
      </c>
      <c r="AT34" s="2998">
        <v>9360</v>
      </c>
      <c r="AU34" s="2998"/>
      <c r="AV34" s="2998">
        <v>30</v>
      </c>
      <c r="AW34" s="2994">
        <v>42507</v>
      </c>
      <c r="AX34" s="2994">
        <v>43069</v>
      </c>
      <c r="AY34" s="3002" t="s">
        <v>3534</v>
      </c>
      <c r="AZ34" s="3016"/>
      <c r="BA34" s="2999">
        <v>42446</v>
      </c>
      <c r="BB34" s="2999">
        <v>42506</v>
      </c>
      <c r="BC34" s="2995">
        <v>2</v>
      </c>
      <c r="BD34" s="2995"/>
      <c r="BE34" s="2998">
        <v>3000</v>
      </c>
      <c r="BF34" s="2998">
        <v>1560</v>
      </c>
      <c r="BG34" s="3016"/>
      <c r="BH34" s="3016"/>
      <c r="BI34" s="3016"/>
      <c r="BJ34" s="3012"/>
      <c r="BK34" s="3012" t="s">
        <v>3535</v>
      </c>
      <c r="BL34" s="3074"/>
      <c r="BM34" s="3074"/>
      <c r="BN34" s="3074"/>
      <c r="BO34" s="3074"/>
      <c r="BP34" s="3074"/>
      <c r="BQ34" s="3074">
        <v>10920</v>
      </c>
      <c r="BR34" s="3074">
        <v>4680</v>
      </c>
      <c r="BS34" s="3074">
        <v>10920</v>
      </c>
      <c r="BT34" s="3074">
        <v>4680</v>
      </c>
      <c r="BU34" s="3074">
        <v>5636.13</v>
      </c>
      <c r="BV34" s="3074">
        <v>4680</v>
      </c>
      <c r="BW34" s="3074">
        <v>5096</v>
      </c>
      <c r="BX34" s="3074">
        <v>4680</v>
      </c>
      <c r="BY34" s="3074">
        <v>10920</v>
      </c>
      <c r="BZ34" s="3074">
        <v>4680</v>
      </c>
      <c r="CA34" s="3074">
        <v>10920</v>
      </c>
      <c r="CB34" s="3074">
        <v>4680</v>
      </c>
      <c r="CC34" s="3074">
        <v>10920</v>
      </c>
      <c r="CD34" s="3074">
        <v>4680</v>
      </c>
      <c r="CE34" s="3074">
        <v>10920</v>
      </c>
      <c r="CF34" s="3074">
        <v>4680</v>
      </c>
      <c r="CG34" s="3074">
        <v>10920</v>
      </c>
      <c r="CH34" s="3074">
        <v>4680</v>
      </c>
      <c r="CI34" s="3074"/>
      <c r="CJ34" s="3074"/>
      <c r="CK34" s="3074"/>
      <c r="CL34" s="3074"/>
      <c r="CM34" s="3074"/>
      <c r="CN34" s="3074"/>
      <c r="CO34" s="3074"/>
      <c r="CP34" s="3074"/>
      <c r="CQ34" s="3074"/>
      <c r="CR34" s="3074"/>
      <c r="CS34" s="3074"/>
      <c r="CT34" s="3074"/>
      <c r="CU34" s="3074"/>
      <c r="CV34" s="3074"/>
      <c r="CW34" s="3074"/>
      <c r="CX34" s="3074"/>
      <c r="CY34" s="3074"/>
      <c r="CZ34" s="3074"/>
      <c r="DA34" s="3074"/>
      <c r="DB34" s="3074"/>
      <c r="DC34" s="3074"/>
      <c r="DD34" s="3074"/>
      <c r="DE34" s="3074"/>
      <c r="DF34" s="3074"/>
      <c r="DG34" s="3074"/>
      <c r="DH34" s="3074"/>
      <c r="DI34" s="3010">
        <f t="shared" ca="1" si="0"/>
        <v>87172.13</v>
      </c>
      <c r="DJ34" s="3010">
        <f t="shared" ca="1" si="0"/>
        <v>42120</v>
      </c>
    </row>
    <row r="35" spans="1:114" s="3015" customFormat="1" ht="30" customHeight="1">
      <c r="A35" s="3012">
        <f t="shared" si="1"/>
        <v>30</v>
      </c>
      <c r="B35" s="2994">
        <v>42551</v>
      </c>
      <c r="C35" s="2999">
        <v>42551</v>
      </c>
      <c r="D35" s="3012" t="s">
        <v>3691</v>
      </c>
      <c r="E35" s="2997" t="s">
        <v>3698</v>
      </c>
      <c r="F35" s="2995">
        <v>500613</v>
      </c>
      <c r="G35" s="2995" t="s">
        <v>3738</v>
      </c>
      <c r="H35" s="3012" t="s">
        <v>3527</v>
      </c>
      <c r="I35" s="2997" t="s">
        <v>3739</v>
      </c>
      <c r="J35" s="2995" t="s">
        <v>3738</v>
      </c>
      <c r="K35" s="2997" t="s">
        <v>3740</v>
      </c>
      <c r="L35" s="2997" t="s">
        <v>3530</v>
      </c>
      <c r="M35" s="2997" t="s">
        <v>3645</v>
      </c>
      <c r="N35" s="2997" t="s">
        <v>3741</v>
      </c>
      <c r="O35" s="2995">
        <v>51.08</v>
      </c>
      <c r="P35" s="3012"/>
      <c r="Q35" s="2998">
        <f>5704+10662</f>
        <v>16366</v>
      </c>
      <c r="R35" s="2999" t="s">
        <v>3742</v>
      </c>
      <c r="S35" s="2998">
        <f>5704+10662</f>
        <v>16366</v>
      </c>
      <c r="T35" s="2999">
        <v>42583</v>
      </c>
      <c r="U35" s="2999"/>
      <c r="V35" s="2999"/>
      <c r="W35" s="2995"/>
      <c r="X35" s="2995"/>
      <c r="Y35" s="2999">
        <v>42978</v>
      </c>
      <c r="Z35" s="2999">
        <v>42613</v>
      </c>
      <c r="AA35" s="3107">
        <v>43342</v>
      </c>
      <c r="AB35" s="2997" t="s">
        <v>3743</v>
      </c>
      <c r="AC35" s="3012"/>
      <c r="AD35" s="3012"/>
      <c r="AE35" s="3139">
        <f>ROUND(AI35*12*O35,0)</f>
        <v>65464</v>
      </c>
      <c r="AF35" s="2998"/>
      <c r="AG35" s="2998">
        <v>92</v>
      </c>
      <c r="AH35" s="2998"/>
      <c r="AI35" s="3134">
        <v>106.8</v>
      </c>
      <c r="AJ35" s="2998"/>
      <c r="AK35" s="3016"/>
      <c r="AL35" s="2998"/>
      <c r="AM35" s="3016"/>
      <c r="AN35" s="2998"/>
      <c r="AO35" s="3016"/>
      <c r="AP35" s="2994">
        <v>42613</v>
      </c>
      <c r="AQ35" s="2994">
        <v>43039</v>
      </c>
      <c r="AR35" s="3002" t="s">
        <v>3744</v>
      </c>
      <c r="AS35" s="2998">
        <v>6895.8</v>
      </c>
      <c r="AT35" s="2998">
        <f>1860-327.6</f>
        <v>1532.4</v>
      </c>
      <c r="AU35" s="2998"/>
      <c r="AV35" s="2998">
        <v>45</v>
      </c>
      <c r="AW35" s="2994">
        <v>42613</v>
      </c>
      <c r="AX35" s="2994">
        <v>43039</v>
      </c>
      <c r="AY35" s="3002" t="s">
        <v>3623</v>
      </c>
      <c r="AZ35" s="3016"/>
      <c r="BA35" s="2999">
        <v>42583</v>
      </c>
      <c r="BB35" s="2999">
        <v>42612</v>
      </c>
      <c r="BC35" s="2995"/>
      <c r="BD35" s="2995">
        <v>30</v>
      </c>
      <c r="BE35" s="2998">
        <v>3000</v>
      </c>
      <c r="BF35" s="2998">
        <v>620</v>
      </c>
      <c r="BG35" s="3016"/>
      <c r="BH35" s="3016"/>
      <c r="BI35" s="3016"/>
      <c r="BJ35" s="3012"/>
      <c r="BK35" s="3012" t="s">
        <v>3614</v>
      </c>
      <c r="BL35" s="3016"/>
      <c r="BM35" s="3079"/>
      <c r="BN35" s="3079"/>
      <c r="BO35" s="3079"/>
      <c r="BP35" s="3079"/>
      <c r="BQ35" s="3013">
        <v>4699.3599999999997</v>
      </c>
      <c r="BR35" s="3013">
        <v>1532.4</v>
      </c>
      <c r="BS35" s="3013">
        <v>4699.3599999999997</v>
      </c>
      <c r="BT35" s="3013">
        <v>1532.4</v>
      </c>
      <c r="BU35" s="3013">
        <v>4699.3599999999997</v>
      </c>
      <c r="BV35" s="3013">
        <v>1532.4</v>
      </c>
      <c r="BW35" s="3013">
        <v>4699.3599999999997</v>
      </c>
      <c r="BX35" s="3013">
        <v>1532.4</v>
      </c>
      <c r="BY35" s="3013">
        <v>4699.3599999999997</v>
      </c>
      <c r="BZ35" s="3013">
        <v>1532.4</v>
      </c>
      <c r="CA35" s="3013">
        <f>4547.77+175.98</f>
        <v>4723.75</v>
      </c>
      <c r="CB35" s="3013">
        <f>74.15+1482.97</f>
        <v>1557.1200000000001</v>
      </c>
      <c r="CC35" s="3013">
        <v>5455.34</v>
      </c>
      <c r="CD35" s="3013">
        <v>2298.6</v>
      </c>
      <c r="CE35" s="3013">
        <v>5455.34</v>
      </c>
      <c r="CF35" s="3013">
        <v>2298.6</v>
      </c>
      <c r="CG35" s="3013"/>
      <c r="CH35" s="3013"/>
      <c r="CI35" s="3013"/>
      <c r="CJ35" s="3013"/>
      <c r="CK35" s="3013"/>
      <c r="CL35" s="3013"/>
      <c r="CM35" s="3013"/>
      <c r="CN35" s="3013"/>
      <c r="CO35" s="3013"/>
      <c r="CP35" s="3013"/>
      <c r="CQ35" s="3013"/>
      <c r="CR35" s="3013"/>
      <c r="CS35" s="3013"/>
      <c r="CT35" s="3013"/>
      <c r="CU35" s="3013"/>
      <c r="CV35" s="3013"/>
      <c r="CW35" s="3013"/>
      <c r="CX35" s="3013"/>
      <c r="CY35" s="3013"/>
      <c r="CZ35" s="3013"/>
      <c r="DA35" s="3013"/>
      <c r="DB35" s="3013"/>
      <c r="DC35" s="3013"/>
      <c r="DD35" s="3013"/>
      <c r="DE35" s="3013"/>
      <c r="DF35" s="3013"/>
      <c r="DG35" s="3013"/>
      <c r="DH35" s="3013"/>
      <c r="DI35" s="3010">
        <f t="shared" ca="1" si="0"/>
        <v>39131.229999999996</v>
      </c>
      <c r="DJ35" s="3010">
        <f t="shared" ca="1" si="0"/>
        <v>13816.320000000002</v>
      </c>
    </row>
    <row r="36" spans="1:114" s="3015" customFormat="1" ht="30" customHeight="1">
      <c r="A36" s="3080">
        <f t="shared" si="1"/>
        <v>31</v>
      </c>
      <c r="B36" s="3081">
        <v>43006</v>
      </c>
      <c r="C36" s="3082">
        <v>43008</v>
      </c>
      <c r="D36" s="3080" t="s">
        <v>3745</v>
      </c>
      <c r="E36" s="3083" t="s">
        <v>3746</v>
      </c>
      <c r="F36" s="3084"/>
      <c r="G36" s="3084" t="s">
        <v>3747</v>
      </c>
      <c r="H36" s="3080" t="s">
        <v>3748</v>
      </c>
      <c r="I36" s="3083" t="s">
        <v>3749</v>
      </c>
      <c r="J36" s="3084" t="s">
        <v>3747</v>
      </c>
      <c r="K36" s="3083" t="s">
        <v>3750</v>
      </c>
      <c r="L36" s="3083" t="s">
        <v>3751</v>
      </c>
      <c r="M36" s="3083" t="s">
        <v>3752</v>
      </c>
      <c r="N36" s="3083" t="s">
        <v>3753</v>
      </c>
      <c r="O36" s="3084">
        <v>42.07</v>
      </c>
      <c r="P36" s="3080"/>
      <c r="Q36" s="3085">
        <v>17274.990000000002</v>
      </c>
      <c r="R36" s="3082">
        <v>43006</v>
      </c>
      <c r="S36" s="3085">
        <v>17274.990000000002</v>
      </c>
      <c r="T36" s="3082">
        <v>43020</v>
      </c>
      <c r="U36" s="3082"/>
      <c r="V36" s="3082"/>
      <c r="W36" s="3084"/>
      <c r="X36" s="3084"/>
      <c r="Y36" s="3082">
        <v>43040</v>
      </c>
      <c r="Z36" s="3082">
        <v>43020</v>
      </c>
      <c r="AA36" s="3107">
        <v>43384</v>
      </c>
      <c r="AB36" s="3083" t="s">
        <v>3754</v>
      </c>
      <c r="AC36" s="3080"/>
      <c r="AD36" s="3080"/>
      <c r="AE36" s="3141">
        <f>ROUND(AF36*365*O36,0)</f>
        <v>69100</v>
      </c>
      <c r="AF36" s="3134">
        <v>4.5</v>
      </c>
      <c r="AG36" s="3085"/>
      <c r="AH36" s="3085"/>
      <c r="AI36" s="3085"/>
      <c r="AJ36" s="3085"/>
      <c r="AK36" s="3086"/>
      <c r="AL36" s="3085"/>
      <c r="AM36" s="3086"/>
      <c r="AN36" s="3085"/>
      <c r="AO36" s="3086"/>
      <c r="AP36" s="3081">
        <v>43040</v>
      </c>
      <c r="AQ36" s="3081">
        <v>43069</v>
      </c>
      <c r="AR36" s="3087" t="s">
        <v>3755</v>
      </c>
      <c r="AS36" s="3085">
        <v>5758.32</v>
      </c>
      <c r="AT36" s="3085">
        <v>1262.0999999999999</v>
      </c>
      <c r="AU36" s="3085">
        <v>1.5</v>
      </c>
      <c r="AV36" s="3085"/>
      <c r="AW36" s="3081">
        <v>43040</v>
      </c>
      <c r="AX36" s="3081">
        <v>43069</v>
      </c>
      <c r="AY36" s="3087" t="s">
        <v>3755</v>
      </c>
      <c r="AZ36" s="3086"/>
      <c r="BA36" s="3082">
        <v>43020</v>
      </c>
      <c r="BB36" s="3082">
        <v>43039</v>
      </c>
      <c r="BC36" s="3084"/>
      <c r="BD36" s="3084">
        <v>20</v>
      </c>
      <c r="BE36" s="3085">
        <v>3000</v>
      </c>
      <c r="BF36" s="3085">
        <v>402.7</v>
      </c>
      <c r="BG36" s="3086"/>
      <c r="BH36" s="3086"/>
      <c r="BI36" s="3086"/>
      <c r="BJ36" s="3080"/>
      <c r="BK36" s="3080" t="s">
        <v>3756</v>
      </c>
      <c r="BL36" s="3086"/>
      <c r="BM36" s="3088"/>
      <c r="BN36" s="3088"/>
      <c r="BO36" s="3088"/>
      <c r="BP36" s="3088"/>
      <c r="BQ36" s="3088"/>
      <c r="BR36" s="3088"/>
      <c r="BS36" s="3088"/>
      <c r="BT36" s="3088"/>
      <c r="BU36" s="3088"/>
      <c r="BV36" s="3088"/>
      <c r="BW36" s="3088"/>
      <c r="BX36" s="3088"/>
      <c r="BY36" s="3088"/>
      <c r="BZ36" s="3088"/>
      <c r="CA36" s="3088"/>
      <c r="CB36" s="3088"/>
      <c r="CC36" s="3088"/>
      <c r="CD36" s="3088"/>
      <c r="CE36" s="3088"/>
      <c r="CF36" s="3088"/>
      <c r="CG36" s="3088">
        <v>5679.45</v>
      </c>
      <c r="CH36" s="3088">
        <v>1893.15</v>
      </c>
      <c r="CI36" s="3088"/>
      <c r="CJ36" s="3088"/>
      <c r="CK36" s="3088"/>
      <c r="CL36" s="3088"/>
      <c r="CM36" s="3088"/>
      <c r="CN36" s="3088"/>
      <c r="CO36" s="3088"/>
      <c r="CP36" s="3088"/>
      <c r="CQ36" s="3088"/>
      <c r="CR36" s="3088"/>
      <c r="CS36" s="3088"/>
      <c r="CT36" s="3088"/>
      <c r="CU36" s="3088"/>
      <c r="CV36" s="3088"/>
      <c r="CW36" s="3088"/>
      <c r="CX36" s="3088"/>
      <c r="CY36" s="3088"/>
      <c r="CZ36" s="3088"/>
      <c r="DA36" s="3088"/>
      <c r="DB36" s="3088"/>
      <c r="DC36" s="3088"/>
      <c r="DD36" s="3088"/>
      <c r="DE36" s="3088"/>
      <c r="DF36" s="3088"/>
      <c r="DG36" s="3088"/>
      <c r="DH36" s="3088"/>
      <c r="DI36" s="3089">
        <f t="shared" ca="1" si="0"/>
        <v>5679.45</v>
      </c>
      <c r="DJ36" s="3089">
        <f t="shared" ca="1" si="0"/>
        <v>1893.15</v>
      </c>
    </row>
    <row r="37" spans="1:114" s="3015" customFormat="1" ht="30" customHeight="1">
      <c r="A37" s="3012">
        <f t="shared" si="1"/>
        <v>32</v>
      </c>
      <c r="B37" s="2994">
        <v>41872</v>
      </c>
      <c r="C37" s="2999">
        <v>41872</v>
      </c>
      <c r="D37" s="3012" t="s">
        <v>3757</v>
      </c>
      <c r="E37" s="2997" t="s">
        <v>3758</v>
      </c>
      <c r="F37" s="2995">
        <v>500429</v>
      </c>
      <c r="G37" s="2995" t="s">
        <v>3759</v>
      </c>
      <c r="H37" s="3012" t="s">
        <v>3760</v>
      </c>
      <c r="I37" s="2997" t="s">
        <v>3761</v>
      </c>
      <c r="J37" s="2995" t="s">
        <v>3759</v>
      </c>
      <c r="K37" s="2997" t="s">
        <v>3762</v>
      </c>
      <c r="L37" s="2997" t="s">
        <v>3751</v>
      </c>
      <c r="M37" s="2997" t="s">
        <v>3763</v>
      </c>
      <c r="N37" s="2997" t="s">
        <v>3764</v>
      </c>
      <c r="O37" s="2995">
        <v>88</v>
      </c>
      <c r="P37" s="3012"/>
      <c r="Q37" s="2998">
        <v>7296</v>
      </c>
      <c r="R37" s="2999">
        <v>41872</v>
      </c>
      <c r="S37" s="2998">
        <v>7296</v>
      </c>
      <c r="T37" s="2999">
        <v>41876</v>
      </c>
      <c r="U37" s="2999"/>
      <c r="V37" s="2999"/>
      <c r="W37" s="2995"/>
      <c r="X37" s="2995"/>
      <c r="Y37" s="2999">
        <v>42917</v>
      </c>
      <c r="Z37" s="2999">
        <v>41896</v>
      </c>
      <c r="AA37" s="3107">
        <v>43465</v>
      </c>
      <c r="AB37" s="2997" t="s">
        <v>3765</v>
      </c>
      <c r="AC37" s="3012"/>
      <c r="AD37" s="3012"/>
      <c r="AE37" s="3139">
        <f t="shared" si="2"/>
        <v>106001</v>
      </c>
      <c r="AF37" s="2998"/>
      <c r="AG37" s="2998">
        <v>64</v>
      </c>
      <c r="AH37" s="2998"/>
      <c r="AI37" s="2998" t="s">
        <v>3766</v>
      </c>
      <c r="AJ37" s="2998"/>
      <c r="AK37" s="3142">
        <v>100.38</v>
      </c>
      <c r="AL37" s="2998"/>
      <c r="AM37" s="3016"/>
      <c r="AN37" s="2998"/>
      <c r="AO37" s="3016"/>
      <c r="AP37" s="2994">
        <v>41896</v>
      </c>
      <c r="AQ37" s="2994">
        <v>43100</v>
      </c>
      <c r="AR37" s="3002" t="s">
        <v>3767</v>
      </c>
      <c r="AS37" s="2998">
        <v>3420</v>
      </c>
      <c r="AT37" s="2998">
        <v>2052</v>
      </c>
      <c r="AU37" s="2998"/>
      <c r="AV37" s="2998">
        <v>45</v>
      </c>
      <c r="AW37" s="2994">
        <v>41896</v>
      </c>
      <c r="AX37" s="2994">
        <v>43100</v>
      </c>
      <c r="AY37" s="3004" t="s">
        <v>3767</v>
      </c>
      <c r="AZ37" s="3016"/>
      <c r="BA37" s="2999">
        <v>41876</v>
      </c>
      <c r="BB37" s="2999">
        <v>41895</v>
      </c>
      <c r="BC37" s="2995"/>
      <c r="BD37" s="2995">
        <v>20</v>
      </c>
      <c r="BE37" s="2998">
        <v>3000</v>
      </c>
      <c r="BF37" s="2998">
        <v>1140</v>
      </c>
      <c r="BG37" s="3016"/>
      <c r="BH37" s="3016"/>
      <c r="BI37" s="3016"/>
      <c r="BJ37" s="3012" t="s">
        <v>3768</v>
      </c>
      <c r="BK37" s="3012" t="s">
        <v>3769</v>
      </c>
      <c r="BL37" s="3016"/>
      <c r="BM37" s="3079">
        <v>8030</v>
      </c>
      <c r="BN37" s="3079">
        <v>2640</v>
      </c>
      <c r="BO37" s="3079">
        <v>8030</v>
      </c>
      <c r="BP37" s="3079">
        <v>2640</v>
      </c>
      <c r="BQ37" s="3013">
        <v>8030</v>
      </c>
      <c r="BR37" s="3013">
        <v>2640</v>
      </c>
      <c r="BS37" s="3013">
        <v>8030</v>
      </c>
      <c r="BT37" s="3013">
        <v>2640</v>
      </c>
      <c r="BU37" s="3013">
        <v>8030</v>
      </c>
      <c r="BV37" s="3013">
        <v>2640</v>
      </c>
      <c r="BW37" s="3013">
        <v>8030</v>
      </c>
      <c r="BX37" s="3013">
        <v>2640</v>
      </c>
      <c r="BY37" s="3013">
        <v>8833.44</v>
      </c>
      <c r="BZ37" s="3013">
        <v>3960</v>
      </c>
      <c r="CA37" s="3013">
        <v>8833.44</v>
      </c>
      <c r="CB37" s="3013">
        <v>3960</v>
      </c>
      <c r="CC37" s="3013">
        <v>8833.44</v>
      </c>
      <c r="CD37" s="3013">
        <v>3960</v>
      </c>
      <c r="CE37" s="3013">
        <v>8833.44</v>
      </c>
      <c r="CF37" s="3013">
        <v>3960</v>
      </c>
      <c r="CG37" s="3013">
        <v>8833.44</v>
      </c>
      <c r="CH37" s="3013">
        <v>3960</v>
      </c>
      <c r="CI37" s="3013">
        <v>8833.44</v>
      </c>
      <c r="CJ37" s="3013">
        <v>3960</v>
      </c>
      <c r="CK37" s="3013"/>
      <c r="CL37" s="3013"/>
      <c r="CM37" s="3013"/>
      <c r="CN37" s="3013"/>
      <c r="CO37" s="3013"/>
      <c r="CP37" s="3013"/>
      <c r="CQ37" s="3013"/>
      <c r="CR37" s="3013"/>
      <c r="CS37" s="3013"/>
      <c r="CT37" s="3013"/>
      <c r="CU37" s="3013"/>
      <c r="CV37" s="3013"/>
      <c r="CW37" s="3013"/>
      <c r="CX37" s="3013"/>
      <c r="CY37" s="3013"/>
      <c r="CZ37" s="3013"/>
      <c r="DA37" s="3013"/>
      <c r="DB37" s="3013"/>
      <c r="DC37" s="3013"/>
      <c r="DD37" s="3013"/>
      <c r="DE37" s="3013"/>
      <c r="DF37" s="3013"/>
      <c r="DG37" s="3013"/>
      <c r="DH37" s="3013"/>
      <c r="DI37" s="3010">
        <f t="shared" ca="1" si="0"/>
        <v>101180.64000000001</v>
      </c>
      <c r="DJ37" s="3010">
        <f t="shared" ca="1" si="0"/>
        <v>39600</v>
      </c>
    </row>
    <row r="38" spans="1:114" s="3015" customFormat="1" ht="30" customHeight="1">
      <c r="A38" s="3012">
        <f t="shared" si="1"/>
        <v>33</v>
      </c>
      <c r="B38" s="2994">
        <v>42356</v>
      </c>
      <c r="C38" s="2999">
        <v>42369</v>
      </c>
      <c r="D38" s="3012" t="s">
        <v>3770</v>
      </c>
      <c r="E38" s="2997" t="s">
        <v>3771</v>
      </c>
      <c r="F38" s="2995">
        <v>500570</v>
      </c>
      <c r="G38" s="2995" t="s">
        <v>3772</v>
      </c>
      <c r="H38" s="3012" t="s">
        <v>3760</v>
      </c>
      <c r="I38" s="2997" t="s">
        <v>3773</v>
      </c>
      <c r="J38" s="2995"/>
      <c r="K38" s="2997" t="s">
        <v>3774</v>
      </c>
      <c r="L38" s="2997" t="s">
        <v>3751</v>
      </c>
      <c r="M38" s="2997" t="s">
        <v>3763</v>
      </c>
      <c r="N38" s="2997" t="s">
        <v>3775</v>
      </c>
      <c r="O38" s="2995">
        <v>16.5</v>
      </c>
      <c r="P38" s="3012"/>
      <c r="Q38" s="2998">
        <v>4505</v>
      </c>
      <c r="R38" s="2999">
        <v>42374</v>
      </c>
      <c r="S38" s="2998">
        <v>4505</v>
      </c>
      <c r="T38" s="2999">
        <v>42376</v>
      </c>
      <c r="U38" s="2999"/>
      <c r="V38" s="2999"/>
      <c r="W38" s="2995"/>
      <c r="X38" s="2995"/>
      <c r="Y38" s="2999">
        <v>42925</v>
      </c>
      <c r="Z38" s="2999">
        <v>42378</v>
      </c>
      <c r="AA38" s="3107">
        <v>43108</v>
      </c>
      <c r="AB38" s="2997" t="s">
        <v>3743</v>
      </c>
      <c r="AC38" s="3012"/>
      <c r="AD38" s="3012"/>
      <c r="AE38" s="3139">
        <f>ROUND(AI38*12*O38,0)</f>
        <v>60226</v>
      </c>
      <c r="AF38" s="2998"/>
      <c r="AG38" s="2998">
        <v>273.030303</v>
      </c>
      <c r="AH38" s="2998"/>
      <c r="AI38" s="3134">
        <v>304.17</v>
      </c>
      <c r="AJ38" s="2998"/>
      <c r="AK38" s="3016"/>
      <c r="AL38" s="2998"/>
      <c r="AM38" s="3016"/>
      <c r="AN38" s="2998"/>
      <c r="AO38" s="3016"/>
      <c r="AP38" s="2994">
        <v>42378</v>
      </c>
      <c r="AQ38" s="2994">
        <v>43108</v>
      </c>
      <c r="AR38" s="3002" t="s">
        <v>3767</v>
      </c>
      <c r="AS38" s="2998">
        <v>495</v>
      </c>
      <c r="AT38" s="2998">
        <v>33</v>
      </c>
      <c r="AU38" s="2998"/>
      <c r="AV38" s="2998">
        <v>45</v>
      </c>
      <c r="AW38" s="2994">
        <v>42378</v>
      </c>
      <c r="AX38" s="2994">
        <v>43108</v>
      </c>
      <c r="AY38" s="3004" t="s">
        <v>3767</v>
      </c>
      <c r="AZ38" s="3016"/>
      <c r="BA38" s="2999">
        <v>42376</v>
      </c>
      <c r="BB38" s="2999">
        <v>42377</v>
      </c>
      <c r="BC38" s="2995"/>
      <c r="BD38" s="2995">
        <v>2</v>
      </c>
      <c r="BE38" s="2998">
        <v>3000</v>
      </c>
      <c r="BF38" s="2998">
        <v>165</v>
      </c>
      <c r="BG38" s="3016"/>
      <c r="BH38" s="3016"/>
      <c r="BI38" s="3016"/>
      <c r="BJ38" s="3012" t="s">
        <v>3768</v>
      </c>
      <c r="BK38" s="3012" t="s">
        <v>3776</v>
      </c>
      <c r="BL38" s="3016"/>
      <c r="BM38" s="3079">
        <f>1162.58+3509.15</f>
        <v>4671.7299999999996</v>
      </c>
      <c r="BN38" s="3079">
        <f>127.74+550.89</f>
        <v>678.63</v>
      </c>
      <c r="BO38" s="3079">
        <v>4729.7299999999996</v>
      </c>
      <c r="BP38" s="3079">
        <v>742.5</v>
      </c>
      <c r="BQ38" s="3079">
        <v>4729.7299999999996</v>
      </c>
      <c r="BR38" s="3079">
        <v>742.5</v>
      </c>
      <c r="BS38" s="3079">
        <v>4729.7299999999996</v>
      </c>
      <c r="BT38" s="3079">
        <v>742.5</v>
      </c>
      <c r="BU38" s="3079">
        <v>4729.7299999999996</v>
      </c>
      <c r="BV38" s="3079">
        <v>742.5</v>
      </c>
      <c r="BW38" s="3079">
        <v>4729.7299999999996</v>
      </c>
      <c r="BX38" s="3079">
        <v>742.5</v>
      </c>
      <c r="BY38" s="3079">
        <f>1220.57+3723.63</f>
        <v>4944.2</v>
      </c>
      <c r="BZ38" s="3079">
        <f>191.61+550.89</f>
        <v>742.5</v>
      </c>
      <c r="CA38" s="3079">
        <v>5018.8100000000004</v>
      </c>
      <c r="CB38" s="3079">
        <v>742.5</v>
      </c>
      <c r="CC38" s="3079">
        <v>5018.8100000000004</v>
      </c>
      <c r="CD38" s="3079">
        <v>742.5</v>
      </c>
      <c r="CE38" s="3079">
        <v>5018.8100000000004</v>
      </c>
      <c r="CF38" s="3079">
        <v>742.5</v>
      </c>
      <c r="CG38" s="3079">
        <v>5018.8100000000004</v>
      </c>
      <c r="CH38" s="3079">
        <v>742.5</v>
      </c>
      <c r="CI38" s="3079">
        <v>5018.8100000000004</v>
      </c>
      <c r="CJ38" s="3079">
        <v>742.5</v>
      </c>
      <c r="CK38" s="3016">
        <v>1295.19</v>
      </c>
      <c r="CL38" s="3016">
        <v>191.61</v>
      </c>
      <c r="CM38" s="3090"/>
      <c r="CN38" s="3090"/>
      <c r="CO38" s="3090"/>
      <c r="CP38" s="3090"/>
      <c r="CQ38" s="3090"/>
      <c r="CR38" s="3090"/>
      <c r="CS38" s="3090"/>
      <c r="CT38" s="3090"/>
      <c r="CU38" s="3090"/>
      <c r="CV38" s="3090"/>
      <c r="CW38" s="3090"/>
      <c r="CX38" s="3090"/>
      <c r="CY38" s="3090"/>
      <c r="CZ38" s="3090"/>
      <c r="DA38" s="3090"/>
      <c r="DB38" s="3090"/>
      <c r="DC38" s="3090"/>
      <c r="DD38" s="3090"/>
      <c r="DE38" s="3090"/>
      <c r="DF38" s="3090"/>
      <c r="DG38" s="3090"/>
      <c r="DH38" s="3090"/>
      <c r="DI38" s="3010">
        <f t="shared" ca="1" si="0"/>
        <v>59653.819999999985</v>
      </c>
      <c r="DJ38" s="3010">
        <f t="shared" ca="1" si="0"/>
        <v>9037.7400000000016</v>
      </c>
    </row>
    <row r="39" spans="1:114" s="3015" customFormat="1" ht="30" customHeight="1">
      <c r="A39" s="3012">
        <f t="shared" si="1"/>
        <v>34</v>
      </c>
      <c r="B39" s="2999">
        <v>41478</v>
      </c>
      <c r="C39" s="2999">
        <v>41484</v>
      </c>
      <c r="D39" s="3012" t="s">
        <v>3777</v>
      </c>
      <c r="E39" s="2997" t="s">
        <v>3778</v>
      </c>
      <c r="F39" s="2995">
        <v>500006</v>
      </c>
      <c r="G39" s="2995" t="s">
        <v>3779</v>
      </c>
      <c r="H39" s="3012" t="s">
        <v>3760</v>
      </c>
      <c r="I39" s="2997" t="s">
        <v>3780</v>
      </c>
      <c r="J39" s="2995" t="s">
        <v>3779</v>
      </c>
      <c r="K39" s="2997" t="s">
        <v>3781</v>
      </c>
      <c r="L39" s="2997" t="s">
        <v>3751</v>
      </c>
      <c r="M39" s="2997" t="s">
        <v>3763</v>
      </c>
      <c r="N39" s="2997" t="s">
        <v>3782</v>
      </c>
      <c r="O39" s="2995">
        <v>40</v>
      </c>
      <c r="P39" s="3012"/>
      <c r="Q39" s="2998">
        <v>3705</v>
      </c>
      <c r="R39" s="2999">
        <v>41484</v>
      </c>
      <c r="S39" s="2998">
        <v>3705</v>
      </c>
      <c r="T39" s="2999">
        <v>41507</v>
      </c>
      <c r="U39" s="2999">
        <v>41777</v>
      </c>
      <c r="V39" s="2999">
        <v>41807</v>
      </c>
      <c r="W39" s="2995">
        <v>1</v>
      </c>
      <c r="X39" s="2995"/>
      <c r="Y39" s="2999">
        <v>42917</v>
      </c>
      <c r="Z39" s="2999">
        <v>41760</v>
      </c>
      <c r="AA39" s="3107">
        <v>43281</v>
      </c>
      <c r="AB39" s="2997" t="s">
        <v>3783</v>
      </c>
      <c r="AC39" s="3012"/>
      <c r="AD39" s="3012"/>
      <c r="AE39" s="3139">
        <f t="shared" si="2"/>
        <v>55406</v>
      </c>
      <c r="AF39" s="2998">
        <v>3.5</v>
      </c>
      <c r="AG39" s="2998">
        <v>106.46</v>
      </c>
      <c r="AH39" s="2998"/>
      <c r="AI39" s="2998" t="s">
        <v>3784</v>
      </c>
      <c r="AJ39" s="2998"/>
      <c r="AK39" s="3144">
        <v>115.43</v>
      </c>
      <c r="AL39" s="2998"/>
      <c r="AM39" s="3016"/>
      <c r="AN39" s="2998"/>
      <c r="AO39" s="3016"/>
      <c r="AP39" s="2994">
        <v>41808</v>
      </c>
      <c r="AQ39" s="2994">
        <v>43100</v>
      </c>
      <c r="AR39" s="3002" t="s">
        <v>3767</v>
      </c>
      <c r="AS39" s="2998"/>
      <c r="AT39" s="2998">
        <v>441</v>
      </c>
      <c r="AU39" s="2998"/>
      <c r="AV39" s="2998">
        <v>45</v>
      </c>
      <c r="AW39" s="2994">
        <v>41869</v>
      </c>
      <c r="AX39" s="2994">
        <v>43100</v>
      </c>
      <c r="AY39" s="3004" t="s">
        <v>3767</v>
      </c>
      <c r="AZ39" s="3016"/>
      <c r="BA39" s="2999">
        <v>41507</v>
      </c>
      <c r="BB39" s="2999">
        <v>41536</v>
      </c>
      <c r="BC39" s="2995"/>
      <c r="BD39" s="2995">
        <v>30</v>
      </c>
      <c r="BE39" s="2998">
        <v>5000</v>
      </c>
      <c r="BF39" s="2998">
        <v>290</v>
      </c>
      <c r="BG39" s="3016"/>
      <c r="BH39" s="3016"/>
      <c r="BI39" s="2998">
        <v>1800</v>
      </c>
      <c r="BJ39" s="3012" t="s">
        <v>3768</v>
      </c>
      <c r="BK39" s="3012" t="s">
        <v>3769</v>
      </c>
      <c r="BL39" s="3074"/>
      <c r="BM39" s="3074"/>
      <c r="BN39" s="3074"/>
      <c r="BO39" s="3074"/>
      <c r="BP39" s="3074"/>
      <c r="BQ39" s="3074"/>
      <c r="BR39" s="3074"/>
      <c r="BS39" s="3074">
        <v>4015.2</v>
      </c>
      <c r="BT39" s="3074">
        <v>1200</v>
      </c>
      <c r="BU39" s="3074">
        <v>4015.2</v>
      </c>
      <c r="BV39" s="3074">
        <v>1200</v>
      </c>
      <c r="BW39" s="3074">
        <v>4015.2</v>
      </c>
      <c r="BX39" s="3074">
        <v>1200</v>
      </c>
      <c r="BY39" s="3074">
        <v>4617.2</v>
      </c>
      <c r="BZ39" s="3074">
        <v>1800</v>
      </c>
      <c r="CA39" s="3074">
        <v>4617.2</v>
      </c>
      <c r="CB39" s="3074">
        <v>1800</v>
      </c>
      <c r="CC39" s="3074">
        <v>4617.2</v>
      </c>
      <c r="CD39" s="3074">
        <v>1800</v>
      </c>
      <c r="CE39" s="3074">
        <v>4617.2</v>
      </c>
      <c r="CF39" s="3074">
        <v>1800</v>
      </c>
      <c r="CG39" s="3074">
        <v>4617.2</v>
      </c>
      <c r="CH39" s="3074">
        <v>1800</v>
      </c>
      <c r="CI39" s="3074">
        <v>4617.2</v>
      </c>
      <c r="CJ39" s="3074">
        <v>1800</v>
      </c>
      <c r="CK39" s="3074"/>
      <c r="CL39" s="3074"/>
      <c r="CM39" s="3074"/>
      <c r="CN39" s="3074"/>
      <c r="CO39" s="3074"/>
      <c r="CP39" s="3074"/>
      <c r="CQ39" s="3074"/>
      <c r="CR39" s="3074"/>
      <c r="CS39" s="3074"/>
      <c r="CT39" s="3074"/>
      <c r="CU39" s="3074"/>
      <c r="CV39" s="3074"/>
      <c r="CW39" s="3074"/>
      <c r="CX39" s="3074"/>
      <c r="CY39" s="3074"/>
      <c r="CZ39" s="3074"/>
      <c r="DA39" s="3074"/>
      <c r="DB39" s="3074"/>
      <c r="DC39" s="3074"/>
      <c r="DD39" s="3074"/>
      <c r="DE39" s="3074"/>
      <c r="DF39" s="3074"/>
      <c r="DG39" s="3074"/>
      <c r="DH39" s="3074"/>
      <c r="DI39" s="3010">
        <f t="shared" ca="1" si="0"/>
        <v>39748.799999999996</v>
      </c>
      <c r="DJ39" s="3010">
        <f t="shared" ca="1" si="0"/>
        <v>14400</v>
      </c>
    </row>
    <row r="40" spans="1:114" s="3015" customFormat="1" ht="30" customHeight="1">
      <c r="A40" s="3012">
        <f t="shared" si="1"/>
        <v>35</v>
      </c>
      <c r="B40" s="2999">
        <v>41705</v>
      </c>
      <c r="C40" s="2999">
        <v>41705</v>
      </c>
      <c r="D40" s="3012" t="s">
        <v>3785</v>
      </c>
      <c r="E40" s="2997" t="s">
        <v>3786</v>
      </c>
      <c r="F40" s="2995">
        <v>500236</v>
      </c>
      <c r="G40" s="2995" t="s">
        <v>3787</v>
      </c>
      <c r="H40" s="3012" t="s">
        <v>3760</v>
      </c>
      <c r="I40" s="2997" t="s">
        <v>3788</v>
      </c>
      <c r="J40" s="2995" t="s">
        <v>3787</v>
      </c>
      <c r="K40" s="2997" t="s">
        <v>3789</v>
      </c>
      <c r="L40" s="2997" t="s">
        <v>3751</v>
      </c>
      <c r="M40" s="2997" t="s">
        <v>3763</v>
      </c>
      <c r="N40" s="2997" t="s">
        <v>3790</v>
      </c>
      <c r="O40" s="2995">
        <v>65</v>
      </c>
      <c r="P40" s="3012"/>
      <c r="Q40" s="2998">
        <v>4225</v>
      </c>
      <c r="R40" s="2999">
        <v>41705</v>
      </c>
      <c r="S40" s="2998">
        <v>4225</v>
      </c>
      <c r="T40" s="2999">
        <v>41710</v>
      </c>
      <c r="U40" s="2999">
        <v>41777</v>
      </c>
      <c r="V40" s="2999">
        <v>41807</v>
      </c>
      <c r="W40" s="2995"/>
      <c r="X40" s="2995">
        <v>31</v>
      </c>
      <c r="Y40" s="2999">
        <v>42917</v>
      </c>
      <c r="Z40" s="2999">
        <v>41760</v>
      </c>
      <c r="AA40" s="3107">
        <v>43465</v>
      </c>
      <c r="AB40" s="2997" t="s">
        <v>3791</v>
      </c>
      <c r="AC40" s="3012"/>
      <c r="AD40" s="3012"/>
      <c r="AE40" s="3139">
        <f t="shared" si="2"/>
        <v>90035</v>
      </c>
      <c r="AF40" s="2998">
        <v>2.1</v>
      </c>
      <c r="AG40" s="2998">
        <v>63.88</v>
      </c>
      <c r="AH40" s="2998"/>
      <c r="AI40" s="2998">
        <v>71.5</v>
      </c>
      <c r="AJ40" s="2998"/>
      <c r="AK40" s="3144">
        <v>115.43</v>
      </c>
      <c r="AL40" s="2998"/>
      <c r="AM40" s="3016"/>
      <c r="AN40" s="2998"/>
      <c r="AO40" s="3016"/>
      <c r="AP40" s="2994">
        <v>41808</v>
      </c>
      <c r="AQ40" s="2994">
        <v>43100</v>
      </c>
      <c r="AR40" s="3002" t="s">
        <v>3767</v>
      </c>
      <c r="AS40" s="2998">
        <v>1950</v>
      </c>
      <c r="AT40" s="2998">
        <v>910</v>
      </c>
      <c r="AU40" s="2998"/>
      <c r="AV40" s="2998">
        <v>45</v>
      </c>
      <c r="AW40" s="2994">
        <v>41777</v>
      </c>
      <c r="AX40" s="2994">
        <v>43100</v>
      </c>
      <c r="AY40" s="3004" t="s">
        <v>3767</v>
      </c>
      <c r="AZ40" s="3016"/>
      <c r="BA40" s="2999">
        <v>41710</v>
      </c>
      <c r="BB40" s="2999">
        <v>41729</v>
      </c>
      <c r="BC40" s="2995"/>
      <c r="BD40" s="2995">
        <v>20</v>
      </c>
      <c r="BE40" s="2998">
        <v>3000</v>
      </c>
      <c r="BF40" s="2998">
        <v>650</v>
      </c>
      <c r="BG40" s="3016"/>
      <c r="BH40" s="3016"/>
      <c r="BI40" s="2998">
        <v>600</v>
      </c>
      <c r="BJ40" s="3012" t="s">
        <v>3768</v>
      </c>
      <c r="BK40" s="3012" t="s">
        <v>3769</v>
      </c>
      <c r="BL40" s="3074"/>
      <c r="BM40" s="3074">
        <v>6524.7</v>
      </c>
      <c r="BN40" s="3074">
        <v>1950</v>
      </c>
      <c r="BO40" s="3074">
        <v>6524.7</v>
      </c>
      <c r="BP40" s="3074">
        <v>1950</v>
      </c>
      <c r="BQ40" s="3074">
        <v>6524.7</v>
      </c>
      <c r="BR40" s="3074">
        <v>1950</v>
      </c>
      <c r="BS40" s="3074">
        <v>6524.7</v>
      </c>
      <c r="BT40" s="3074">
        <v>1950</v>
      </c>
      <c r="BU40" s="3074">
        <v>6524.7</v>
      </c>
      <c r="BV40" s="3074">
        <v>1950</v>
      </c>
      <c r="BW40" s="3074">
        <v>6524.7</v>
      </c>
      <c r="BX40" s="3074">
        <v>1950</v>
      </c>
      <c r="BY40" s="3074">
        <v>7502.95</v>
      </c>
      <c r="BZ40" s="3074">
        <v>2925</v>
      </c>
      <c r="CA40" s="3074">
        <v>7502.95</v>
      </c>
      <c r="CB40" s="3074">
        <v>2925</v>
      </c>
      <c r="CC40" s="3074">
        <v>7502.95</v>
      </c>
      <c r="CD40" s="3074">
        <v>2925</v>
      </c>
      <c r="CE40" s="3074">
        <v>7502.95</v>
      </c>
      <c r="CF40" s="3074">
        <v>2925</v>
      </c>
      <c r="CG40" s="3074">
        <v>7502.95</v>
      </c>
      <c r="CH40" s="3074">
        <v>2925</v>
      </c>
      <c r="CI40" s="3074">
        <v>7502.95</v>
      </c>
      <c r="CJ40" s="3074">
        <v>2925</v>
      </c>
      <c r="CK40" s="3074"/>
      <c r="CL40" s="3074"/>
      <c r="CM40" s="3074"/>
      <c r="CN40" s="3074"/>
      <c r="CO40" s="3074"/>
      <c r="CP40" s="3074"/>
      <c r="CQ40" s="3074"/>
      <c r="CR40" s="3074"/>
      <c r="CS40" s="3074"/>
      <c r="CT40" s="3074"/>
      <c r="CU40" s="3074"/>
      <c r="CV40" s="3074"/>
      <c r="CW40" s="3074"/>
      <c r="CX40" s="3074"/>
      <c r="CY40" s="3074"/>
      <c r="CZ40" s="3074"/>
      <c r="DA40" s="3074"/>
      <c r="DB40" s="3074"/>
      <c r="DC40" s="3074"/>
      <c r="DD40" s="3074"/>
      <c r="DE40" s="3074"/>
      <c r="DF40" s="3074"/>
      <c r="DG40" s="3074"/>
      <c r="DH40" s="3074"/>
      <c r="DI40" s="3010">
        <f t="shared" ca="1" si="0"/>
        <v>84165.89999999998</v>
      </c>
      <c r="DJ40" s="3010">
        <f t="shared" ca="1" si="0"/>
        <v>29250</v>
      </c>
    </row>
    <row r="41" spans="1:114" s="3015" customFormat="1" ht="30" customHeight="1">
      <c r="A41" s="3012">
        <f t="shared" si="1"/>
        <v>36</v>
      </c>
      <c r="B41" s="2999">
        <v>41969</v>
      </c>
      <c r="C41" s="2999">
        <v>41970</v>
      </c>
      <c r="D41" s="3012" t="s">
        <v>3792</v>
      </c>
      <c r="E41" s="2997" t="s">
        <v>3758</v>
      </c>
      <c r="F41" s="2995">
        <v>500480</v>
      </c>
      <c r="G41" s="2995" t="s">
        <v>3793</v>
      </c>
      <c r="H41" s="3012" t="s">
        <v>3760</v>
      </c>
      <c r="I41" s="2997" t="s">
        <v>3794</v>
      </c>
      <c r="J41" s="2995" t="s">
        <v>3793</v>
      </c>
      <c r="K41" s="2997" t="s">
        <v>3795</v>
      </c>
      <c r="L41" s="2997" t="s">
        <v>3751</v>
      </c>
      <c r="M41" s="2997" t="s">
        <v>3763</v>
      </c>
      <c r="N41" s="2997" t="s">
        <v>3796</v>
      </c>
      <c r="O41" s="2995">
        <v>28</v>
      </c>
      <c r="P41" s="3012"/>
      <c r="Q41" s="2998">
        <v>2074</v>
      </c>
      <c r="R41" s="2999">
        <v>41969</v>
      </c>
      <c r="S41" s="2998">
        <v>2074</v>
      </c>
      <c r="T41" s="2999">
        <v>41978</v>
      </c>
      <c r="U41" s="2999"/>
      <c r="V41" s="2999"/>
      <c r="W41" s="2995"/>
      <c r="X41" s="2995"/>
      <c r="Y41" s="2999">
        <v>42917</v>
      </c>
      <c r="Z41" s="2999">
        <v>41985</v>
      </c>
      <c r="AA41" s="3107">
        <v>43281</v>
      </c>
      <c r="AB41" s="2997" t="s">
        <v>3797</v>
      </c>
      <c r="AC41" s="3012"/>
      <c r="AD41" s="3012"/>
      <c r="AE41" s="3139">
        <f t="shared" si="2"/>
        <v>41906</v>
      </c>
      <c r="AF41" s="2998"/>
      <c r="AG41" s="2998" t="s">
        <v>3798</v>
      </c>
      <c r="AH41" s="2998"/>
      <c r="AI41" s="2998" t="s">
        <v>3799</v>
      </c>
      <c r="AJ41" s="2998"/>
      <c r="AK41" s="3142">
        <v>124.72</v>
      </c>
      <c r="AL41" s="2998"/>
      <c r="AM41" s="3016"/>
      <c r="AN41" s="2998"/>
      <c r="AO41" s="3016"/>
      <c r="AP41" s="2994">
        <v>41985</v>
      </c>
      <c r="AQ41" s="2994">
        <v>43100</v>
      </c>
      <c r="AR41" s="3002" t="s">
        <v>3767</v>
      </c>
      <c r="AS41" s="2998"/>
      <c r="AT41" s="2998">
        <v>107</v>
      </c>
      <c r="AU41" s="2998"/>
      <c r="AV41" s="2998">
        <v>45</v>
      </c>
      <c r="AW41" s="2994">
        <v>41985</v>
      </c>
      <c r="AX41" s="2994">
        <v>43100</v>
      </c>
      <c r="AY41" s="3004" t="s">
        <v>3767</v>
      </c>
      <c r="AZ41" s="3016"/>
      <c r="BA41" s="2999">
        <v>41978</v>
      </c>
      <c r="BB41" s="2999">
        <v>41984</v>
      </c>
      <c r="BC41" s="2995"/>
      <c r="BD41" s="2995">
        <v>7</v>
      </c>
      <c r="BE41" s="2998">
        <v>3000</v>
      </c>
      <c r="BF41" s="2998">
        <v>170</v>
      </c>
      <c r="BG41" s="3016"/>
      <c r="BH41" s="3016"/>
      <c r="BI41" s="3016"/>
      <c r="BJ41" s="3012" t="s">
        <v>3768</v>
      </c>
      <c r="BK41" s="3012" t="s">
        <v>3769</v>
      </c>
      <c r="BL41" s="3074"/>
      <c r="BM41" s="3074"/>
      <c r="BN41" s="3074"/>
      <c r="BO41" s="3074"/>
      <c r="BP41" s="3074"/>
      <c r="BQ41" s="3074"/>
      <c r="BR41" s="3074"/>
      <c r="BS41" s="3074">
        <v>3090.64</v>
      </c>
      <c r="BT41" s="3074">
        <v>840</v>
      </c>
      <c r="BU41" s="3074">
        <v>3090.64</v>
      </c>
      <c r="BV41" s="3074">
        <v>840</v>
      </c>
      <c r="BW41" s="3074">
        <v>3090.64</v>
      </c>
      <c r="BX41" s="3074">
        <v>840</v>
      </c>
      <c r="BY41" s="3074">
        <v>3492.16</v>
      </c>
      <c r="BZ41" s="3074">
        <v>1260</v>
      </c>
      <c r="CA41" s="3074">
        <v>3492.16</v>
      </c>
      <c r="CB41" s="3074">
        <v>1260</v>
      </c>
      <c r="CC41" s="3074">
        <v>3492.16</v>
      </c>
      <c r="CD41" s="3074">
        <v>1260</v>
      </c>
      <c r="CE41" s="3074">
        <v>3492.16</v>
      </c>
      <c r="CF41" s="3074">
        <v>1260</v>
      </c>
      <c r="CG41" s="3074">
        <v>3492.16</v>
      </c>
      <c r="CH41" s="3074">
        <v>1260</v>
      </c>
      <c r="CI41" s="3074">
        <v>3492.16</v>
      </c>
      <c r="CJ41" s="3074">
        <v>1260</v>
      </c>
      <c r="CK41" s="3074"/>
      <c r="CL41" s="3074"/>
      <c r="CM41" s="3074"/>
      <c r="CN41" s="3074"/>
      <c r="CO41" s="3074"/>
      <c r="CP41" s="3074"/>
      <c r="CQ41" s="3074"/>
      <c r="CR41" s="3074"/>
      <c r="CS41" s="3074"/>
      <c r="CT41" s="3074"/>
      <c r="CU41" s="3074"/>
      <c r="CV41" s="3074"/>
      <c r="CW41" s="3074"/>
      <c r="CX41" s="3074"/>
      <c r="CY41" s="3074"/>
      <c r="CZ41" s="3074"/>
      <c r="DA41" s="3074"/>
      <c r="DB41" s="3074"/>
      <c r="DC41" s="3074"/>
      <c r="DD41" s="3074"/>
      <c r="DE41" s="3074"/>
      <c r="DF41" s="3074"/>
      <c r="DG41" s="3074"/>
      <c r="DH41" s="3074"/>
      <c r="DI41" s="3010">
        <f t="shared" ca="1" si="0"/>
        <v>30224.880000000001</v>
      </c>
      <c r="DJ41" s="3010">
        <f t="shared" ca="1" si="0"/>
        <v>10080</v>
      </c>
    </row>
    <row r="42" spans="1:114" s="3015" customFormat="1" ht="30" customHeight="1">
      <c r="A42" s="3012">
        <f t="shared" si="1"/>
        <v>37</v>
      </c>
      <c r="B42" s="2999">
        <v>41698</v>
      </c>
      <c r="C42" s="2999">
        <v>41698</v>
      </c>
      <c r="D42" s="3012" t="s">
        <v>3800</v>
      </c>
      <c r="E42" s="2997" t="s">
        <v>3786</v>
      </c>
      <c r="F42" s="2995">
        <v>500222</v>
      </c>
      <c r="G42" s="2995" t="s">
        <v>3801</v>
      </c>
      <c r="H42" s="3012" t="s">
        <v>3760</v>
      </c>
      <c r="I42" s="2997" t="s">
        <v>3802</v>
      </c>
      <c r="J42" s="2995" t="s">
        <v>3801</v>
      </c>
      <c r="K42" s="2997" t="s">
        <v>3803</v>
      </c>
      <c r="L42" s="2997" t="s">
        <v>3751</v>
      </c>
      <c r="M42" s="2997" t="s">
        <v>3763</v>
      </c>
      <c r="N42" s="2997" t="s">
        <v>3804</v>
      </c>
      <c r="O42" s="2995">
        <v>42</v>
      </c>
      <c r="P42" s="3012"/>
      <c r="Q42" s="2998">
        <v>2500</v>
      </c>
      <c r="R42" s="2999">
        <v>41698</v>
      </c>
      <c r="S42" s="2998">
        <v>2500</v>
      </c>
      <c r="T42" s="2999">
        <v>41710</v>
      </c>
      <c r="U42" s="2999">
        <v>41777</v>
      </c>
      <c r="V42" s="2999">
        <v>41807</v>
      </c>
      <c r="W42" s="2995">
        <v>1</v>
      </c>
      <c r="X42" s="2995"/>
      <c r="Y42" s="2999">
        <v>42917</v>
      </c>
      <c r="Z42" s="2999">
        <v>41760</v>
      </c>
      <c r="AA42" s="3107">
        <v>43281</v>
      </c>
      <c r="AB42" s="2997" t="s">
        <v>3783</v>
      </c>
      <c r="AC42" s="3012"/>
      <c r="AD42" s="3012"/>
      <c r="AE42" s="3139">
        <f t="shared" si="2"/>
        <v>58177</v>
      </c>
      <c r="AF42" s="2998">
        <v>2</v>
      </c>
      <c r="AG42" s="2998">
        <v>60.83</v>
      </c>
      <c r="AH42" s="2998"/>
      <c r="AI42" s="2998" t="s">
        <v>3805</v>
      </c>
      <c r="AJ42" s="2998"/>
      <c r="AK42" s="3144">
        <v>115.43</v>
      </c>
      <c r="AL42" s="2998"/>
      <c r="AM42" s="3016"/>
      <c r="AN42" s="2998"/>
      <c r="AO42" s="3016"/>
      <c r="AP42" s="2994">
        <v>41808</v>
      </c>
      <c r="AQ42" s="2994">
        <v>43100</v>
      </c>
      <c r="AR42" s="3002" t="s">
        <v>3767</v>
      </c>
      <c r="AS42" s="2998">
        <v>1260</v>
      </c>
      <c r="AT42" s="2998">
        <v>394.8</v>
      </c>
      <c r="AU42" s="2998"/>
      <c r="AV42" s="2998">
        <v>45</v>
      </c>
      <c r="AW42" s="2994">
        <v>41777</v>
      </c>
      <c r="AX42" s="2994">
        <v>43100</v>
      </c>
      <c r="AY42" s="3004" t="s">
        <v>3767</v>
      </c>
      <c r="AZ42" s="3016"/>
      <c r="BA42" s="2999">
        <v>41710</v>
      </c>
      <c r="BB42" s="2999">
        <v>41729</v>
      </c>
      <c r="BC42" s="2995"/>
      <c r="BD42" s="2995">
        <v>20</v>
      </c>
      <c r="BE42" s="2998">
        <v>3000</v>
      </c>
      <c r="BF42" s="2998">
        <v>420</v>
      </c>
      <c r="BG42" s="3016"/>
      <c r="BH42" s="3016"/>
      <c r="BI42" s="2998">
        <v>1500</v>
      </c>
      <c r="BJ42" s="3012" t="s">
        <v>3768</v>
      </c>
      <c r="BK42" s="3012" t="s">
        <v>3769</v>
      </c>
      <c r="BL42" s="3016"/>
      <c r="BM42" s="3013">
        <v>4215.96</v>
      </c>
      <c r="BN42" s="3013">
        <v>1260</v>
      </c>
      <c r="BO42" s="3013">
        <v>4215.96</v>
      </c>
      <c r="BP42" s="3013">
        <v>1260</v>
      </c>
      <c r="BQ42" s="3013">
        <v>4215.96</v>
      </c>
      <c r="BR42" s="3013">
        <v>1260</v>
      </c>
      <c r="BS42" s="3013">
        <v>4215.96</v>
      </c>
      <c r="BT42" s="3013">
        <v>1260</v>
      </c>
      <c r="BU42" s="3013">
        <v>4215.96</v>
      </c>
      <c r="BV42" s="3013">
        <v>1260</v>
      </c>
      <c r="BW42" s="3013">
        <v>4215.96</v>
      </c>
      <c r="BX42" s="3013">
        <v>1260</v>
      </c>
      <c r="BY42" s="3013">
        <v>4848.0600000000004</v>
      </c>
      <c r="BZ42" s="3013">
        <v>1890</v>
      </c>
      <c r="CA42" s="3013">
        <v>4848.0600000000004</v>
      </c>
      <c r="CB42" s="3013">
        <v>1890</v>
      </c>
      <c r="CC42" s="3013">
        <v>4848.0600000000004</v>
      </c>
      <c r="CD42" s="3013">
        <v>1890</v>
      </c>
      <c r="CE42" s="3013">
        <v>4848.0600000000004</v>
      </c>
      <c r="CF42" s="3013">
        <v>1890</v>
      </c>
      <c r="CG42" s="3013">
        <v>4848.0600000000004</v>
      </c>
      <c r="CH42" s="3013">
        <v>1890</v>
      </c>
      <c r="CI42" s="3013">
        <v>4848.0600000000004</v>
      </c>
      <c r="CJ42" s="3013">
        <v>1890</v>
      </c>
      <c r="CK42" s="3013"/>
      <c r="CL42" s="3013"/>
      <c r="CM42" s="3013"/>
      <c r="CN42" s="3013"/>
      <c r="CO42" s="3013"/>
      <c r="CP42" s="3013"/>
      <c r="CQ42" s="3013"/>
      <c r="CR42" s="3013"/>
      <c r="CS42" s="3013"/>
      <c r="CT42" s="3013"/>
      <c r="CU42" s="3013"/>
      <c r="CV42" s="3013"/>
      <c r="CW42" s="3013"/>
      <c r="CX42" s="3013"/>
      <c r="CY42" s="3013"/>
      <c r="CZ42" s="3013"/>
      <c r="DA42" s="3013"/>
      <c r="DB42" s="3013"/>
      <c r="DC42" s="3013"/>
      <c r="DD42" s="3013"/>
      <c r="DE42" s="3013"/>
      <c r="DF42" s="3013"/>
      <c r="DG42" s="3013"/>
      <c r="DH42" s="3013"/>
      <c r="DI42" s="3010">
        <f t="shared" ca="1" si="0"/>
        <v>54384.119999999988</v>
      </c>
      <c r="DJ42" s="3010">
        <f t="shared" ca="1" si="0"/>
        <v>18900</v>
      </c>
    </row>
    <row r="43" spans="1:114" s="3015" customFormat="1" ht="30" customHeight="1">
      <c r="A43" s="3012">
        <f t="shared" si="1"/>
        <v>38</v>
      </c>
      <c r="B43" s="2994">
        <v>42461</v>
      </c>
      <c r="C43" s="2999">
        <v>42461</v>
      </c>
      <c r="D43" s="3012" t="s">
        <v>3777</v>
      </c>
      <c r="E43" s="2997" t="s">
        <v>3806</v>
      </c>
      <c r="F43" s="2995">
        <v>500583</v>
      </c>
      <c r="G43" s="2995" t="s">
        <v>3807</v>
      </c>
      <c r="H43" s="3012" t="s">
        <v>3760</v>
      </c>
      <c r="I43" s="2997" t="s">
        <v>3808</v>
      </c>
      <c r="J43" s="2995" t="s">
        <v>3807</v>
      </c>
      <c r="K43" s="2997" t="s">
        <v>3809</v>
      </c>
      <c r="L43" s="2997" t="s">
        <v>3751</v>
      </c>
      <c r="M43" s="2997" t="s">
        <v>3763</v>
      </c>
      <c r="N43" s="2997" t="s">
        <v>3810</v>
      </c>
      <c r="O43" s="2995">
        <v>49</v>
      </c>
      <c r="P43" s="3012"/>
      <c r="Q43" s="2998">
        <v>4508</v>
      </c>
      <c r="R43" s="2999">
        <v>42461</v>
      </c>
      <c r="S43" s="2998">
        <v>4508</v>
      </c>
      <c r="T43" s="2999">
        <v>42472</v>
      </c>
      <c r="U43" s="2999"/>
      <c r="V43" s="2999"/>
      <c r="W43" s="2995"/>
      <c r="X43" s="2995"/>
      <c r="Y43" s="2999">
        <v>42867</v>
      </c>
      <c r="Z43" s="2999">
        <v>42502</v>
      </c>
      <c r="AA43" s="3107">
        <v>43231</v>
      </c>
      <c r="AB43" s="2997" t="s">
        <v>3743</v>
      </c>
      <c r="AC43" s="3012"/>
      <c r="AD43" s="3012"/>
      <c r="AE43" s="3139">
        <f>ROUND(AI43*12*O43,0)</f>
        <v>59559</v>
      </c>
      <c r="AF43" s="2998"/>
      <c r="AG43" s="2998">
        <v>92</v>
      </c>
      <c r="AH43" s="2998"/>
      <c r="AI43" s="3134">
        <v>101.29</v>
      </c>
      <c r="AJ43" s="2998"/>
      <c r="AK43" s="3016"/>
      <c r="AL43" s="2998"/>
      <c r="AM43" s="3016"/>
      <c r="AN43" s="2998"/>
      <c r="AO43" s="3016"/>
      <c r="AP43" s="2994">
        <v>42502</v>
      </c>
      <c r="AQ43" s="2994">
        <v>43039</v>
      </c>
      <c r="AR43" s="3002" t="s">
        <v>3767</v>
      </c>
      <c r="AS43" s="2998">
        <v>1470</v>
      </c>
      <c r="AT43" s="2998">
        <v>1470</v>
      </c>
      <c r="AU43" s="2998"/>
      <c r="AV43" s="2998">
        <v>45</v>
      </c>
      <c r="AW43" s="2994">
        <v>42502</v>
      </c>
      <c r="AX43" s="2994">
        <v>43039</v>
      </c>
      <c r="AY43" s="3004" t="s">
        <v>3767</v>
      </c>
      <c r="AZ43" s="3016"/>
      <c r="BA43" s="2999">
        <v>42472</v>
      </c>
      <c r="BB43" s="2999">
        <v>42501</v>
      </c>
      <c r="BC43" s="2995"/>
      <c r="BD43" s="2995">
        <v>30</v>
      </c>
      <c r="BE43" s="2998">
        <v>3000</v>
      </c>
      <c r="BF43" s="2998">
        <v>490</v>
      </c>
      <c r="BG43" s="3016"/>
      <c r="BH43" s="3016"/>
      <c r="BI43" s="3016"/>
      <c r="BJ43" s="3012"/>
      <c r="BK43" s="3012" t="s">
        <v>3769</v>
      </c>
      <c r="BL43" s="3074"/>
      <c r="BM43" s="3074"/>
      <c r="BN43" s="3074"/>
      <c r="BO43" s="3074">
        <v>4508</v>
      </c>
      <c r="BP43" s="3074">
        <v>1470</v>
      </c>
      <c r="BQ43" s="3074">
        <v>4508</v>
      </c>
      <c r="BR43" s="3074">
        <v>1470</v>
      </c>
      <c r="BS43" s="3074">
        <v>4508</v>
      </c>
      <c r="BT43" s="3074">
        <v>1470</v>
      </c>
      <c r="BU43" s="3074">
        <f>1599.61+3202.07</f>
        <v>4801.68</v>
      </c>
      <c r="BV43" s="3074">
        <f>521.61+1422.58</f>
        <v>1944.19</v>
      </c>
      <c r="BW43" s="3074">
        <v>4963.21</v>
      </c>
      <c r="BX43" s="3074">
        <v>2205</v>
      </c>
      <c r="BY43" s="3074">
        <v>4963.21</v>
      </c>
      <c r="BZ43" s="3074">
        <v>2205</v>
      </c>
      <c r="CA43" s="3074">
        <v>4963.21</v>
      </c>
      <c r="CB43" s="3074">
        <v>2205</v>
      </c>
      <c r="CC43" s="3074">
        <v>4963.21</v>
      </c>
      <c r="CD43" s="3074">
        <v>2205</v>
      </c>
      <c r="CE43" s="3074">
        <v>4963.21</v>
      </c>
      <c r="CF43" s="3074">
        <v>2205</v>
      </c>
      <c r="CG43" s="3074"/>
      <c r="CH43" s="3074"/>
      <c r="CI43" s="3074"/>
      <c r="CJ43" s="3074"/>
      <c r="CK43" s="3074"/>
      <c r="CL43" s="3074"/>
      <c r="CM43" s="3074"/>
      <c r="CN43" s="3074"/>
      <c r="CO43" s="3074"/>
      <c r="CP43" s="3074"/>
      <c r="CQ43" s="3074"/>
      <c r="CR43" s="3074"/>
      <c r="CS43" s="3074"/>
      <c r="CT43" s="3074"/>
      <c r="CU43" s="3074"/>
      <c r="CV43" s="3074"/>
      <c r="CW43" s="3074"/>
      <c r="CX43" s="3074"/>
      <c r="CY43" s="3074"/>
      <c r="CZ43" s="3074"/>
      <c r="DA43" s="3074"/>
      <c r="DB43" s="3074"/>
      <c r="DC43" s="3074"/>
      <c r="DD43" s="3074"/>
      <c r="DE43" s="3074"/>
      <c r="DF43" s="3074"/>
      <c r="DG43" s="3074"/>
      <c r="DH43" s="3074"/>
      <c r="DI43" s="3010">
        <f t="shared" ca="1" si="0"/>
        <v>43141.729999999996</v>
      </c>
      <c r="DJ43" s="3010">
        <f t="shared" ca="1" si="0"/>
        <v>17379.190000000002</v>
      </c>
    </row>
    <row r="44" spans="1:114" s="3015" customFormat="1" ht="30" customHeight="1">
      <c r="A44" s="3012">
        <f t="shared" si="1"/>
        <v>39</v>
      </c>
      <c r="B44" s="2994">
        <v>42831</v>
      </c>
      <c r="C44" s="2999">
        <v>42835</v>
      </c>
      <c r="D44" s="3012" t="s">
        <v>3777</v>
      </c>
      <c r="E44" s="2997" t="s">
        <v>3811</v>
      </c>
      <c r="F44" s="2995">
        <v>500659</v>
      </c>
      <c r="G44" s="2995" t="s">
        <v>3812</v>
      </c>
      <c r="H44" s="3012" t="s">
        <v>3760</v>
      </c>
      <c r="I44" s="2997" t="s">
        <v>3813</v>
      </c>
      <c r="J44" s="2995" t="s">
        <v>3812</v>
      </c>
      <c r="K44" s="2997" t="s">
        <v>3814</v>
      </c>
      <c r="L44" s="2997" t="s">
        <v>3751</v>
      </c>
      <c r="M44" s="2997" t="s">
        <v>3763</v>
      </c>
      <c r="N44" s="2997" t="s">
        <v>3815</v>
      </c>
      <c r="O44" s="2995">
        <v>30</v>
      </c>
      <c r="P44" s="3012"/>
      <c r="Q44" s="2998">
        <v>4140</v>
      </c>
      <c r="R44" s="2999">
        <v>42832</v>
      </c>
      <c r="S44" s="2998">
        <v>4140</v>
      </c>
      <c r="T44" s="2999">
        <v>42856</v>
      </c>
      <c r="U44" s="2999"/>
      <c r="V44" s="2999"/>
      <c r="W44" s="2995"/>
      <c r="X44" s="2995"/>
      <c r="Y44" s="2999">
        <v>42901</v>
      </c>
      <c r="Z44" s="2999">
        <v>42856</v>
      </c>
      <c r="AA44" s="3107">
        <v>43220</v>
      </c>
      <c r="AB44" s="2997" t="s">
        <v>3816</v>
      </c>
      <c r="AC44" s="3012"/>
      <c r="AD44" s="3012"/>
      <c r="AE44" s="3139">
        <f>ROUND(AG44*12*O44,0)</f>
        <v>49680</v>
      </c>
      <c r="AF44" s="2998"/>
      <c r="AG44" s="3134">
        <v>138</v>
      </c>
      <c r="AH44" s="2998"/>
      <c r="AI44" s="2998"/>
      <c r="AJ44" s="2998"/>
      <c r="AK44" s="3016"/>
      <c r="AL44" s="2998"/>
      <c r="AM44" s="3016"/>
      <c r="AN44" s="2998"/>
      <c r="AO44" s="3016"/>
      <c r="AP44" s="2994">
        <v>42901</v>
      </c>
      <c r="AQ44" s="2994">
        <v>43069</v>
      </c>
      <c r="AR44" s="3002" t="s">
        <v>3767</v>
      </c>
      <c r="AS44" s="2998">
        <v>1368.75</v>
      </c>
      <c r="AT44" s="2998">
        <v>2025</v>
      </c>
      <c r="AU44" s="2998">
        <v>1.5</v>
      </c>
      <c r="AV44" s="2998"/>
      <c r="AW44" s="2994">
        <v>42901</v>
      </c>
      <c r="AX44" s="2994">
        <v>43069</v>
      </c>
      <c r="AY44" s="3004" t="s">
        <v>3767</v>
      </c>
      <c r="AZ44" s="3016"/>
      <c r="BA44" s="2999">
        <v>42856</v>
      </c>
      <c r="BB44" s="2999">
        <v>42900</v>
      </c>
      <c r="BC44" s="2995"/>
      <c r="BD44" s="2995">
        <v>45</v>
      </c>
      <c r="BE44" s="2998">
        <v>3000</v>
      </c>
      <c r="BF44" s="2998">
        <v>300</v>
      </c>
      <c r="BG44" s="3016"/>
      <c r="BH44" s="3016"/>
      <c r="BI44" s="3016"/>
      <c r="BJ44" s="3012"/>
      <c r="BK44" s="3012" t="s">
        <v>3769</v>
      </c>
      <c r="BL44" s="3074"/>
      <c r="BM44" s="3074"/>
      <c r="BN44" s="3074"/>
      <c r="BO44" s="3074"/>
      <c r="BP44" s="3074"/>
      <c r="BQ44" s="3074"/>
      <c r="BR44" s="3074"/>
      <c r="BS44" s="3074"/>
      <c r="BT44" s="3074"/>
      <c r="BU44" s="3074"/>
      <c r="BV44" s="3074"/>
      <c r="BW44" s="3074">
        <v>2208</v>
      </c>
      <c r="BX44" s="3074">
        <v>720</v>
      </c>
      <c r="BY44" s="3074">
        <v>4140</v>
      </c>
      <c r="BZ44" s="3074">
        <v>1395</v>
      </c>
      <c r="CA44" s="3074">
        <v>4140</v>
      </c>
      <c r="CB44" s="3074">
        <v>1395</v>
      </c>
      <c r="CC44" s="3074">
        <v>4140</v>
      </c>
      <c r="CD44" s="3074">
        <v>1350</v>
      </c>
      <c r="CE44" s="3074">
        <v>4140</v>
      </c>
      <c r="CF44" s="3074">
        <v>1395</v>
      </c>
      <c r="CG44" s="3074">
        <v>4140</v>
      </c>
      <c r="CH44" s="3074">
        <v>1350</v>
      </c>
      <c r="CI44" s="3074"/>
      <c r="CJ44" s="3074"/>
      <c r="CK44" s="3074"/>
      <c r="CL44" s="3074"/>
      <c r="CM44" s="3074"/>
      <c r="CN44" s="3074"/>
      <c r="CO44" s="3074"/>
      <c r="CP44" s="3074"/>
      <c r="CQ44" s="3074"/>
      <c r="CR44" s="3074"/>
      <c r="CS44" s="3074"/>
      <c r="CT44" s="3074"/>
      <c r="CU44" s="3074"/>
      <c r="CV44" s="3074"/>
      <c r="CW44" s="3074"/>
      <c r="CX44" s="3074"/>
      <c r="CY44" s="3074"/>
      <c r="CZ44" s="3074"/>
      <c r="DA44" s="3074"/>
      <c r="DB44" s="3074"/>
      <c r="DC44" s="3074"/>
      <c r="DD44" s="3074"/>
      <c r="DE44" s="3074"/>
      <c r="DF44" s="3074"/>
      <c r="DG44" s="3074"/>
      <c r="DH44" s="3074"/>
      <c r="DI44" s="3010">
        <f t="shared" ca="1" si="0"/>
        <v>22908</v>
      </c>
      <c r="DJ44" s="3010">
        <f t="shared" ca="1" si="0"/>
        <v>7605</v>
      </c>
    </row>
    <row r="45" spans="1:114" s="3015" customFormat="1" ht="30" customHeight="1">
      <c r="A45" s="3012">
        <f t="shared" si="1"/>
        <v>40</v>
      </c>
      <c r="B45" s="2994">
        <v>41893</v>
      </c>
      <c r="C45" s="2999">
        <v>41893</v>
      </c>
      <c r="D45" s="3012" t="s">
        <v>3817</v>
      </c>
      <c r="E45" s="2997" t="s">
        <v>3786</v>
      </c>
      <c r="F45" s="2995">
        <v>500446</v>
      </c>
      <c r="G45" s="2995" t="s">
        <v>3818</v>
      </c>
      <c r="H45" s="3012" t="s">
        <v>3760</v>
      </c>
      <c r="I45" s="2997" t="s">
        <v>3819</v>
      </c>
      <c r="J45" s="2995" t="s">
        <v>3818</v>
      </c>
      <c r="K45" s="2997" t="s">
        <v>3820</v>
      </c>
      <c r="L45" s="2997" t="s">
        <v>3751</v>
      </c>
      <c r="M45" s="2997" t="s">
        <v>3763</v>
      </c>
      <c r="N45" s="2997" t="s">
        <v>3821</v>
      </c>
      <c r="O45" s="2995">
        <v>40</v>
      </c>
      <c r="P45" s="3012"/>
      <c r="Q45" s="2998">
        <v>2440</v>
      </c>
      <c r="R45" s="2999">
        <v>41893</v>
      </c>
      <c r="S45" s="2998">
        <v>2440</v>
      </c>
      <c r="T45" s="2999">
        <v>41898</v>
      </c>
      <c r="U45" s="2999"/>
      <c r="V45" s="2999"/>
      <c r="W45" s="2995"/>
      <c r="X45" s="2995"/>
      <c r="Y45" s="2999">
        <v>42917</v>
      </c>
      <c r="Z45" s="2999">
        <v>41908</v>
      </c>
      <c r="AA45" s="3107">
        <v>43281</v>
      </c>
      <c r="AB45" s="2997" t="s">
        <v>3822</v>
      </c>
      <c r="AC45" s="3012"/>
      <c r="AD45" s="3012"/>
      <c r="AE45" s="3139">
        <f t="shared" si="2"/>
        <v>55406</v>
      </c>
      <c r="AF45" s="2998"/>
      <c r="AG45" s="2998">
        <v>61</v>
      </c>
      <c r="AH45" s="2998"/>
      <c r="AI45" s="2998" t="s">
        <v>3823</v>
      </c>
      <c r="AJ45" s="2998"/>
      <c r="AK45" s="3142">
        <v>115.43</v>
      </c>
      <c r="AL45" s="2998"/>
      <c r="AM45" s="3016"/>
      <c r="AN45" s="2998"/>
      <c r="AO45" s="3016"/>
      <c r="AP45" s="2994">
        <v>41908</v>
      </c>
      <c r="AQ45" s="2994">
        <v>43100</v>
      </c>
      <c r="AR45" s="3002" t="s">
        <v>3767</v>
      </c>
      <c r="AS45" s="2998">
        <v>1200</v>
      </c>
      <c r="AT45" s="2998">
        <v>360</v>
      </c>
      <c r="AU45" s="2998"/>
      <c r="AV45" s="2998">
        <v>45</v>
      </c>
      <c r="AW45" s="2994">
        <v>41908</v>
      </c>
      <c r="AX45" s="2994">
        <v>43100</v>
      </c>
      <c r="AY45" s="3004" t="s">
        <v>3767</v>
      </c>
      <c r="AZ45" s="3016"/>
      <c r="BA45" s="2999">
        <v>41898</v>
      </c>
      <c r="BB45" s="2999">
        <v>41907</v>
      </c>
      <c r="BC45" s="2995"/>
      <c r="BD45" s="2995">
        <v>10</v>
      </c>
      <c r="BE45" s="2998">
        <v>3000</v>
      </c>
      <c r="BF45" s="2998">
        <v>400</v>
      </c>
      <c r="BG45" s="3016"/>
      <c r="BH45" s="3016"/>
      <c r="BI45" s="3016"/>
      <c r="BJ45" s="3012"/>
      <c r="BK45" s="3012" t="s">
        <v>3769</v>
      </c>
      <c r="BL45" s="3074"/>
      <c r="BM45" s="3074"/>
      <c r="BN45" s="3074"/>
      <c r="BO45" s="3074"/>
      <c r="BP45" s="3074"/>
      <c r="BQ45" s="3074"/>
      <c r="BR45" s="3074"/>
      <c r="BS45" s="3074">
        <v>4015.2</v>
      </c>
      <c r="BT45" s="3074">
        <v>1200</v>
      </c>
      <c r="BU45" s="3074">
        <v>4015.2</v>
      </c>
      <c r="BV45" s="3074">
        <v>1200</v>
      </c>
      <c r="BW45" s="3074">
        <v>4015.2</v>
      </c>
      <c r="BX45" s="3074">
        <v>1200</v>
      </c>
      <c r="BY45" s="3074">
        <v>4617.2</v>
      </c>
      <c r="BZ45" s="3074">
        <v>1800</v>
      </c>
      <c r="CA45" s="3074">
        <v>4617.2</v>
      </c>
      <c r="CB45" s="3074">
        <v>1800</v>
      </c>
      <c r="CC45" s="3074">
        <v>4617.2</v>
      </c>
      <c r="CD45" s="3074">
        <v>1800</v>
      </c>
      <c r="CE45" s="3074">
        <v>4617.2</v>
      </c>
      <c r="CF45" s="3074">
        <v>1800</v>
      </c>
      <c r="CG45" s="3074">
        <v>4617.2</v>
      </c>
      <c r="CH45" s="3074">
        <v>1800</v>
      </c>
      <c r="CI45" s="3074">
        <v>4617.2</v>
      </c>
      <c r="CJ45" s="3074">
        <v>1800</v>
      </c>
      <c r="CK45" s="3074"/>
      <c r="CL45" s="3074"/>
      <c r="CM45" s="3074"/>
      <c r="CN45" s="3074"/>
      <c r="CO45" s="3074"/>
      <c r="CP45" s="3074"/>
      <c r="CQ45" s="3074"/>
      <c r="CR45" s="3074"/>
      <c r="CS45" s="3074"/>
      <c r="CT45" s="3074"/>
      <c r="CU45" s="3074"/>
      <c r="CV45" s="3074"/>
      <c r="CW45" s="3074"/>
      <c r="CX45" s="3074"/>
      <c r="CY45" s="3074"/>
      <c r="CZ45" s="3074"/>
      <c r="DA45" s="3074"/>
      <c r="DB45" s="3074"/>
      <c r="DC45" s="3074"/>
      <c r="DD45" s="3074"/>
      <c r="DE45" s="3074"/>
      <c r="DF45" s="3074"/>
      <c r="DG45" s="3074"/>
      <c r="DH45" s="3074"/>
      <c r="DI45" s="3010">
        <f t="shared" ca="1" si="0"/>
        <v>39748.799999999996</v>
      </c>
      <c r="DJ45" s="3010">
        <f t="shared" ca="1" si="0"/>
        <v>14400</v>
      </c>
    </row>
    <row r="46" spans="1:114" s="3015" customFormat="1" ht="30" customHeight="1">
      <c r="A46" s="3012">
        <f t="shared" si="1"/>
        <v>41</v>
      </c>
      <c r="B46" s="2994">
        <v>41539</v>
      </c>
      <c r="C46" s="2999">
        <v>41540</v>
      </c>
      <c r="D46" s="3012" t="s">
        <v>3824</v>
      </c>
      <c r="E46" s="2997" t="s">
        <v>3825</v>
      </c>
      <c r="F46" s="2995">
        <v>500095</v>
      </c>
      <c r="G46" s="2995" t="s">
        <v>3826</v>
      </c>
      <c r="H46" s="3012" t="s">
        <v>3760</v>
      </c>
      <c r="I46" s="2997" t="s">
        <v>3827</v>
      </c>
      <c r="J46" s="2995" t="s">
        <v>3828</v>
      </c>
      <c r="K46" s="2997" t="s">
        <v>3829</v>
      </c>
      <c r="L46" s="2997" t="s">
        <v>3751</v>
      </c>
      <c r="M46" s="2997" t="s">
        <v>3830</v>
      </c>
      <c r="N46" s="2997" t="s">
        <v>3831</v>
      </c>
      <c r="O46" s="2995">
        <v>3129</v>
      </c>
      <c r="P46" s="3012"/>
      <c r="Q46" s="2998">
        <v>190076</v>
      </c>
      <c r="R46" s="2999">
        <v>41731</v>
      </c>
      <c r="S46" s="2998">
        <f>70000+50000+70076</f>
        <v>190076</v>
      </c>
      <c r="T46" s="2999">
        <v>41640</v>
      </c>
      <c r="U46" s="2999" t="s">
        <v>3832</v>
      </c>
      <c r="V46" s="2999" t="s">
        <v>3833</v>
      </c>
      <c r="W46" s="2995">
        <v>6</v>
      </c>
      <c r="X46" s="2995"/>
      <c r="Y46" s="2999">
        <v>41900</v>
      </c>
      <c r="Z46" s="2999">
        <v>41808</v>
      </c>
      <c r="AA46" s="3107">
        <v>44729</v>
      </c>
      <c r="AB46" s="2997" t="s">
        <v>3834</v>
      </c>
      <c r="AC46" s="3012" t="s">
        <v>3835</v>
      </c>
      <c r="AD46" s="3012" t="s">
        <v>3836</v>
      </c>
      <c r="AE46" s="3141">
        <f>ROUND(AJ46*365*O46,0)</f>
        <v>2284170</v>
      </c>
      <c r="AF46" s="2998">
        <v>2</v>
      </c>
      <c r="AG46" s="2998">
        <v>60.83</v>
      </c>
      <c r="AH46" s="2998">
        <v>2</v>
      </c>
      <c r="AI46" s="2998">
        <v>60.86</v>
      </c>
      <c r="AJ46" s="3134">
        <v>2</v>
      </c>
      <c r="AK46" s="3016"/>
      <c r="AL46" s="2998">
        <v>2.4</v>
      </c>
      <c r="AM46" s="3016"/>
      <c r="AN46" s="2998">
        <v>2.6</v>
      </c>
      <c r="AO46" s="3016"/>
      <c r="AP46" s="2994">
        <v>43100</v>
      </c>
      <c r="AQ46" s="2994">
        <v>42978</v>
      </c>
      <c r="AR46" s="3002" t="s">
        <v>3744</v>
      </c>
      <c r="AS46" s="2998"/>
      <c r="AT46" s="2998">
        <v>0</v>
      </c>
      <c r="AU46" s="2998"/>
      <c r="AV46" s="2998"/>
      <c r="AW46" s="2994"/>
      <c r="AX46" s="2994"/>
      <c r="AY46" s="3004"/>
      <c r="AZ46" s="3016"/>
      <c r="BA46" s="2999"/>
      <c r="BB46" s="2999" t="s">
        <v>3837</v>
      </c>
      <c r="BC46" s="2995"/>
      <c r="BD46" s="2995">
        <v>90</v>
      </c>
      <c r="BE46" s="2998">
        <v>20000</v>
      </c>
      <c r="BF46" s="2998">
        <v>20000</v>
      </c>
      <c r="BG46" s="3016"/>
      <c r="BH46" s="3016"/>
      <c r="BI46" s="3016"/>
      <c r="BJ46" s="3012" t="s">
        <v>3838</v>
      </c>
      <c r="BK46" s="3012" t="s">
        <v>3776</v>
      </c>
      <c r="BL46" s="3074"/>
      <c r="BM46" s="3074">
        <v>190337.07</v>
      </c>
      <c r="BN46" s="3074"/>
      <c r="BO46" s="3074">
        <v>190337.07</v>
      </c>
      <c r="BP46" s="3074"/>
      <c r="BQ46" s="3074">
        <v>190337.07</v>
      </c>
      <c r="BR46" s="3074"/>
      <c r="BS46" s="3074">
        <v>190337.07</v>
      </c>
      <c r="BT46" s="3074"/>
      <c r="BU46" s="3074">
        <v>190337.07</v>
      </c>
      <c r="BV46" s="3074"/>
      <c r="BW46" s="3074">
        <v>190337.07</v>
      </c>
      <c r="BX46" s="3074"/>
      <c r="BY46" s="3074">
        <v>190337.07</v>
      </c>
      <c r="BZ46" s="3074"/>
      <c r="CA46" s="3074">
        <v>190337.07</v>
      </c>
      <c r="CB46" s="3074"/>
      <c r="CC46" s="3074"/>
      <c r="CD46" s="3074"/>
      <c r="CE46" s="3074"/>
      <c r="CF46" s="3074"/>
      <c r="CG46" s="3074"/>
      <c r="CH46" s="3074"/>
      <c r="CI46" s="3074"/>
      <c r="CJ46" s="3074"/>
      <c r="CK46" s="3074"/>
      <c r="CL46" s="3074"/>
      <c r="CM46" s="3074"/>
      <c r="CN46" s="3074"/>
      <c r="CO46" s="3074"/>
      <c r="CP46" s="3074"/>
      <c r="CQ46" s="3074"/>
      <c r="CR46" s="3074"/>
      <c r="CS46" s="3074"/>
      <c r="CT46" s="3074"/>
      <c r="CU46" s="3074"/>
      <c r="CV46" s="3074"/>
      <c r="CW46" s="3074"/>
      <c r="CX46" s="3074"/>
      <c r="CY46" s="3074"/>
      <c r="CZ46" s="3074"/>
      <c r="DA46" s="3074"/>
      <c r="DB46" s="3074"/>
      <c r="DC46" s="3074"/>
      <c r="DD46" s="3074"/>
      <c r="DE46" s="3074"/>
      <c r="DF46" s="3074"/>
      <c r="DG46" s="3074"/>
      <c r="DH46" s="3074"/>
      <c r="DI46" s="3010">
        <f t="shared" ca="1" si="0"/>
        <v>1522696.5600000003</v>
      </c>
      <c r="DJ46" s="3010">
        <f t="shared" ca="1" si="0"/>
        <v>0</v>
      </c>
    </row>
    <row r="47" spans="1:114" s="3015" customFormat="1" ht="30" customHeight="1">
      <c r="A47" s="3012">
        <f t="shared" si="1"/>
        <v>42</v>
      </c>
      <c r="B47" s="2994">
        <v>42899</v>
      </c>
      <c r="C47" s="2999">
        <v>42905</v>
      </c>
      <c r="D47" s="3012" t="s">
        <v>3839</v>
      </c>
      <c r="E47" s="2997" t="s">
        <v>3771</v>
      </c>
      <c r="F47" s="2995">
        <v>500678</v>
      </c>
      <c r="G47" s="2995" t="s">
        <v>3840</v>
      </c>
      <c r="H47" s="3012" t="s">
        <v>3760</v>
      </c>
      <c r="I47" s="2997" t="s">
        <v>3841</v>
      </c>
      <c r="J47" s="2995" t="s">
        <v>3840</v>
      </c>
      <c r="K47" s="2997" t="s">
        <v>3842</v>
      </c>
      <c r="L47" s="2997" t="s">
        <v>3751</v>
      </c>
      <c r="M47" s="2997" t="s">
        <v>3843</v>
      </c>
      <c r="N47" s="2997" t="s">
        <v>3844</v>
      </c>
      <c r="O47" s="2995">
        <v>23</v>
      </c>
      <c r="P47" s="3012"/>
      <c r="Q47" s="2998">
        <v>2461</v>
      </c>
      <c r="R47" s="2999">
        <v>42901</v>
      </c>
      <c r="S47" s="2998">
        <v>2461</v>
      </c>
      <c r="T47" s="2999">
        <v>42906</v>
      </c>
      <c r="U47" s="2999">
        <v>42936</v>
      </c>
      <c r="V47" s="2999">
        <v>42966</v>
      </c>
      <c r="W47" s="2995">
        <v>1</v>
      </c>
      <c r="X47" s="2995"/>
      <c r="Y47" s="2999">
        <v>42967</v>
      </c>
      <c r="Z47" s="2999">
        <v>42906</v>
      </c>
      <c r="AA47" s="3107">
        <v>44001</v>
      </c>
      <c r="AB47" s="2997" t="s">
        <v>3845</v>
      </c>
      <c r="AC47" s="3012" t="s">
        <v>3846</v>
      </c>
      <c r="AD47" s="3012">
        <v>5</v>
      </c>
      <c r="AE47" s="3139">
        <f>ROUND(AG47*12*O47,0)</f>
        <v>29532</v>
      </c>
      <c r="AF47" s="2998"/>
      <c r="AG47" s="3134">
        <v>107</v>
      </c>
      <c r="AH47" s="2998"/>
      <c r="AI47" s="2998">
        <v>107</v>
      </c>
      <c r="AJ47" s="2998"/>
      <c r="AK47" s="3016">
        <v>112.35</v>
      </c>
      <c r="AL47" s="2998"/>
      <c r="AM47" s="3016"/>
      <c r="AN47" s="2998"/>
      <c r="AO47" s="3016"/>
      <c r="AP47" s="2994">
        <v>42967</v>
      </c>
      <c r="AQ47" s="2994">
        <v>43058</v>
      </c>
      <c r="AR47" s="3002" t="s">
        <v>3767</v>
      </c>
      <c r="AS47" s="2998">
        <v>1049.3800000000001</v>
      </c>
      <c r="AT47" s="2998">
        <v>1035</v>
      </c>
      <c r="AU47" s="2998">
        <v>1.5</v>
      </c>
      <c r="AV47" s="2998"/>
      <c r="AW47" s="2994">
        <v>42936</v>
      </c>
      <c r="AX47" s="2994">
        <v>43058</v>
      </c>
      <c r="AY47" s="3004" t="s">
        <v>3767</v>
      </c>
      <c r="AZ47" s="3016"/>
      <c r="BA47" s="2999">
        <v>42906</v>
      </c>
      <c r="BB47" s="2999">
        <v>42935</v>
      </c>
      <c r="BC47" s="2995">
        <v>1</v>
      </c>
      <c r="BD47" s="2995"/>
      <c r="BE47" s="2998">
        <v>3000</v>
      </c>
      <c r="BF47" s="2998">
        <v>230</v>
      </c>
      <c r="BG47" s="3016"/>
      <c r="BH47" s="3016"/>
      <c r="BI47" s="3016"/>
      <c r="BJ47" s="3012"/>
      <c r="BK47" s="3012" t="s">
        <v>3776</v>
      </c>
      <c r="BL47" s="3074"/>
      <c r="BM47" s="3074"/>
      <c r="BN47" s="3074"/>
      <c r="BO47" s="3074"/>
      <c r="BP47" s="3074"/>
      <c r="BQ47" s="3074"/>
      <c r="BR47" s="3074"/>
      <c r="BS47" s="3074"/>
      <c r="BT47" s="3074"/>
      <c r="BU47" s="3074"/>
      <c r="BV47" s="3074"/>
      <c r="BW47" s="3074"/>
      <c r="BX47" s="3074"/>
      <c r="BY47" s="3074"/>
      <c r="BZ47" s="3074">
        <v>414</v>
      </c>
      <c r="CA47" s="3074">
        <v>952.65</v>
      </c>
      <c r="CB47" s="3074">
        <v>1069.5</v>
      </c>
      <c r="CC47" s="3074">
        <v>2461</v>
      </c>
      <c r="CD47" s="3074">
        <v>1035</v>
      </c>
      <c r="CE47" s="3074">
        <v>2461</v>
      </c>
      <c r="CF47" s="3074">
        <v>1069.5</v>
      </c>
      <c r="CG47" s="3074">
        <v>1558.63</v>
      </c>
      <c r="CH47" s="3074">
        <v>655.5</v>
      </c>
      <c r="CI47" s="3074"/>
      <c r="CJ47" s="3074"/>
      <c r="CK47" s="3074"/>
      <c r="CL47" s="3074"/>
      <c r="CM47" s="3074"/>
      <c r="CN47" s="3074"/>
      <c r="CO47" s="3074"/>
      <c r="CP47" s="3074"/>
      <c r="CQ47" s="3074"/>
      <c r="CR47" s="3074"/>
      <c r="CS47" s="3074"/>
      <c r="CT47" s="3074"/>
      <c r="CU47" s="3074"/>
      <c r="CV47" s="3074"/>
      <c r="CW47" s="3074"/>
      <c r="CX47" s="3074"/>
      <c r="CY47" s="3074"/>
      <c r="CZ47" s="3074"/>
      <c r="DA47" s="3074"/>
      <c r="DB47" s="3074"/>
      <c r="DC47" s="3074"/>
      <c r="DD47" s="3074"/>
      <c r="DE47" s="3074"/>
      <c r="DF47" s="3074"/>
      <c r="DG47" s="3074"/>
      <c r="DH47" s="3074"/>
      <c r="DI47" s="3010">
        <f t="shared" ca="1" si="0"/>
        <v>7433.28</v>
      </c>
      <c r="DJ47" s="3010">
        <f t="shared" ca="1" si="0"/>
        <v>4243.5</v>
      </c>
    </row>
    <row r="48" spans="1:114" s="3015" customFormat="1" ht="30" customHeight="1">
      <c r="A48" s="3012">
        <f t="shared" si="1"/>
        <v>43</v>
      </c>
      <c r="B48" s="2994">
        <v>42195</v>
      </c>
      <c r="C48" s="2999">
        <v>42195</v>
      </c>
      <c r="D48" s="3012" t="s">
        <v>3847</v>
      </c>
      <c r="E48" s="2997" t="s">
        <v>3848</v>
      </c>
      <c r="F48" s="2995">
        <v>500523</v>
      </c>
      <c r="G48" s="2995" t="s">
        <v>3849</v>
      </c>
      <c r="H48" s="3012" t="s">
        <v>3760</v>
      </c>
      <c r="I48" s="2997" t="s">
        <v>3850</v>
      </c>
      <c r="J48" s="2995" t="s">
        <v>3849</v>
      </c>
      <c r="K48" s="2997" t="s">
        <v>3851</v>
      </c>
      <c r="L48" s="2997" t="s">
        <v>3751</v>
      </c>
      <c r="M48" s="2997" t="s">
        <v>3843</v>
      </c>
      <c r="N48" s="2997" t="s">
        <v>3852</v>
      </c>
      <c r="O48" s="2995">
        <v>269</v>
      </c>
      <c r="P48" s="3012"/>
      <c r="Q48" s="2998">
        <v>15785</v>
      </c>
      <c r="R48" s="2999">
        <v>42195</v>
      </c>
      <c r="S48" s="2998">
        <v>15785</v>
      </c>
      <c r="T48" s="2999">
        <v>42222</v>
      </c>
      <c r="U48" s="2999" t="s">
        <v>3853</v>
      </c>
      <c r="V48" s="2999" t="s">
        <v>3854</v>
      </c>
      <c r="W48" s="2995">
        <v>2</v>
      </c>
      <c r="X48" s="2995"/>
      <c r="Y48" s="2999">
        <v>42314</v>
      </c>
      <c r="Z48" s="2999">
        <v>42283</v>
      </c>
      <c r="AA48" s="3107">
        <v>43378</v>
      </c>
      <c r="AB48" s="2997" t="s">
        <v>3845</v>
      </c>
      <c r="AC48" s="3012" t="s">
        <v>3855</v>
      </c>
      <c r="AD48" s="3012"/>
      <c r="AE48" s="3139">
        <f t="shared" si="2"/>
        <v>196908</v>
      </c>
      <c r="AF48" s="2998"/>
      <c r="AG48" s="2998">
        <v>55</v>
      </c>
      <c r="AH48" s="2998"/>
      <c r="AI48" s="2998">
        <v>58</v>
      </c>
      <c r="AJ48" s="2998"/>
      <c r="AK48" s="3134">
        <v>61</v>
      </c>
      <c r="AL48" s="2998"/>
      <c r="AM48" s="3016"/>
      <c r="AN48" s="2998"/>
      <c r="AO48" s="3016"/>
      <c r="AP48" s="2994">
        <v>42314</v>
      </c>
      <c r="AQ48" s="2994">
        <v>43069</v>
      </c>
      <c r="AR48" s="3002" t="s">
        <v>3767</v>
      </c>
      <c r="AS48" s="2998">
        <v>8610</v>
      </c>
      <c r="AT48" s="2998">
        <v>17220</v>
      </c>
      <c r="AU48" s="2998"/>
      <c r="AV48" s="2998">
        <v>30</v>
      </c>
      <c r="AW48" s="2994">
        <v>42283</v>
      </c>
      <c r="AX48" s="2994">
        <v>43069</v>
      </c>
      <c r="AY48" s="3004" t="s">
        <v>3767</v>
      </c>
      <c r="AZ48" s="3016"/>
      <c r="BA48" s="2999">
        <v>42222</v>
      </c>
      <c r="BB48" s="2999">
        <v>42282</v>
      </c>
      <c r="BC48" s="2995">
        <v>2</v>
      </c>
      <c r="BD48" s="2995"/>
      <c r="BE48" s="2998">
        <v>5000</v>
      </c>
      <c r="BF48" s="2998">
        <v>2870</v>
      </c>
      <c r="BG48" s="3016"/>
      <c r="BH48" s="3016"/>
      <c r="BI48" s="3016"/>
      <c r="BJ48" s="3012"/>
      <c r="BK48" s="3012" t="s">
        <v>3776</v>
      </c>
      <c r="BL48" s="3074"/>
      <c r="BM48" s="3074"/>
      <c r="BN48" s="3074"/>
      <c r="BO48" s="3074"/>
      <c r="BP48" s="3074"/>
      <c r="BQ48" s="3074">
        <v>15602</v>
      </c>
      <c r="BR48" s="3074">
        <v>8070</v>
      </c>
      <c r="BS48" s="3074">
        <v>15602</v>
      </c>
      <c r="BT48" s="3074">
        <v>8070</v>
      </c>
      <c r="BU48" s="3074">
        <v>15602</v>
      </c>
      <c r="BV48" s="3074">
        <v>8070</v>
      </c>
      <c r="BW48" s="3074">
        <v>15602</v>
      </c>
      <c r="BX48" s="3074">
        <v>8070</v>
      </c>
      <c r="BY48" s="3074">
        <v>15602</v>
      </c>
      <c r="BZ48" s="3074">
        <v>8070</v>
      </c>
      <c r="CA48" s="3074">
        <v>15602</v>
      </c>
      <c r="CB48" s="3074">
        <v>8070</v>
      </c>
      <c r="CC48" s="3074">
        <v>15602</v>
      </c>
      <c r="CD48" s="3074">
        <v>8070</v>
      </c>
      <c r="CE48" s="3074">
        <v>16278.84</v>
      </c>
      <c r="CF48" s="3074">
        <v>8070</v>
      </c>
      <c r="CG48" s="3074">
        <v>16409</v>
      </c>
      <c r="CH48" s="3074">
        <v>8070</v>
      </c>
      <c r="CI48" s="3074"/>
      <c r="CJ48" s="3074"/>
      <c r="CK48" s="3074"/>
      <c r="CL48" s="3074"/>
      <c r="CM48" s="3074"/>
      <c r="CN48" s="3074"/>
      <c r="CO48" s="3074"/>
      <c r="CP48" s="3074"/>
      <c r="CQ48" s="3074"/>
      <c r="CR48" s="3074"/>
      <c r="CS48" s="3074"/>
      <c r="CT48" s="3074"/>
      <c r="CU48" s="3074"/>
      <c r="CV48" s="3074"/>
      <c r="CW48" s="3074"/>
      <c r="CX48" s="3074"/>
      <c r="CY48" s="3074"/>
      <c r="CZ48" s="3074"/>
      <c r="DA48" s="3074"/>
      <c r="DB48" s="3074"/>
      <c r="DC48" s="3074"/>
      <c r="DD48" s="3074"/>
      <c r="DE48" s="3074"/>
      <c r="DF48" s="3074"/>
      <c r="DG48" s="3074"/>
      <c r="DH48" s="3074"/>
      <c r="DI48" s="3010">
        <f t="shared" ca="1" si="0"/>
        <v>141901.84</v>
      </c>
      <c r="DJ48" s="3010">
        <f t="shared" ca="1" si="0"/>
        <v>72630</v>
      </c>
    </row>
    <row r="49" spans="1:114" s="3015" customFormat="1" ht="30" customHeight="1">
      <c r="A49" s="3012">
        <f t="shared" si="1"/>
        <v>44</v>
      </c>
      <c r="B49" s="2994">
        <v>41617</v>
      </c>
      <c r="C49" s="2999">
        <v>41617</v>
      </c>
      <c r="D49" s="3012" t="s">
        <v>3856</v>
      </c>
      <c r="E49" s="2997" t="s">
        <v>3857</v>
      </c>
      <c r="F49" s="2995">
        <v>500193</v>
      </c>
      <c r="G49" s="2995" t="s">
        <v>3858</v>
      </c>
      <c r="H49" s="3012" t="s">
        <v>3760</v>
      </c>
      <c r="I49" s="2997" t="s">
        <v>3859</v>
      </c>
      <c r="J49" s="2995" t="s">
        <v>3860</v>
      </c>
      <c r="K49" s="2997" t="s">
        <v>3861</v>
      </c>
      <c r="L49" s="2997" t="s">
        <v>3751</v>
      </c>
      <c r="M49" s="2997" t="s">
        <v>3843</v>
      </c>
      <c r="N49" s="2997" t="s">
        <v>3862</v>
      </c>
      <c r="O49" s="2995">
        <v>664</v>
      </c>
      <c r="P49" s="3012"/>
      <c r="Q49" s="2998">
        <v>16836</v>
      </c>
      <c r="R49" s="2999">
        <v>41617</v>
      </c>
      <c r="S49" s="2998">
        <v>16836</v>
      </c>
      <c r="T49" s="2999">
        <v>41640</v>
      </c>
      <c r="U49" s="2999"/>
      <c r="V49" s="2999"/>
      <c r="W49" s="2995"/>
      <c r="X49" s="2995"/>
      <c r="Y49" s="2999">
        <v>41777</v>
      </c>
      <c r="Z49" s="2999">
        <v>41760</v>
      </c>
      <c r="AA49" s="3107">
        <v>43585</v>
      </c>
      <c r="AB49" s="2997" t="s">
        <v>3863</v>
      </c>
      <c r="AC49" s="3012" t="s">
        <v>3864</v>
      </c>
      <c r="AD49" s="3012"/>
      <c r="AE49" s="3141">
        <f>ROUND(AJ49*365*O49,0)</f>
        <v>460484</v>
      </c>
      <c r="AF49" s="2998">
        <v>1.5</v>
      </c>
      <c r="AG49" s="2998">
        <v>45.63</v>
      </c>
      <c r="AH49" s="2998">
        <v>1.6</v>
      </c>
      <c r="AI49" s="2998">
        <v>48.67</v>
      </c>
      <c r="AJ49" s="3134">
        <v>1.9</v>
      </c>
      <c r="AK49" s="3016"/>
      <c r="AL49" s="2998">
        <v>2</v>
      </c>
      <c r="AM49" s="3016"/>
      <c r="AN49" s="2998"/>
      <c r="AO49" s="3016"/>
      <c r="AP49" s="2994">
        <v>41777</v>
      </c>
      <c r="AQ49" s="2994">
        <v>43069</v>
      </c>
      <c r="AR49" s="3002" t="s">
        <v>3767</v>
      </c>
      <c r="AS49" s="2998"/>
      <c r="AT49" s="2998">
        <v>0</v>
      </c>
      <c r="AU49" s="2998"/>
      <c r="AV49" s="2998"/>
      <c r="AW49" s="2994">
        <v>41777</v>
      </c>
      <c r="AX49" s="2994">
        <v>43069</v>
      </c>
      <c r="AY49" s="3004" t="s">
        <v>3865</v>
      </c>
      <c r="AZ49" s="3016">
        <v>10</v>
      </c>
      <c r="BA49" s="2999">
        <v>41640</v>
      </c>
      <c r="BB49" s="2999">
        <v>41698</v>
      </c>
      <c r="BC49" s="2995">
        <v>2</v>
      </c>
      <c r="BD49" s="2995"/>
      <c r="BE49" s="2998">
        <v>5000</v>
      </c>
      <c r="BF49" s="2998">
        <f>3000+3690</f>
        <v>6690</v>
      </c>
      <c r="BG49" s="3016"/>
      <c r="BH49" s="3016"/>
      <c r="BI49" s="2998">
        <v>5400</v>
      </c>
      <c r="BJ49" s="3012" t="s">
        <v>3866</v>
      </c>
      <c r="BK49" s="3012" t="s">
        <v>3535</v>
      </c>
      <c r="BL49" s="3074"/>
      <c r="BM49" s="3074"/>
      <c r="BN49" s="3074"/>
      <c r="BO49" s="3074"/>
      <c r="BP49" s="3074"/>
      <c r="BQ49" s="3074">
        <v>36354</v>
      </c>
      <c r="BR49" s="3074">
        <v>3212.9</v>
      </c>
      <c r="BS49" s="3074">
        <v>36354</v>
      </c>
      <c r="BT49" s="3074"/>
      <c r="BU49" s="3074">
        <v>38373.67</v>
      </c>
      <c r="BV49" s="3074">
        <v>6640</v>
      </c>
      <c r="BW49" s="3074">
        <v>38373.67</v>
      </c>
      <c r="BX49" s="3074">
        <v>6640</v>
      </c>
      <c r="BY49" s="3074">
        <v>38373.67</v>
      </c>
      <c r="BZ49" s="3074">
        <v>6640</v>
      </c>
      <c r="CA49" s="3074">
        <v>38373.67</v>
      </c>
      <c r="CB49" s="3074">
        <v>6640</v>
      </c>
      <c r="CC49" s="3074">
        <v>38373.67</v>
      </c>
      <c r="CD49" s="3074">
        <v>6640</v>
      </c>
      <c r="CE49" s="3074">
        <v>38373.67</v>
      </c>
      <c r="CF49" s="3074">
        <v>0</v>
      </c>
      <c r="CG49" s="3074">
        <v>38373.67</v>
      </c>
      <c r="CH49" s="3074">
        <v>3541.33</v>
      </c>
      <c r="CI49" s="3074"/>
      <c r="CJ49" s="3074"/>
      <c r="CK49" s="3074"/>
      <c r="CL49" s="3074"/>
      <c r="CM49" s="3074"/>
      <c r="CN49" s="3074"/>
      <c r="CO49" s="3074"/>
      <c r="CP49" s="3074"/>
      <c r="CQ49" s="3074"/>
      <c r="CR49" s="3074"/>
      <c r="CS49" s="3074"/>
      <c r="CT49" s="3074"/>
      <c r="CU49" s="3074"/>
      <c r="CV49" s="3074"/>
      <c r="CW49" s="3074"/>
      <c r="CX49" s="3074"/>
      <c r="CY49" s="3074"/>
      <c r="CZ49" s="3074"/>
      <c r="DA49" s="3074"/>
      <c r="DB49" s="3074"/>
      <c r="DC49" s="3074"/>
      <c r="DD49" s="3074"/>
      <c r="DE49" s="3074"/>
      <c r="DF49" s="3074"/>
      <c r="DG49" s="3074"/>
      <c r="DH49" s="3074"/>
      <c r="DI49" s="3010">
        <f t="shared" ca="1" si="0"/>
        <v>341323.68999999994</v>
      </c>
      <c r="DJ49" s="3010">
        <f t="shared" ca="1" si="0"/>
        <v>39954.230000000003</v>
      </c>
    </row>
    <row r="50" spans="1:114" s="3015" customFormat="1" ht="30" customHeight="1">
      <c r="A50" s="3012">
        <f t="shared" si="1"/>
        <v>45</v>
      </c>
      <c r="B50" s="2994">
        <v>42202</v>
      </c>
      <c r="C50" s="2999">
        <v>42202</v>
      </c>
      <c r="D50" s="3012" t="s">
        <v>3867</v>
      </c>
      <c r="E50" s="2997" t="s">
        <v>3868</v>
      </c>
      <c r="F50" s="2995">
        <v>500531</v>
      </c>
      <c r="G50" s="2995" t="s">
        <v>3869</v>
      </c>
      <c r="H50" s="3012" t="s">
        <v>3870</v>
      </c>
      <c r="I50" s="2997" t="s">
        <v>3871</v>
      </c>
      <c r="J50" s="2995" t="s">
        <v>3869</v>
      </c>
      <c r="K50" s="2997" t="s">
        <v>3872</v>
      </c>
      <c r="L50" s="2997" t="s">
        <v>3530</v>
      </c>
      <c r="M50" s="2997" t="s">
        <v>3873</v>
      </c>
      <c r="N50" s="2997" t="s">
        <v>3874</v>
      </c>
      <c r="O50" s="2995">
        <v>900</v>
      </c>
      <c r="P50" s="3012" t="s">
        <v>3875</v>
      </c>
      <c r="Q50" s="2998">
        <v>50000</v>
      </c>
      <c r="R50" s="2999">
        <v>42202</v>
      </c>
      <c r="S50" s="2998">
        <v>50000</v>
      </c>
      <c r="T50" s="2999">
        <v>42217</v>
      </c>
      <c r="U50" s="2999" t="s">
        <v>3876</v>
      </c>
      <c r="V50" s="2999" t="s">
        <v>3877</v>
      </c>
      <c r="W50" s="2995">
        <v>3</v>
      </c>
      <c r="X50" s="2995"/>
      <c r="Y50" s="2999">
        <v>42339</v>
      </c>
      <c r="Z50" s="2999">
        <v>42339</v>
      </c>
      <c r="AA50" s="3107">
        <v>44165</v>
      </c>
      <c r="AB50" s="2997" t="s">
        <v>3580</v>
      </c>
      <c r="AC50" s="3012"/>
      <c r="AD50" s="3012"/>
      <c r="AE50" s="3139">
        <f>ROUND(AI50*12*O50,0)</f>
        <v>496800</v>
      </c>
      <c r="AF50" s="2998"/>
      <c r="AG50" s="2998">
        <v>46</v>
      </c>
      <c r="AH50" s="2998"/>
      <c r="AI50" s="3134">
        <v>46</v>
      </c>
      <c r="AJ50" s="2998"/>
      <c r="AK50" s="3016"/>
      <c r="AL50" s="2998"/>
      <c r="AM50" s="3016"/>
      <c r="AN50" s="2998"/>
      <c r="AO50" s="3016"/>
      <c r="AP50" s="2994">
        <v>42339</v>
      </c>
      <c r="AQ50" s="2994">
        <v>42947</v>
      </c>
      <c r="AR50" s="3002" t="s">
        <v>3623</v>
      </c>
      <c r="AS50" s="2998"/>
      <c r="AT50" s="2998">
        <v>104640</v>
      </c>
      <c r="AU50" s="2998"/>
      <c r="AV50" s="2998"/>
      <c r="AW50" s="2994">
        <v>42339</v>
      </c>
      <c r="AX50" s="2994">
        <v>42735</v>
      </c>
      <c r="AY50" s="3004"/>
      <c r="AZ50" s="3016"/>
      <c r="BA50" s="2999" t="s">
        <v>3878</v>
      </c>
      <c r="BB50" s="2999" t="s">
        <v>3879</v>
      </c>
      <c r="BC50" s="2995">
        <f>4+2</f>
        <v>6</v>
      </c>
      <c r="BD50" s="2995"/>
      <c r="BE50" s="2998">
        <v>50000</v>
      </c>
      <c r="BF50" s="2998">
        <v>8720</v>
      </c>
      <c r="BG50" s="3016"/>
      <c r="BH50" s="3016"/>
      <c r="BI50" s="3016"/>
      <c r="BJ50" s="3012"/>
      <c r="BK50" s="3012" t="s">
        <v>3535</v>
      </c>
      <c r="BL50" s="3074"/>
      <c r="BM50" s="3074">
        <v>39038.1</v>
      </c>
      <c r="BN50" s="3074"/>
      <c r="BO50" s="3074">
        <v>38586.199999999997</v>
      </c>
      <c r="BP50" s="3074"/>
      <c r="BQ50" s="3074">
        <v>38981.35</v>
      </c>
      <c r="BR50" s="3074"/>
      <c r="BS50" s="3074">
        <v>47924.4</v>
      </c>
      <c r="BT50" s="3074"/>
      <c r="BU50" s="3074">
        <v>47479.92</v>
      </c>
      <c r="BV50" s="3074"/>
      <c r="BW50" s="3074">
        <v>45370.080000000002</v>
      </c>
      <c r="BX50" s="3074"/>
      <c r="BY50" s="3074">
        <v>44639.76</v>
      </c>
      <c r="BZ50" s="3074"/>
      <c r="CA50" s="3074"/>
      <c r="CB50" s="3074"/>
      <c r="CC50" s="3074"/>
      <c r="CD50" s="3074"/>
      <c r="CE50" s="3074"/>
      <c r="CF50" s="3074"/>
      <c r="CG50" s="3074"/>
      <c r="CH50" s="3074"/>
      <c r="CI50" s="3074"/>
      <c r="CJ50" s="3074"/>
      <c r="CK50" s="3074"/>
      <c r="CL50" s="3074"/>
      <c r="CM50" s="3074"/>
      <c r="CN50" s="3074"/>
      <c r="CO50" s="3074"/>
      <c r="CP50" s="3074"/>
      <c r="CQ50" s="3074"/>
      <c r="CR50" s="3074"/>
      <c r="CS50" s="3074"/>
      <c r="CT50" s="3074"/>
      <c r="CU50" s="3074"/>
      <c r="CV50" s="3074"/>
      <c r="CW50" s="3074"/>
      <c r="CX50" s="3074"/>
      <c r="CY50" s="3074"/>
      <c r="CZ50" s="3074"/>
      <c r="DA50" s="3074"/>
      <c r="DB50" s="3074"/>
      <c r="DC50" s="3074"/>
      <c r="DD50" s="3074"/>
      <c r="DE50" s="3074"/>
      <c r="DF50" s="3074"/>
      <c r="DG50" s="3074"/>
      <c r="DH50" s="3074"/>
      <c r="DI50" s="3010">
        <f t="shared" ca="1" si="0"/>
        <v>302019.81</v>
      </c>
      <c r="DJ50" s="3010">
        <f t="shared" ca="1" si="0"/>
        <v>0</v>
      </c>
    </row>
    <row r="51" spans="1:114" ht="30" customHeight="1">
      <c r="O51" s="3095">
        <f>SUM(O6:O50)</f>
        <v>8286.65</v>
      </c>
      <c r="AE51" s="3145">
        <f ca="1">SUM(AE6:AE50)</f>
        <v>7071953.7599999998</v>
      </c>
    </row>
    <row r="53" spans="1:114">
      <c r="C53" s="3100" t="s">
        <v>3880</v>
      </c>
      <c r="D53" s="3100">
        <v>2774</v>
      </c>
      <c r="H53" s="3101" t="s">
        <v>3881</v>
      </c>
      <c r="I53" s="3092" t="s">
        <v>3881</v>
      </c>
    </row>
    <row r="54" spans="1:114">
      <c r="C54" s="3100" t="s">
        <v>3882</v>
      </c>
      <c r="D54" s="3100">
        <v>3221</v>
      </c>
    </row>
    <row r="55" spans="1:114">
      <c r="C55" s="3100" t="s">
        <v>3883</v>
      </c>
      <c r="D55" s="3100">
        <v>2279</v>
      </c>
    </row>
    <row r="56" spans="1:114">
      <c r="C56" s="3100" t="s">
        <v>3884</v>
      </c>
      <c r="D56" s="3100">
        <v>2225</v>
      </c>
      <c r="F56" s="3148" t="s">
        <v>3895</v>
      </c>
      <c r="G56" s="3063">
        <f>D53+D57</f>
        <v>4949</v>
      </c>
      <c r="J56" s="3093">
        <f>K56+L56</f>
        <v>3752</v>
      </c>
      <c r="K56" s="3093">
        <f>SUM('商铺-广场A馆'!O6:O17)</f>
        <v>1852</v>
      </c>
      <c r="L56" s="3063">
        <f>SUM(O6:O19)</f>
        <v>1900</v>
      </c>
      <c r="M56" s="3102" t="s">
        <v>3885</v>
      </c>
      <c r="N56" s="3094" t="s">
        <v>3899</v>
      </c>
    </row>
    <row r="57" spans="1:114">
      <c r="C57" s="3100" t="s">
        <v>3886</v>
      </c>
      <c r="D57" s="3100">
        <v>2175</v>
      </c>
      <c r="F57" s="3148" t="s">
        <v>3896</v>
      </c>
      <c r="G57" s="3063">
        <f>D54+D58</f>
        <v>4900</v>
      </c>
      <c r="J57" s="3093">
        <f>K57+L57</f>
        <v>4622.6499999999996</v>
      </c>
      <c r="K57" s="3093">
        <f>SUM('商铺-广场A馆'!O18)</f>
        <v>3221</v>
      </c>
      <c r="L57" s="3063">
        <f>SUM(O20:O45)</f>
        <v>1401.65</v>
      </c>
    </row>
    <row r="58" spans="1:114">
      <c r="C58" s="3100" t="s">
        <v>3887</v>
      </c>
      <c r="D58" s="3100">
        <v>1679</v>
      </c>
      <c r="F58" s="3148" t="s">
        <v>3897</v>
      </c>
      <c r="G58" s="3063">
        <f>D55+D59</f>
        <v>5395</v>
      </c>
      <c r="J58" s="3093">
        <f>K58+L58</f>
        <v>4941</v>
      </c>
      <c r="K58" s="3093">
        <f>SUM('商铺-广场A馆'!O19:O26)</f>
        <v>1812</v>
      </c>
      <c r="L58" s="3063">
        <f>SUM(O46)</f>
        <v>3129</v>
      </c>
    </row>
    <row r="59" spans="1:114">
      <c r="C59" s="3100" t="s">
        <v>3888</v>
      </c>
      <c r="D59" s="3100">
        <v>3116</v>
      </c>
      <c r="F59" s="3148" t="s">
        <v>3898</v>
      </c>
      <c r="G59" s="3063">
        <f>D56+D60</f>
        <v>4120</v>
      </c>
      <c r="J59" s="3093">
        <f>K59+L59</f>
        <v>3762.9</v>
      </c>
      <c r="K59" s="3093">
        <f>SUM('商铺-广场A馆'!O27:O29)</f>
        <v>1906.9</v>
      </c>
      <c r="L59" s="3063">
        <f>SUM(O47:O50)</f>
        <v>1856</v>
      </c>
    </row>
    <row r="60" spans="1:114">
      <c r="C60" s="3100" t="s">
        <v>3889</v>
      </c>
      <c r="D60" s="3100">
        <v>1895</v>
      </c>
      <c r="G60" s="3063">
        <f>SUM(G56:G59)</f>
        <v>19364</v>
      </c>
    </row>
    <row r="63" spans="1:114">
      <c r="B63" s="3103"/>
      <c r="C63" s="3103" t="s">
        <v>3181</v>
      </c>
      <c r="D63" s="3103" t="s">
        <v>3182</v>
      </c>
      <c r="E63" s="3103" t="s">
        <v>3183</v>
      </c>
      <c r="F63" s="3103"/>
      <c r="G63" s="3103"/>
      <c r="H63" s="3103"/>
    </row>
    <row r="64" spans="1:114">
      <c r="B64" s="3104" t="s">
        <v>3180</v>
      </c>
      <c r="C64" s="3103">
        <f>J56</f>
        <v>3752</v>
      </c>
      <c r="D64" s="3103">
        <f>G56-C64</f>
        <v>1197</v>
      </c>
      <c r="E64" s="3103">
        <v>1</v>
      </c>
      <c r="F64" s="3103"/>
      <c r="G64" s="3103"/>
      <c r="H64" s="3103"/>
    </row>
    <row r="65" spans="2:8">
      <c r="B65" s="3105" t="s">
        <v>3184</v>
      </c>
      <c r="C65" s="3103">
        <f>J57</f>
        <v>4622.6499999999996</v>
      </c>
      <c r="D65" s="3103">
        <f>G57-C65</f>
        <v>277.35000000000036</v>
      </c>
      <c r="E65" s="3103">
        <v>0.6</v>
      </c>
      <c r="F65" s="3103"/>
      <c r="G65" s="3103"/>
      <c r="H65" s="3103"/>
    </row>
    <row r="66" spans="2:8">
      <c r="B66" s="3105" t="s">
        <v>3179</v>
      </c>
      <c r="C66" s="3103">
        <f>J58</f>
        <v>4941</v>
      </c>
      <c r="D66" s="3103">
        <f>G58-C66</f>
        <v>454</v>
      </c>
      <c r="E66" s="3103">
        <v>0.5</v>
      </c>
      <c r="F66" s="3103"/>
      <c r="G66" s="3103"/>
      <c r="H66" s="3103"/>
    </row>
    <row r="67" spans="2:8">
      <c r="B67" s="3105" t="s">
        <v>3185</v>
      </c>
      <c r="C67" s="3103">
        <f>J59</f>
        <v>3762.9</v>
      </c>
      <c r="D67" s="3103">
        <f>G59-C67</f>
        <v>357.09999999999991</v>
      </c>
      <c r="E67" s="3103">
        <v>0.4</v>
      </c>
      <c r="F67" s="3103"/>
      <c r="G67" s="3103"/>
      <c r="H67" s="3103"/>
    </row>
    <row r="68" spans="2:8">
      <c r="B68" s="3103"/>
      <c r="C68" s="3103">
        <f>SUM(C64:C67)</f>
        <v>17078.55</v>
      </c>
      <c r="D68" s="3103">
        <f>SUM(D64:D67)</f>
        <v>2285.4500000000003</v>
      </c>
      <c r="E68" s="3103">
        <f>ROUND((D64*E64+D65*E65+D66*E66+D67*E67)/D68,2)</f>
        <v>0.76</v>
      </c>
      <c r="F68" s="3103">
        <f>ROUND((E64*C64+E65*C66+E66*C65+E67*C67)/C68,2)</f>
        <v>0.62</v>
      </c>
      <c r="G68" s="3103">
        <f>4.5*F68</f>
        <v>2.79</v>
      </c>
      <c r="H68" s="3103">
        <f>4.5*E68</f>
        <v>3.42</v>
      </c>
    </row>
    <row r="69" spans="2:8">
      <c r="G69" s="3063">
        <f>4.5*E68</f>
        <v>3.42</v>
      </c>
    </row>
  </sheetData>
  <autoFilter ref="A5:FA51"/>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 ref="M3:M5"/>
    <mergeCell ref="N3:N5"/>
    <mergeCell ref="O3:O5"/>
  </mergeCells>
  <phoneticPr fontId="143" type="noConversion"/>
  <conditionalFormatting sqref="P3:P4">
    <cfRule type="cellIs" dxfId="1"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308" t="str">
        <f>IF(项目基本情况!B9="房地产市场价值","估价结果一览表","结果表-2")</f>
        <v>结果表-2</v>
      </c>
      <c r="B1" s="3308"/>
      <c r="C1" s="3308"/>
      <c r="D1" s="3308"/>
      <c r="E1" s="3308"/>
      <c r="F1" s="3308"/>
      <c r="G1" s="3308"/>
      <c r="H1" s="3308"/>
      <c r="I1" s="3308"/>
    </row>
    <row r="2" spans="1:9" ht="30" customHeight="1" thickTop="1">
      <c r="A2" s="3309" t="s">
        <v>1643</v>
      </c>
      <c r="B2" s="3309" t="s">
        <v>1644</v>
      </c>
      <c r="C2" s="3309" t="s">
        <v>1645</v>
      </c>
      <c r="D2" s="3309" t="str">
        <f>结果表!D116</f>
        <v>出让国有建设用地使用权价值</v>
      </c>
      <c r="E2" s="3309"/>
      <c r="F2" s="3309" t="str">
        <f>结果表!F116</f>
        <v>建筑物价值</v>
      </c>
      <c r="G2" s="3309"/>
      <c r="H2" s="3309" t="str">
        <f>IF(项目基本情况!B9="房地产市场价值","房地产市场价值","房地产价值")</f>
        <v>房地产价值</v>
      </c>
      <c r="I2" s="3309"/>
    </row>
    <row r="3" spans="1:9" ht="15">
      <c r="A3" s="3310"/>
      <c r="B3" s="3310"/>
      <c r="C3" s="3310"/>
      <c r="D3" s="1045" t="s">
        <v>1640</v>
      </c>
      <c r="E3" s="1045" t="s">
        <v>1646</v>
      </c>
      <c r="F3" s="1045" t="s">
        <v>1640</v>
      </c>
      <c r="G3" s="1045" t="s">
        <v>1641</v>
      </c>
      <c r="H3" s="1045" t="s">
        <v>1640</v>
      </c>
      <c r="I3" s="1045" t="s">
        <v>1641</v>
      </c>
    </row>
    <row r="4" spans="1:9" ht="45">
      <c r="A4" s="1974" t="str">
        <f>项目基本情况!S2</f>
        <v>河北省廊坊市三河市燕郊开发区规划路南北两侧天洋城天洋广场地下商业房地产</v>
      </c>
      <c r="B4" s="1045">
        <f>项目基本情况!C17</f>
        <v>42395.67</v>
      </c>
      <c r="C4" s="1045">
        <f>项目基本情况!C18</f>
        <v>6298.25</v>
      </c>
      <c r="D4" s="1045">
        <f ca="1">结果表!D118</f>
        <v>17926</v>
      </c>
      <c r="E4" s="1045">
        <f ca="1">结果表!E118</f>
        <v>4228</v>
      </c>
      <c r="F4" s="1045">
        <f ca="1">结果表!F118</f>
        <v>23843</v>
      </c>
      <c r="G4" s="1045">
        <f ca="1">结果表!G118</f>
        <v>5624</v>
      </c>
      <c r="H4" s="1045">
        <f ca="1">结果表!H118</f>
        <v>41769</v>
      </c>
      <c r="I4" s="1045">
        <f ca="1">结果表!I118</f>
        <v>9852</v>
      </c>
    </row>
    <row r="5" spans="1:9" ht="30" customHeight="1">
      <c r="A5" s="3310" t="s">
        <v>1642</v>
      </c>
      <c r="B5" s="3310"/>
      <c r="C5" s="3310"/>
      <c r="D5" s="3311" t="str">
        <f ca="1">结果表!D119</f>
        <v>壹亿柒仟玖佰贰拾陆万元整</v>
      </c>
      <c r="E5" s="3311"/>
      <c r="F5" s="3311" t="str">
        <f ca="1">结果表!F119</f>
        <v>贰亿叁仟捌佰肆拾叁万元整</v>
      </c>
      <c r="G5" s="3311"/>
      <c r="H5" s="3311" t="str">
        <f ca="1">结果表!H119</f>
        <v>肆亿壹仟柒佰陆拾玖万元整</v>
      </c>
      <c r="I5" s="3311"/>
    </row>
    <row r="6" spans="1:9" ht="15.75">
      <c r="A6" s="3312" t="str">
        <f>结果表!A120</f>
        <v>估价师知悉的法定优先受偿款</v>
      </c>
      <c r="B6" s="3312"/>
      <c r="C6" s="3312"/>
      <c r="D6" s="3312">
        <f>结果表!D120</f>
        <v>0</v>
      </c>
      <c r="E6" s="3312"/>
      <c r="F6" s="3312"/>
      <c r="G6" s="3312"/>
      <c r="H6" s="3312"/>
      <c r="I6" s="3312"/>
    </row>
    <row r="7" spans="1:9" ht="15">
      <c r="A7" s="3310" t="s">
        <v>1642</v>
      </c>
      <c r="B7" s="3310"/>
      <c r="C7" s="3310"/>
      <c r="D7" s="3313" t="str">
        <f>结果表!D121</f>
        <v>零元整</v>
      </c>
      <c r="E7" s="3314"/>
      <c r="F7" s="3314"/>
      <c r="G7" s="3314"/>
      <c r="H7" s="3314"/>
      <c r="I7" s="3315"/>
    </row>
    <row r="8" spans="1:9" ht="15.75">
      <c r="A8" s="3312" t="str">
        <f>结果表!A122</f>
        <v/>
      </c>
      <c r="B8" s="3312"/>
      <c r="C8" s="3312"/>
      <c r="D8" s="3312" t="str">
        <f>结果表!D122</f>
        <v>——</v>
      </c>
      <c r="E8" s="3312"/>
      <c r="F8" s="3312"/>
      <c r="G8" s="3312"/>
      <c r="H8" s="3312"/>
      <c r="I8" s="3312"/>
    </row>
    <row r="9" spans="1:9" ht="15">
      <c r="A9" s="3310" t="s">
        <v>1642</v>
      </c>
      <c r="B9" s="3310"/>
      <c r="C9" s="3310"/>
      <c r="D9" s="3311" t="e">
        <f>结果表!D123</f>
        <v>#VALUE!</v>
      </c>
      <c r="E9" s="3311"/>
      <c r="F9" s="3311"/>
      <c r="G9" s="3311"/>
      <c r="H9" s="3311"/>
      <c r="I9" s="3311"/>
    </row>
    <row r="10" spans="1:9" ht="15.75">
      <c r="A10" s="3312" t="str">
        <f>结果表!A124</f>
        <v>抵押担保权已注销时的房地产抵押价值</v>
      </c>
      <c r="B10" s="3312"/>
      <c r="C10" s="3312"/>
      <c r="D10" s="3312">
        <f ca="1">结果表!D124</f>
        <v>41769</v>
      </c>
      <c r="E10" s="3312"/>
      <c r="F10" s="3312"/>
      <c r="G10" s="3312"/>
      <c r="H10" s="3312"/>
      <c r="I10" s="3312"/>
    </row>
    <row r="11" spans="1:9" ht="15">
      <c r="A11" s="3310" t="s">
        <v>1642</v>
      </c>
      <c r="B11" s="3310"/>
      <c r="C11" s="3310"/>
      <c r="D11" s="3311" t="str">
        <f ca="1">结果表!D125</f>
        <v>肆亿壹仟柒佰陆拾玖万元整</v>
      </c>
      <c r="E11" s="3311"/>
      <c r="F11" s="3311"/>
      <c r="G11" s="3311"/>
      <c r="H11" s="3311"/>
      <c r="I11" s="3311"/>
    </row>
    <row r="12" spans="1:9" ht="15.75">
      <c r="A12" s="3312" t="str">
        <f>结果表!A126</f>
        <v/>
      </c>
      <c r="B12" s="3312"/>
      <c r="C12" s="3312"/>
      <c r="D12" s="3312" t="str">
        <f>结果表!D126</f>
        <v>——</v>
      </c>
      <c r="E12" s="3312"/>
      <c r="F12" s="3312"/>
      <c r="G12" s="3312"/>
      <c r="H12" s="3312"/>
      <c r="I12" s="3312"/>
    </row>
    <row r="13" spans="1:9" ht="15.75" thickBot="1">
      <c r="A13" s="3316" t="s">
        <v>1642</v>
      </c>
      <c r="B13" s="3316"/>
      <c r="C13" s="3316"/>
      <c r="D13" s="3317" t="e">
        <f>结果表!D127</f>
        <v>#VALUE!</v>
      </c>
      <c r="E13" s="3317"/>
      <c r="F13" s="3317"/>
      <c r="G13" s="3317"/>
      <c r="H13" s="3317"/>
      <c r="I13" s="3317"/>
    </row>
    <row r="14" spans="1:9" ht="15" thickTop="1">
      <c r="A14" s="3318" t="s">
        <v>1647</v>
      </c>
      <c r="B14" s="3318"/>
      <c r="C14" s="3318"/>
      <c r="D14" s="3318"/>
      <c r="E14" s="3318"/>
      <c r="F14" s="3318"/>
      <c r="G14" s="3318"/>
      <c r="H14" s="3318"/>
      <c r="I14" s="3318"/>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H23" activePane="bottomRight" state="frozen"/>
      <selection pane="topRight" activeCell="H1" sqref="H1"/>
      <selection pane="bottomLeft" activeCell="A6" sqref="A6"/>
      <selection pane="bottomRight" activeCell="AE6" sqref="AE6:AE29"/>
    </sheetView>
  </sheetViews>
  <sheetFormatPr defaultColWidth="7.875" defaultRowHeight="15.75"/>
  <cols>
    <col min="1" max="1" width="3.875" style="3038" customWidth="1"/>
    <col min="2" max="2" width="10.375" style="3038" hidden="1" customWidth="1"/>
    <col min="3" max="3" width="11.375" style="3037" hidden="1" customWidth="1"/>
    <col min="4" max="4" width="10.5" style="3037" customWidth="1"/>
    <col min="5" max="5" width="11.625" style="3037" hidden="1" customWidth="1"/>
    <col min="6" max="6" width="8.125" style="3038" customWidth="1"/>
    <col min="7" max="7" width="11.875" style="3038" hidden="1" customWidth="1"/>
    <col min="8" max="8" width="12.75" style="3039" hidden="1" customWidth="1"/>
    <col min="9" max="9" width="8.625" style="3039" customWidth="1"/>
    <col min="10" max="10" width="12.75" style="3040" hidden="1" customWidth="1"/>
    <col min="11" max="11" width="14" style="3040" hidden="1" customWidth="1"/>
    <col min="12" max="12" width="6.125" style="3038" customWidth="1"/>
    <col min="13" max="13" width="5.625" style="3041" customWidth="1"/>
    <col min="14" max="14" width="7.25" style="3041" customWidth="1"/>
    <col min="15" max="15" width="13.125" style="3041" customWidth="1"/>
    <col min="16" max="16" width="8.5" style="3041" hidden="1" customWidth="1"/>
    <col min="17" max="17" width="12" style="3039" hidden="1" customWidth="1"/>
    <col min="18" max="18" width="10.875" style="3039" hidden="1" customWidth="1"/>
    <col min="19" max="19" width="10.5" style="3039" hidden="1" customWidth="1"/>
    <col min="20" max="20" width="10.875" style="3042" hidden="1" customWidth="1"/>
    <col min="21" max="22" width="11" style="3038" hidden="1" customWidth="1"/>
    <col min="23" max="23" width="9.375" style="3043" hidden="1" customWidth="1"/>
    <col min="24" max="24" width="7.125" style="3044" hidden="1" customWidth="1"/>
    <col min="25" max="25" width="11.75" style="3043" customWidth="1"/>
    <col min="26" max="26" width="11.75" style="3044" customWidth="1"/>
    <col min="27" max="27" width="11.125" style="3106" customWidth="1"/>
    <col min="28" max="28" width="6.75" style="3045" customWidth="1"/>
    <col min="29" max="30" width="7.375" style="3042" hidden="1" customWidth="1"/>
    <col min="31" max="31" width="10.25" style="3131" customWidth="1"/>
    <col min="32" max="32" width="5.75" style="3044" customWidth="1"/>
    <col min="33" max="33" width="8.625" style="3044" customWidth="1"/>
    <col min="34" max="34" width="5.5" style="3039" customWidth="1"/>
    <col min="35" max="35" width="8.625" style="3038" customWidth="1"/>
    <col min="36" max="36" width="6.375" style="3038" customWidth="1"/>
    <col min="37" max="37" width="8.625" style="3043" customWidth="1"/>
    <col min="38" max="39" width="8.625" style="3051" customWidth="1"/>
    <col min="40" max="40" width="8.625" style="3043" customWidth="1"/>
    <col min="41" max="41" width="8.625" style="3051" customWidth="1"/>
    <col min="42" max="43" width="14.125" style="3052" bestFit="1" customWidth="1"/>
    <col min="44" max="45" width="10.25" style="3044" customWidth="1"/>
    <col min="46" max="46" width="10.125" style="3043" customWidth="1"/>
    <col min="47" max="47" width="8.875" style="3046" customWidth="1"/>
    <col min="48" max="48" width="9.375" style="3043" customWidth="1"/>
    <col min="49" max="49" width="13.25" style="3051" customWidth="1"/>
    <col min="50" max="50" width="13" style="3046" customWidth="1"/>
    <col min="51" max="51" width="10.875" style="3046" customWidth="1"/>
    <col min="52" max="52" width="9.375" style="3053" customWidth="1"/>
    <col min="53" max="53" width="10.875" style="3046" customWidth="1"/>
    <col min="54" max="54" width="10.5" style="3039" customWidth="1"/>
    <col min="55" max="55" width="8.125" style="3039" customWidth="1"/>
    <col min="56" max="56" width="8.625" style="3045" customWidth="1"/>
    <col min="57" max="57" width="10.75" style="3045" customWidth="1"/>
    <col min="58" max="58" width="9.625" style="3042" customWidth="1"/>
    <col min="59" max="59" width="9.5" style="3042" customWidth="1"/>
    <col min="60" max="60" width="11" style="3046" customWidth="1"/>
    <col min="61" max="61" width="9.25" style="3043" customWidth="1"/>
    <col min="62" max="63" width="11" style="3042" customWidth="1"/>
    <col min="64" max="64" width="9.625" style="3042" customWidth="1"/>
    <col min="65" max="67" width="10.75" style="3047" bestFit="1" customWidth="1"/>
    <col min="68" max="68" width="10.25" style="3047" bestFit="1" customWidth="1"/>
    <col min="69" max="69" width="10.75" style="3048" bestFit="1" customWidth="1"/>
    <col min="70" max="70" width="10.25" style="3048" bestFit="1" customWidth="1"/>
    <col min="71" max="71" width="10.75" style="3048" bestFit="1" customWidth="1"/>
    <col min="72" max="72" width="10.25" style="3048" bestFit="1" customWidth="1"/>
    <col min="73" max="73" width="10.75" style="3046" bestFit="1" customWidth="1"/>
    <col min="74" max="74" width="10.25" style="3038" bestFit="1" customWidth="1"/>
    <col min="75" max="75" width="10.75" style="3038" bestFit="1" customWidth="1"/>
    <col min="76" max="76" width="10.25" style="3038" bestFit="1" customWidth="1"/>
    <col min="77" max="77" width="10.375" style="3038" customWidth="1"/>
    <col min="78" max="78" width="10.25" style="3038" customWidth="1"/>
    <col min="79" max="79" width="10.375" style="3038" customWidth="1"/>
    <col min="80" max="81" width="10.5" style="3038" customWidth="1"/>
    <col min="82" max="82" width="11.125" style="3038" customWidth="1"/>
    <col min="83" max="83" width="9.875" style="3038" customWidth="1"/>
    <col min="84" max="84" width="10.25" style="3038" customWidth="1"/>
    <col min="85" max="85" width="9.875" style="3038" customWidth="1"/>
    <col min="86" max="86" width="10" style="3038" customWidth="1"/>
    <col min="87" max="87" width="9.75" style="3038" customWidth="1"/>
    <col min="88" max="112" width="9.625" style="3038" customWidth="1"/>
    <col min="113" max="113" width="13.625" style="3050" bestFit="1" customWidth="1"/>
    <col min="114" max="114" width="12.375" style="3050" bestFit="1" customWidth="1"/>
    <col min="115" max="115" width="9.875" style="3038" bestFit="1" customWidth="1"/>
    <col min="116" max="116" width="10.375" style="3038" customWidth="1"/>
    <col min="117" max="117" width="9.25" style="3038" customWidth="1"/>
    <col min="118" max="118" width="12.625" style="3038" customWidth="1"/>
    <col min="119" max="119" width="9.875" style="3038" bestFit="1" customWidth="1"/>
    <col min="120" max="120" width="9.125" style="3038" bestFit="1" customWidth="1"/>
    <col min="121" max="122" width="9.875" style="3038" bestFit="1" customWidth="1"/>
    <col min="123" max="123" width="9.125" style="3038" bestFit="1" customWidth="1"/>
    <col min="124" max="125" width="9.875" style="3038" bestFit="1" customWidth="1"/>
    <col min="126" max="126" width="11.125" style="3038" bestFit="1" customWidth="1"/>
    <col min="127" max="128" width="9.875" style="3038" bestFit="1" customWidth="1"/>
    <col min="129" max="129" width="11.125" style="3038" bestFit="1" customWidth="1"/>
    <col min="130" max="131" width="9.875" style="3038" bestFit="1" customWidth="1"/>
    <col min="132" max="132" width="11.125" style="3038" bestFit="1" customWidth="1"/>
    <col min="133" max="133" width="9.125" style="3038" bestFit="1" customWidth="1"/>
    <col min="134" max="134" width="9.875" style="3038" bestFit="1" customWidth="1"/>
    <col min="135" max="135" width="11.125" style="3038" bestFit="1" customWidth="1"/>
    <col min="136" max="136" width="9.125" style="3038" bestFit="1" customWidth="1"/>
    <col min="137" max="137" width="9.875" style="3038" bestFit="1" customWidth="1"/>
    <col min="138" max="138" width="11.125" style="3038" bestFit="1" customWidth="1"/>
    <col min="139" max="139" width="9.125" style="3038" bestFit="1" customWidth="1"/>
    <col min="140" max="140" width="9.875" style="3038" bestFit="1" customWidth="1"/>
    <col min="141" max="141" width="11.125" style="3038" bestFit="1" customWidth="1"/>
    <col min="142" max="142" width="9.125" style="3038" bestFit="1" customWidth="1"/>
    <col min="143" max="143" width="9.875" style="3038" bestFit="1" customWidth="1"/>
    <col min="144" max="144" width="11.125" style="3038" bestFit="1" customWidth="1"/>
    <col min="145" max="145" width="9.125" style="3038" bestFit="1" customWidth="1"/>
    <col min="146" max="146" width="9.875" style="3038" bestFit="1" customWidth="1"/>
    <col min="147" max="147" width="11.125" style="3038" bestFit="1" customWidth="1"/>
    <col min="148" max="148" width="9.125" style="3038" bestFit="1" customWidth="1"/>
    <col min="149" max="149" width="9.875" style="3038" bestFit="1" customWidth="1"/>
    <col min="150" max="150" width="11.125" style="3038" bestFit="1" customWidth="1"/>
    <col min="151" max="151" width="9.125" style="3038" bestFit="1" customWidth="1"/>
    <col min="152" max="152" width="9.875" style="3038" bestFit="1" customWidth="1"/>
    <col min="153" max="153" width="11.125" style="3038" bestFit="1" customWidth="1"/>
    <col min="154" max="154" width="9.125" style="3038" bestFit="1" customWidth="1"/>
    <col min="155" max="155" width="9.875" style="3038" bestFit="1" customWidth="1"/>
    <col min="156" max="156" width="11.125" style="3038" bestFit="1" customWidth="1"/>
    <col min="157" max="157" width="7.875" style="3038" customWidth="1"/>
    <col min="158" max="159" width="9.875" style="3038" bestFit="1" customWidth="1"/>
    <col min="160" max="160" width="7.875" style="3038"/>
    <col min="161" max="162" width="9.875" style="3038" bestFit="1" customWidth="1"/>
    <col min="163" max="163" width="7.875" style="3038"/>
    <col min="164" max="165" width="9.875" style="3038" bestFit="1" customWidth="1"/>
    <col min="166" max="166" width="7.875" style="3038"/>
    <col min="167" max="168" width="9.875" style="3038" bestFit="1" customWidth="1"/>
    <col min="169" max="169" width="7.875" style="3038"/>
    <col min="170" max="170" width="9.875" style="3038" bestFit="1" customWidth="1"/>
    <col min="171" max="171" width="8.875" style="3038" bestFit="1" customWidth="1"/>
    <col min="172" max="172" width="7.875" style="3038"/>
    <col min="173" max="173" width="9.875" style="3038" bestFit="1" customWidth="1"/>
    <col min="174" max="174" width="8.875" style="3038" bestFit="1" customWidth="1"/>
    <col min="175" max="175" width="7.875" style="3038"/>
    <col min="176" max="176" width="9.875" style="3038" bestFit="1" customWidth="1"/>
    <col min="177" max="177" width="8.875" style="3038" bestFit="1" customWidth="1"/>
    <col min="178" max="178" width="7.875" style="3038"/>
    <col min="179" max="179" width="9.875" style="3038" bestFit="1" customWidth="1"/>
    <col min="180" max="180" width="8.875" style="3038" bestFit="1" customWidth="1"/>
    <col min="181" max="181" width="7.875" style="3038"/>
    <col min="182" max="182" width="9.875" style="3038" bestFit="1" customWidth="1"/>
    <col min="183" max="183" width="8.875" style="3038" bestFit="1" customWidth="1"/>
    <col min="184" max="184" width="7.875" style="3038"/>
    <col min="185" max="185" width="9.875" style="3038" bestFit="1" customWidth="1"/>
    <col min="186" max="186" width="11.125" style="3038" bestFit="1" customWidth="1"/>
    <col min="187" max="187" width="9.125" style="3038" bestFit="1" customWidth="1"/>
    <col min="188" max="188" width="9.875" style="3038" bestFit="1" customWidth="1"/>
    <col min="189" max="189" width="11.125" style="3038" bestFit="1" customWidth="1"/>
    <col min="190" max="190" width="7.875" style="3038"/>
    <col min="191" max="191" width="9.25" style="3038" customWidth="1"/>
    <col min="192" max="256" width="7.875" style="3038"/>
    <col min="257" max="257" width="3.875" style="3038" customWidth="1"/>
    <col min="258" max="258" width="10.375" style="3038" customWidth="1"/>
    <col min="259" max="259" width="11.375" style="3038" bestFit="1" customWidth="1"/>
    <col min="260" max="260" width="10.5" style="3038" customWidth="1"/>
    <col min="261" max="261" width="11.625" style="3038" customWidth="1"/>
    <col min="262" max="262" width="9.875" style="3038" customWidth="1"/>
    <col min="263" max="263" width="11.875" style="3038" customWidth="1"/>
    <col min="264" max="264" width="12.75" style="3038" customWidth="1"/>
    <col min="265" max="265" width="11" style="3038" customWidth="1"/>
    <col min="266" max="266" width="12.75" style="3038" customWidth="1"/>
    <col min="267" max="267" width="14" style="3038" customWidth="1"/>
    <col min="268" max="268" width="9.375" style="3038" customWidth="1"/>
    <col min="269" max="269" width="10.875" style="3038" customWidth="1"/>
    <col min="270" max="270" width="12.25" style="3038" customWidth="1"/>
    <col min="271" max="271" width="10.375" style="3038" customWidth="1"/>
    <col min="272" max="272" width="8.5" style="3038" customWidth="1"/>
    <col min="273" max="273" width="12" style="3038" customWidth="1"/>
    <col min="274" max="274" width="10.875" style="3038" bestFit="1" customWidth="1"/>
    <col min="275" max="275" width="10.5" style="3038" bestFit="1" customWidth="1"/>
    <col min="276" max="276" width="10.875" style="3038" bestFit="1" customWidth="1"/>
    <col min="277" max="278" width="11" style="3038" customWidth="1"/>
    <col min="279" max="279" width="9.375" style="3038" customWidth="1"/>
    <col min="280" max="280" width="7.125" style="3038" customWidth="1"/>
    <col min="281" max="282" width="11.75" style="3038" customWidth="1"/>
    <col min="283" max="283" width="13" style="3038" customWidth="1"/>
    <col min="284" max="284" width="10.75" style="3038" customWidth="1"/>
    <col min="285" max="286" width="7.375" style="3038" customWidth="1"/>
    <col min="287" max="287" width="10.25" style="3038" customWidth="1"/>
    <col min="288" max="297" width="8.625" style="3038" customWidth="1"/>
    <col min="298" max="299" width="14.125" style="3038" bestFit="1" customWidth="1"/>
    <col min="300" max="301" width="10.25" style="3038" customWidth="1"/>
    <col min="302" max="302" width="10.125" style="3038" customWidth="1"/>
    <col min="303" max="303" width="8.875" style="3038" customWidth="1"/>
    <col min="304" max="304" width="9.375" style="3038" customWidth="1"/>
    <col min="305" max="305" width="13.25" style="3038" customWidth="1"/>
    <col min="306" max="306" width="13" style="3038" customWidth="1"/>
    <col min="307" max="307" width="10.875" style="3038" customWidth="1"/>
    <col min="308" max="308" width="9.375" style="3038" customWidth="1"/>
    <col min="309" max="309" width="10.875" style="3038" customWidth="1"/>
    <col min="310" max="310" width="10.5" style="3038" customWidth="1"/>
    <col min="311" max="311" width="8.125" style="3038" customWidth="1"/>
    <col min="312" max="312" width="8.625" style="3038" customWidth="1"/>
    <col min="313" max="313" width="10.75" style="3038" customWidth="1"/>
    <col min="314" max="314" width="9.625" style="3038" customWidth="1"/>
    <col min="315" max="315" width="9.5" style="3038" customWidth="1"/>
    <col min="316" max="316" width="11" style="3038" customWidth="1"/>
    <col min="317" max="317" width="9.25" style="3038" customWidth="1"/>
    <col min="318" max="319" width="11" style="3038" customWidth="1"/>
    <col min="320" max="320" width="9.625" style="3038" customWidth="1"/>
    <col min="321" max="323" width="10.75" style="3038" bestFit="1" customWidth="1"/>
    <col min="324" max="324" width="10.25" style="3038" bestFit="1" customWidth="1"/>
    <col min="325" max="325" width="10.75" style="3038" bestFit="1" customWidth="1"/>
    <col min="326" max="326" width="10.25" style="3038" bestFit="1" customWidth="1"/>
    <col min="327" max="327" width="10.75" style="3038" bestFit="1" customWidth="1"/>
    <col min="328" max="328" width="10.25" style="3038" bestFit="1" customWidth="1"/>
    <col min="329" max="329" width="10.75" style="3038" bestFit="1" customWidth="1"/>
    <col min="330" max="330" width="10.25" style="3038" bestFit="1" customWidth="1"/>
    <col min="331" max="331" width="10.75" style="3038" bestFit="1" customWidth="1"/>
    <col min="332" max="332" width="10.25" style="3038" bestFit="1" customWidth="1"/>
    <col min="333" max="333" width="10.375" style="3038" customWidth="1"/>
    <col min="334" max="334" width="10.25" style="3038" customWidth="1"/>
    <col min="335" max="335" width="10.375" style="3038" customWidth="1"/>
    <col min="336" max="337" width="10.5" style="3038" customWidth="1"/>
    <col min="338" max="338" width="11.125" style="3038" customWidth="1"/>
    <col min="339" max="339" width="9.875" style="3038" customWidth="1"/>
    <col min="340" max="340" width="10.25" style="3038" customWidth="1"/>
    <col min="341" max="341" width="9.875" style="3038" customWidth="1"/>
    <col min="342" max="342" width="10" style="3038" customWidth="1"/>
    <col min="343" max="343" width="9.75" style="3038" customWidth="1"/>
    <col min="344" max="368" width="9.625" style="3038" customWidth="1"/>
    <col min="369" max="369" width="13.625" style="3038" bestFit="1" customWidth="1"/>
    <col min="370" max="370" width="12.375" style="3038" bestFit="1" customWidth="1"/>
    <col min="371" max="371" width="9.875" style="3038" bestFit="1" customWidth="1"/>
    <col min="372" max="372" width="10.375" style="3038" customWidth="1"/>
    <col min="373" max="373" width="9.25" style="3038" customWidth="1"/>
    <col min="374" max="374" width="12.625" style="3038" customWidth="1"/>
    <col min="375" max="375" width="9.875" style="3038" bestFit="1" customWidth="1"/>
    <col min="376" max="376" width="9.125" style="3038" bestFit="1" customWidth="1"/>
    <col min="377" max="378" width="9.875" style="3038" bestFit="1" customWidth="1"/>
    <col min="379" max="379" width="9.125" style="3038" bestFit="1" customWidth="1"/>
    <col min="380" max="381" width="9.875" style="3038" bestFit="1" customWidth="1"/>
    <col min="382" max="382" width="11.125" style="3038" bestFit="1" customWidth="1"/>
    <col min="383" max="384" width="9.875" style="3038" bestFit="1" customWidth="1"/>
    <col min="385" max="385" width="11.125" style="3038" bestFit="1" customWidth="1"/>
    <col min="386" max="387" width="9.875" style="3038" bestFit="1" customWidth="1"/>
    <col min="388" max="388" width="11.125" style="3038" bestFit="1" customWidth="1"/>
    <col min="389" max="389" width="9.125" style="3038" bestFit="1" customWidth="1"/>
    <col min="390" max="390" width="9.875" style="3038" bestFit="1" customWidth="1"/>
    <col min="391" max="391" width="11.125" style="3038" bestFit="1" customWidth="1"/>
    <col min="392" max="392" width="9.125" style="3038" bestFit="1" customWidth="1"/>
    <col min="393" max="393" width="9.875" style="3038" bestFit="1" customWidth="1"/>
    <col min="394" max="394" width="11.125" style="3038" bestFit="1" customWidth="1"/>
    <col min="395" max="395" width="9.125" style="3038" bestFit="1" customWidth="1"/>
    <col min="396" max="396" width="9.875" style="3038" bestFit="1" customWidth="1"/>
    <col min="397" max="397" width="11.125" style="3038" bestFit="1" customWidth="1"/>
    <col min="398" max="398" width="9.125" style="3038" bestFit="1" customWidth="1"/>
    <col min="399" max="399" width="9.875" style="3038" bestFit="1" customWidth="1"/>
    <col min="400" max="400" width="11.125" style="3038" bestFit="1" customWidth="1"/>
    <col min="401" max="401" width="9.125" style="3038" bestFit="1" customWidth="1"/>
    <col min="402" max="402" width="9.875" style="3038" bestFit="1" customWidth="1"/>
    <col min="403" max="403" width="11.125" style="3038" bestFit="1" customWidth="1"/>
    <col min="404" max="404" width="9.125" style="3038" bestFit="1" customWidth="1"/>
    <col min="405" max="405" width="9.875" style="3038" bestFit="1" customWidth="1"/>
    <col min="406" max="406" width="11.125" style="3038" bestFit="1" customWidth="1"/>
    <col min="407" max="407" width="9.125" style="3038" bestFit="1" customWidth="1"/>
    <col min="408" max="408" width="9.875" style="3038" bestFit="1" customWidth="1"/>
    <col min="409" max="409" width="11.125" style="3038" bestFit="1" customWidth="1"/>
    <col min="410" max="410" width="9.125" style="3038" bestFit="1" customWidth="1"/>
    <col min="411" max="411" width="9.875" style="3038" bestFit="1" customWidth="1"/>
    <col min="412" max="412" width="11.125" style="3038" bestFit="1" customWidth="1"/>
    <col min="413" max="413" width="7.875" style="3038" customWidth="1"/>
    <col min="414" max="415" width="9.875" style="3038" bestFit="1" customWidth="1"/>
    <col min="416" max="416" width="7.875" style="3038"/>
    <col min="417" max="418" width="9.875" style="3038" bestFit="1" customWidth="1"/>
    <col min="419" max="419" width="7.875" style="3038"/>
    <col min="420" max="421" width="9.875" style="3038" bestFit="1" customWidth="1"/>
    <col min="422" max="422" width="7.875" style="3038"/>
    <col min="423" max="424" width="9.875" style="3038" bestFit="1" customWidth="1"/>
    <col min="425" max="425" width="7.875" style="3038"/>
    <col min="426" max="426" width="9.875" style="3038" bestFit="1" customWidth="1"/>
    <col min="427" max="427" width="8.875" style="3038" bestFit="1" customWidth="1"/>
    <col min="428" max="428" width="7.875" style="3038"/>
    <col min="429" max="429" width="9.875" style="3038" bestFit="1" customWidth="1"/>
    <col min="430" max="430" width="8.875" style="3038" bestFit="1" customWidth="1"/>
    <col min="431" max="431" width="7.875" style="3038"/>
    <col min="432" max="432" width="9.875" style="3038" bestFit="1" customWidth="1"/>
    <col min="433" max="433" width="8.875" style="3038" bestFit="1" customWidth="1"/>
    <col min="434" max="434" width="7.875" style="3038"/>
    <col min="435" max="435" width="9.875" style="3038" bestFit="1" customWidth="1"/>
    <col min="436" max="436" width="8.875" style="3038" bestFit="1" customWidth="1"/>
    <col min="437" max="437" width="7.875" style="3038"/>
    <col min="438" max="438" width="9.875" style="3038" bestFit="1" customWidth="1"/>
    <col min="439" max="439" width="8.875" style="3038" bestFit="1" customWidth="1"/>
    <col min="440" max="440" width="7.875" style="3038"/>
    <col min="441" max="441" width="9.875" style="3038" bestFit="1" customWidth="1"/>
    <col min="442" max="442" width="11.125" style="3038" bestFit="1" customWidth="1"/>
    <col min="443" max="443" width="9.125" style="3038" bestFit="1" customWidth="1"/>
    <col min="444" max="444" width="9.875" style="3038" bestFit="1" customWidth="1"/>
    <col min="445" max="445" width="11.125" style="3038" bestFit="1" customWidth="1"/>
    <col min="446" max="446" width="7.875" style="3038"/>
    <col min="447" max="447" width="9.25" style="3038" customWidth="1"/>
    <col min="448" max="512" width="7.875" style="3038"/>
    <col min="513" max="513" width="3.875" style="3038" customWidth="1"/>
    <col min="514" max="514" width="10.375" style="3038" customWidth="1"/>
    <col min="515" max="515" width="11.375" style="3038" bestFit="1" customWidth="1"/>
    <col min="516" max="516" width="10.5" style="3038" customWidth="1"/>
    <col min="517" max="517" width="11.625" style="3038" customWidth="1"/>
    <col min="518" max="518" width="9.875" style="3038" customWidth="1"/>
    <col min="519" max="519" width="11.875" style="3038" customWidth="1"/>
    <col min="520" max="520" width="12.75" style="3038" customWidth="1"/>
    <col min="521" max="521" width="11" style="3038" customWidth="1"/>
    <col min="522" max="522" width="12.75" style="3038" customWidth="1"/>
    <col min="523" max="523" width="14" style="3038" customWidth="1"/>
    <col min="524" max="524" width="9.375" style="3038" customWidth="1"/>
    <col min="525" max="525" width="10.875" style="3038" customWidth="1"/>
    <col min="526" max="526" width="12.25" style="3038" customWidth="1"/>
    <col min="527" max="527" width="10.375" style="3038" customWidth="1"/>
    <col min="528" max="528" width="8.5" style="3038" customWidth="1"/>
    <col min="529" max="529" width="12" style="3038" customWidth="1"/>
    <col min="530" max="530" width="10.875" style="3038" bestFit="1" customWidth="1"/>
    <col min="531" max="531" width="10.5" style="3038" bestFit="1" customWidth="1"/>
    <col min="532" max="532" width="10.875" style="3038" bestFit="1" customWidth="1"/>
    <col min="533" max="534" width="11" style="3038" customWidth="1"/>
    <col min="535" max="535" width="9.375" style="3038" customWidth="1"/>
    <col min="536" max="536" width="7.125" style="3038" customWidth="1"/>
    <col min="537" max="538" width="11.75" style="3038" customWidth="1"/>
    <col min="539" max="539" width="13" style="3038" customWidth="1"/>
    <col min="540" max="540" width="10.75" style="3038" customWidth="1"/>
    <col min="541" max="542" width="7.375" style="3038" customWidth="1"/>
    <col min="543" max="543" width="10.25" style="3038" customWidth="1"/>
    <col min="544" max="553" width="8.625" style="3038" customWidth="1"/>
    <col min="554" max="555" width="14.125" style="3038" bestFit="1" customWidth="1"/>
    <col min="556" max="557" width="10.25" style="3038" customWidth="1"/>
    <col min="558" max="558" width="10.125" style="3038" customWidth="1"/>
    <col min="559" max="559" width="8.875" style="3038" customWidth="1"/>
    <col min="560" max="560" width="9.375" style="3038" customWidth="1"/>
    <col min="561" max="561" width="13.25" style="3038" customWidth="1"/>
    <col min="562" max="562" width="13" style="3038" customWidth="1"/>
    <col min="563" max="563" width="10.875" style="3038" customWidth="1"/>
    <col min="564" max="564" width="9.375" style="3038" customWidth="1"/>
    <col min="565" max="565" width="10.875" style="3038" customWidth="1"/>
    <col min="566" max="566" width="10.5" style="3038" customWidth="1"/>
    <col min="567" max="567" width="8.125" style="3038" customWidth="1"/>
    <col min="568" max="568" width="8.625" style="3038" customWidth="1"/>
    <col min="569" max="569" width="10.75" style="3038" customWidth="1"/>
    <col min="570" max="570" width="9.625" style="3038" customWidth="1"/>
    <col min="571" max="571" width="9.5" style="3038" customWidth="1"/>
    <col min="572" max="572" width="11" style="3038" customWidth="1"/>
    <col min="573" max="573" width="9.25" style="3038" customWidth="1"/>
    <col min="574" max="575" width="11" style="3038" customWidth="1"/>
    <col min="576" max="576" width="9.625" style="3038" customWidth="1"/>
    <col min="577" max="579" width="10.75" style="3038" bestFit="1" customWidth="1"/>
    <col min="580" max="580" width="10.25" style="3038" bestFit="1" customWidth="1"/>
    <col min="581" max="581" width="10.75" style="3038" bestFit="1" customWidth="1"/>
    <col min="582" max="582" width="10.25" style="3038" bestFit="1" customWidth="1"/>
    <col min="583" max="583" width="10.75" style="3038" bestFit="1" customWidth="1"/>
    <col min="584" max="584" width="10.25" style="3038" bestFit="1" customWidth="1"/>
    <col min="585" max="585" width="10.75" style="3038" bestFit="1" customWidth="1"/>
    <col min="586" max="586" width="10.25" style="3038" bestFit="1" customWidth="1"/>
    <col min="587" max="587" width="10.75" style="3038" bestFit="1" customWidth="1"/>
    <col min="588" max="588" width="10.25" style="3038" bestFit="1" customWidth="1"/>
    <col min="589" max="589" width="10.375" style="3038" customWidth="1"/>
    <col min="590" max="590" width="10.25" style="3038" customWidth="1"/>
    <col min="591" max="591" width="10.375" style="3038" customWidth="1"/>
    <col min="592" max="593" width="10.5" style="3038" customWidth="1"/>
    <col min="594" max="594" width="11.125" style="3038" customWidth="1"/>
    <col min="595" max="595" width="9.875" style="3038" customWidth="1"/>
    <col min="596" max="596" width="10.25" style="3038" customWidth="1"/>
    <col min="597" max="597" width="9.875" style="3038" customWidth="1"/>
    <col min="598" max="598" width="10" style="3038" customWidth="1"/>
    <col min="599" max="599" width="9.75" style="3038" customWidth="1"/>
    <col min="600" max="624" width="9.625" style="3038" customWidth="1"/>
    <col min="625" max="625" width="13.625" style="3038" bestFit="1" customWidth="1"/>
    <col min="626" max="626" width="12.375" style="3038" bestFit="1" customWidth="1"/>
    <col min="627" max="627" width="9.875" style="3038" bestFit="1" customWidth="1"/>
    <col min="628" max="628" width="10.375" style="3038" customWidth="1"/>
    <col min="629" max="629" width="9.25" style="3038" customWidth="1"/>
    <col min="630" max="630" width="12.625" style="3038" customWidth="1"/>
    <col min="631" max="631" width="9.875" style="3038" bestFit="1" customWidth="1"/>
    <col min="632" max="632" width="9.125" style="3038" bestFit="1" customWidth="1"/>
    <col min="633" max="634" width="9.875" style="3038" bestFit="1" customWidth="1"/>
    <col min="635" max="635" width="9.125" style="3038" bestFit="1" customWidth="1"/>
    <col min="636" max="637" width="9.875" style="3038" bestFit="1" customWidth="1"/>
    <col min="638" max="638" width="11.125" style="3038" bestFit="1" customWidth="1"/>
    <col min="639" max="640" width="9.875" style="3038" bestFit="1" customWidth="1"/>
    <col min="641" max="641" width="11.125" style="3038" bestFit="1" customWidth="1"/>
    <col min="642" max="643" width="9.875" style="3038" bestFit="1" customWidth="1"/>
    <col min="644" max="644" width="11.125" style="3038" bestFit="1" customWidth="1"/>
    <col min="645" max="645" width="9.125" style="3038" bestFit="1" customWidth="1"/>
    <col min="646" max="646" width="9.875" style="3038" bestFit="1" customWidth="1"/>
    <col min="647" max="647" width="11.125" style="3038" bestFit="1" customWidth="1"/>
    <col min="648" max="648" width="9.125" style="3038" bestFit="1" customWidth="1"/>
    <col min="649" max="649" width="9.875" style="3038" bestFit="1" customWidth="1"/>
    <col min="650" max="650" width="11.125" style="3038" bestFit="1" customWidth="1"/>
    <col min="651" max="651" width="9.125" style="3038" bestFit="1" customWidth="1"/>
    <col min="652" max="652" width="9.875" style="3038" bestFit="1" customWidth="1"/>
    <col min="653" max="653" width="11.125" style="3038" bestFit="1" customWidth="1"/>
    <col min="654" max="654" width="9.125" style="3038" bestFit="1" customWidth="1"/>
    <col min="655" max="655" width="9.875" style="3038" bestFit="1" customWidth="1"/>
    <col min="656" max="656" width="11.125" style="3038" bestFit="1" customWidth="1"/>
    <col min="657" max="657" width="9.125" style="3038" bestFit="1" customWidth="1"/>
    <col min="658" max="658" width="9.875" style="3038" bestFit="1" customWidth="1"/>
    <col min="659" max="659" width="11.125" style="3038" bestFit="1" customWidth="1"/>
    <col min="660" max="660" width="9.125" style="3038" bestFit="1" customWidth="1"/>
    <col min="661" max="661" width="9.875" style="3038" bestFit="1" customWidth="1"/>
    <col min="662" max="662" width="11.125" style="3038" bestFit="1" customWidth="1"/>
    <col min="663" max="663" width="9.125" style="3038" bestFit="1" customWidth="1"/>
    <col min="664" max="664" width="9.875" style="3038" bestFit="1" customWidth="1"/>
    <col min="665" max="665" width="11.125" style="3038" bestFit="1" customWidth="1"/>
    <col min="666" max="666" width="9.125" style="3038" bestFit="1" customWidth="1"/>
    <col min="667" max="667" width="9.875" style="3038" bestFit="1" customWidth="1"/>
    <col min="668" max="668" width="11.125" style="3038" bestFit="1" customWidth="1"/>
    <col min="669" max="669" width="7.875" style="3038" customWidth="1"/>
    <col min="670" max="671" width="9.875" style="3038" bestFit="1" customWidth="1"/>
    <col min="672" max="672" width="7.875" style="3038"/>
    <col min="673" max="674" width="9.875" style="3038" bestFit="1" customWidth="1"/>
    <col min="675" max="675" width="7.875" style="3038"/>
    <col min="676" max="677" width="9.875" style="3038" bestFit="1" customWidth="1"/>
    <col min="678" max="678" width="7.875" style="3038"/>
    <col min="679" max="680" width="9.875" style="3038" bestFit="1" customWidth="1"/>
    <col min="681" max="681" width="7.875" style="3038"/>
    <col min="682" max="682" width="9.875" style="3038" bestFit="1" customWidth="1"/>
    <col min="683" max="683" width="8.875" style="3038" bestFit="1" customWidth="1"/>
    <col min="684" max="684" width="7.875" style="3038"/>
    <col min="685" max="685" width="9.875" style="3038" bestFit="1" customWidth="1"/>
    <col min="686" max="686" width="8.875" style="3038" bestFit="1" customWidth="1"/>
    <col min="687" max="687" width="7.875" style="3038"/>
    <col min="688" max="688" width="9.875" style="3038" bestFit="1" customWidth="1"/>
    <col min="689" max="689" width="8.875" style="3038" bestFit="1" customWidth="1"/>
    <col min="690" max="690" width="7.875" style="3038"/>
    <col min="691" max="691" width="9.875" style="3038" bestFit="1" customWidth="1"/>
    <col min="692" max="692" width="8.875" style="3038" bestFit="1" customWidth="1"/>
    <col min="693" max="693" width="7.875" style="3038"/>
    <col min="694" max="694" width="9.875" style="3038" bestFit="1" customWidth="1"/>
    <col min="695" max="695" width="8.875" style="3038" bestFit="1" customWidth="1"/>
    <col min="696" max="696" width="7.875" style="3038"/>
    <col min="697" max="697" width="9.875" style="3038" bestFit="1" customWidth="1"/>
    <col min="698" max="698" width="11.125" style="3038" bestFit="1" customWidth="1"/>
    <col min="699" max="699" width="9.125" style="3038" bestFit="1" customWidth="1"/>
    <col min="700" max="700" width="9.875" style="3038" bestFit="1" customWidth="1"/>
    <col min="701" max="701" width="11.125" style="3038" bestFit="1" customWidth="1"/>
    <col min="702" max="702" width="7.875" style="3038"/>
    <col min="703" max="703" width="9.25" style="3038" customWidth="1"/>
    <col min="704" max="768" width="7.875" style="3038"/>
    <col min="769" max="769" width="3.875" style="3038" customWidth="1"/>
    <col min="770" max="770" width="10.375" style="3038" customWidth="1"/>
    <col min="771" max="771" width="11.375" style="3038" bestFit="1" customWidth="1"/>
    <col min="772" max="772" width="10.5" style="3038" customWidth="1"/>
    <col min="773" max="773" width="11.625" style="3038" customWidth="1"/>
    <col min="774" max="774" width="9.875" style="3038" customWidth="1"/>
    <col min="775" max="775" width="11.875" style="3038" customWidth="1"/>
    <col min="776" max="776" width="12.75" style="3038" customWidth="1"/>
    <col min="777" max="777" width="11" style="3038" customWidth="1"/>
    <col min="778" max="778" width="12.75" style="3038" customWidth="1"/>
    <col min="779" max="779" width="14" style="3038" customWidth="1"/>
    <col min="780" max="780" width="9.375" style="3038" customWidth="1"/>
    <col min="781" max="781" width="10.875" style="3038" customWidth="1"/>
    <col min="782" max="782" width="12.25" style="3038" customWidth="1"/>
    <col min="783" max="783" width="10.375" style="3038" customWidth="1"/>
    <col min="784" max="784" width="8.5" style="3038" customWidth="1"/>
    <col min="785" max="785" width="12" style="3038" customWidth="1"/>
    <col min="786" max="786" width="10.875" style="3038" bestFit="1" customWidth="1"/>
    <col min="787" max="787" width="10.5" style="3038" bestFit="1" customWidth="1"/>
    <col min="788" max="788" width="10.875" style="3038" bestFit="1" customWidth="1"/>
    <col min="789" max="790" width="11" style="3038" customWidth="1"/>
    <col min="791" max="791" width="9.375" style="3038" customWidth="1"/>
    <col min="792" max="792" width="7.125" style="3038" customWidth="1"/>
    <col min="793" max="794" width="11.75" style="3038" customWidth="1"/>
    <col min="795" max="795" width="13" style="3038" customWidth="1"/>
    <col min="796" max="796" width="10.75" style="3038" customWidth="1"/>
    <col min="797" max="798" width="7.375" style="3038" customWidth="1"/>
    <col min="799" max="799" width="10.25" style="3038" customWidth="1"/>
    <col min="800" max="809" width="8.625" style="3038" customWidth="1"/>
    <col min="810" max="811" width="14.125" style="3038" bestFit="1" customWidth="1"/>
    <col min="812" max="813" width="10.25" style="3038" customWidth="1"/>
    <col min="814" max="814" width="10.125" style="3038" customWidth="1"/>
    <col min="815" max="815" width="8.875" style="3038" customWidth="1"/>
    <col min="816" max="816" width="9.375" style="3038" customWidth="1"/>
    <col min="817" max="817" width="13.25" style="3038" customWidth="1"/>
    <col min="818" max="818" width="13" style="3038" customWidth="1"/>
    <col min="819" max="819" width="10.875" style="3038" customWidth="1"/>
    <col min="820" max="820" width="9.375" style="3038" customWidth="1"/>
    <col min="821" max="821" width="10.875" style="3038" customWidth="1"/>
    <col min="822" max="822" width="10.5" style="3038" customWidth="1"/>
    <col min="823" max="823" width="8.125" style="3038" customWidth="1"/>
    <col min="824" max="824" width="8.625" style="3038" customWidth="1"/>
    <col min="825" max="825" width="10.75" style="3038" customWidth="1"/>
    <col min="826" max="826" width="9.625" style="3038" customWidth="1"/>
    <col min="827" max="827" width="9.5" style="3038" customWidth="1"/>
    <col min="828" max="828" width="11" style="3038" customWidth="1"/>
    <col min="829" max="829" width="9.25" style="3038" customWidth="1"/>
    <col min="830" max="831" width="11" style="3038" customWidth="1"/>
    <col min="832" max="832" width="9.625" style="3038" customWidth="1"/>
    <col min="833" max="835" width="10.75" style="3038" bestFit="1" customWidth="1"/>
    <col min="836" max="836" width="10.25" style="3038" bestFit="1" customWidth="1"/>
    <col min="837" max="837" width="10.75" style="3038" bestFit="1" customWidth="1"/>
    <col min="838" max="838" width="10.25" style="3038" bestFit="1" customWidth="1"/>
    <col min="839" max="839" width="10.75" style="3038" bestFit="1" customWidth="1"/>
    <col min="840" max="840" width="10.25" style="3038" bestFit="1" customWidth="1"/>
    <col min="841" max="841" width="10.75" style="3038" bestFit="1" customWidth="1"/>
    <col min="842" max="842" width="10.25" style="3038" bestFit="1" customWidth="1"/>
    <col min="843" max="843" width="10.75" style="3038" bestFit="1" customWidth="1"/>
    <col min="844" max="844" width="10.25" style="3038" bestFit="1" customWidth="1"/>
    <col min="845" max="845" width="10.375" style="3038" customWidth="1"/>
    <col min="846" max="846" width="10.25" style="3038" customWidth="1"/>
    <col min="847" max="847" width="10.375" style="3038" customWidth="1"/>
    <col min="848" max="849" width="10.5" style="3038" customWidth="1"/>
    <col min="850" max="850" width="11.125" style="3038" customWidth="1"/>
    <col min="851" max="851" width="9.875" style="3038" customWidth="1"/>
    <col min="852" max="852" width="10.25" style="3038" customWidth="1"/>
    <col min="853" max="853" width="9.875" style="3038" customWidth="1"/>
    <col min="854" max="854" width="10" style="3038" customWidth="1"/>
    <col min="855" max="855" width="9.75" style="3038" customWidth="1"/>
    <col min="856" max="880" width="9.625" style="3038" customWidth="1"/>
    <col min="881" max="881" width="13.625" style="3038" bestFit="1" customWidth="1"/>
    <col min="882" max="882" width="12.375" style="3038" bestFit="1" customWidth="1"/>
    <col min="883" max="883" width="9.875" style="3038" bestFit="1" customWidth="1"/>
    <col min="884" max="884" width="10.375" style="3038" customWidth="1"/>
    <col min="885" max="885" width="9.25" style="3038" customWidth="1"/>
    <col min="886" max="886" width="12.625" style="3038" customWidth="1"/>
    <col min="887" max="887" width="9.875" style="3038" bestFit="1" customWidth="1"/>
    <col min="888" max="888" width="9.125" style="3038" bestFit="1" customWidth="1"/>
    <col min="889" max="890" width="9.875" style="3038" bestFit="1" customWidth="1"/>
    <col min="891" max="891" width="9.125" style="3038" bestFit="1" customWidth="1"/>
    <col min="892" max="893" width="9.875" style="3038" bestFit="1" customWidth="1"/>
    <col min="894" max="894" width="11.125" style="3038" bestFit="1" customWidth="1"/>
    <col min="895" max="896" width="9.875" style="3038" bestFit="1" customWidth="1"/>
    <col min="897" max="897" width="11.125" style="3038" bestFit="1" customWidth="1"/>
    <col min="898" max="899" width="9.875" style="3038" bestFit="1" customWidth="1"/>
    <col min="900" max="900" width="11.125" style="3038" bestFit="1" customWidth="1"/>
    <col min="901" max="901" width="9.125" style="3038" bestFit="1" customWidth="1"/>
    <col min="902" max="902" width="9.875" style="3038" bestFit="1" customWidth="1"/>
    <col min="903" max="903" width="11.125" style="3038" bestFit="1" customWidth="1"/>
    <col min="904" max="904" width="9.125" style="3038" bestFit="1" customWidth="1"/>
    <col min="905" max="905" width="9.875" style="3038" bestFit="1" customWidth="1"/>
    <col min="906" max="906" width="11.125" style="3038" bestFit="1" customWidth="1"/>
    <col min="907" max="907" width="9.125" style="3038" bestFit="1" customWidth="1"/>
    <col min="908" max="908" width="9.875" style="3038" bestFit="1" customWidth="1"/>
    <col min="909" max="909" width="11.125" style="3038" bestFit="1" customWidth="1"/>
    <col min="910" max="910" width="9.125" style="3038" bestFit="1" customWidth="1"/>
    <col min="911" max="911" width="9.875" style="3038" bestFit="1" customWidth="1"/>
    <col min="912" max="912" width="11.125" style="3038" bestFit="1" customWidth="1"/>
    <col min="913" max="913" width="9.125" style="3038" bestFit="1" customWidth="1"/>
    <col min="914" max="914" width="9.875" style="3038" bestFit="1" customWidth="1"/>
    <col min="915" max="915" width="11.125" style="3038" bestFit="1" customWidth="1"/>
    <col min="916" max="916" width="9.125" style="3038" bestFit="1" customWidth="1"/>
    <col min="917" max="917" width="9.875" style="3038" bestFit="1" customWidth="1"/>
    <col min="918" max="918" width="11.125" style="3038" bestFit="1" customWidth="1"/>
    <col min="919" max="919" width="9.125" style="3038" bestFit="1" customWidth="1"/>
    <col min="920" max="920" width="9.875" style="3038" bestFit="1" customWidth="1"/>
    <col min="921" max="921" width="11.125" style="3038" bestFit="1" customWidth="1"/>
    <col min="922" max="922" width="9.125" style="3038" bestFit="1" customWidth="1"/>
    <col min="923" max="923" width="9.875" style="3038" bestFit="1" customWidth="1"/>
    <col min="924" max="924" width="11.125" style="3038" bestFit="1" customWidth="1"/>
    <col min="925" max="925" width="7.875" style="3038" customWidth="1"/>
    <col min="926" max="927" width="9.875" style="3038" bestFit="1" customWidth="1"/>
    <col min="928" max="928" width="7.875" style="3038"/>
    <col min="929" max="930" width="9.875" style="3038" bestFit="1" customWidth="1"/>
    <col min="931" max="931" width="7.875" style="3038"/>
    <col min="932" max="933" width="9.875" style="3038" bestFit="1" customWidth="1"/>
    <col min="934" max="934" width="7.875" style="3038"/>
    <col min="935" max="936" width="9.875" style="3038" bestFit="1" customWidth="1"/>
    <col min="937" max="937" width="7.875" style="3038"/>
    <col min="938" max="938" width="9.875" style="3038" bestFit="1" customWidth="1"/>
    <col min="939" max="939" width="8.875" style="3038" bestFit="1" customWidth="1"/>
    <col min="940" max="940" width="7.875" style="3038"/>
    <col min="941" max="941" width="9.875" style="3038" bestFit="1" customWidth="1"/>
    <col min="942" max="942" width="8.875" style="3038" bestFit="1" customWidth="1"/>
    <col min="943" max="943" width="7.875" style="3038"/>
    <col min="944" max="944" width="9.875" style="3038" bestFit="1" customWidth="1"/>
    <col min="945" max="945" width="8.875" style="3038" bestFit="1" customWidth="1"/>
    <col min="946" max="946" width="7.875" style="3038"/>
    <col min="947" max="947" width="9.875" style="3038" bestFit="1" customWidth="1"/>
    <col min="948" max="948" width="8.875" style="3038" bestFit="1" customWidth="1"/>
    <col min="949" max="949" width="7.875" style="3038"/>
    <col min="950" max="950" width="9.875" style="3038" bestFit="1" customWidth="1"/>
    <col min="951" max="951" width="8.875" style="3038" bestFit="1" customWidth="1"/>
    <col min="952" max="952" width="7.875" style="3038"/>
    <col min="953" max="953" width="9.875" style="3038" bestFit="1" customWidth="1"/>
    <col min="954" max="954" width="11.125" style="3038" bestFit="1" customWidth="1"/>
    <col min="955" max="955" width="9.125" style="3038" bestFit="1" customWidth="1"/>
    <col min="956" max="956" width="9.875" style="3038" bestFit="1" customWidth="1"/>
    <col min="957" max="957" width="11.125" style="3038" bestFit="1" customWidth="1"/>
    <col min="958" max="958" width="7.875" style="3038"/>
    <col min="959" max="959" width="9.25" style="3038" customWidth="1"/>
    <col min="960" max="1024" width="7.875" style="3038"/>
    <col min="1025" max="1025" width="3.875" style="3038" customWidth="1"/>
    <col min="1026" max="1026" width="10.375" style="3038" customWidth="1"/>
    <col min="1027" max="1027" width="11.375" style="3038" bestFit="1" customWidth="1"/>
    <col min="1028" max="1028" width="10.5" style="3038" customWidth="1"/>
    <col min="1029" max="1029" width="11.625" style="3038" customWidth="1"/>
    <col min="1030" max="1030" width="9.875" style="3038" customWidth="1"/>
    <col min="1031" max="1031" width="11.875" style="3038" customWidth="1"/>
    <col min="1032" max="1032" width="12.75" style="3038" customWidth="1"/>
    <col min="1033" max="1033" width="11" style="3038" customWidth="1"/>
    <col min="1034" max="1034" width="12.75" style="3038" customWidth="1"/>
    <col min="1035" max="1035" width="14" style="3038" customWidth="1"/>
    <col min="1036" max="1036" width="9.375" style="3038" customWidth="1"/>
    <col min="1037" max="1037" width="10.875" style="3038" customWidth="1"/>
    <col min="1038" max="1038" width="12.25" style="3038" customWidth="1"/>
    <col min="1039" max="1039" width="10.375" style="3038" customWidth="1"/>
    <col min="1040" max="1040" width="8.5" style="3038" customWidth="1"/>
    <col min="1041" max="1041" width="12" style="3038" customWidth="1"/>
    <col min="1042" max="1042" width="10.875" style="3038" bestFit="1" customWidth="1"/>
    <col min="1043" max="1043" width="10.5" style="3038" bestFit="1" customWidth="1"/>
    <col min="1044" max="1044" width="10.875" style="3038" bestFit="1" customWidth="1"/>
    <col min="1045" max="1046" width="11" style="3038" customWidth="1"/>
    <col min="1047" max="1047" width="9.375" style="3038" customWidth="1"/>
    <col min="1048" max="1048" width="7.125" style="3038" customWidth="1"/>
    <col min="1049" max="1050" width="11.75" style="3038" customWidth="1"/>
    <col min="1051" max="1051" width="13" style="3038" customWidth="1"/>
    <col min="1052" max="1052" width="10.75" style="3038" customWidth="1"/>
    <col min="1053" max="1054" width="7.375" style="3038" customWidth="1"/>
    <col min="1055" max="1055" width="10.25" style="3038" customWidth="1"/>
    <col min="1056" max="1065" width="8.625" style="3038" customWidth="1"/>
    <col min="1066" max="1067" width="14.125" style="3038" bestFit="1" customWidth="1"/>
    <col min="1068" max="1069" width="10.25" style="3038" customWidth="1"/>
    <col min="1070" max="1070" width="10.125" style="3038" customWidth="1"/>
    <col min="1071" max="1071" width="8.875" style="3038" customWidth="1"/>
    <col min="1072" max="1072" width="9.375" style="3038" customWidth="1"/>
    <col min="1073" max="1073" width="13.25" style="3038" customWidth="1"/>
    <col min="1074" max="1074" width="13" style="3038" customWidth="1"/>
    <col min="1075" max="1075" width="10.875" style="3038" customWidth="1"/>
    <col min="1076" max="1076" width="9.375" style="3038" customWidth="1"/>
    <col min="1077" max="1077" width="10.875" style="3038" customWidth="1"/>
    <col min="1078" max="1078" width="10.5" style="3038" customWidth="1"/>
    <col min="1079" max="1079" width="8.125" style="3038" customWidth="1"/>
    <col min="1080" max="1080" width="8.625" style="3038" customWidth="1"/>
    <col min="1081" max="1081" width="10.75" style="3038" customWidth="1"/>
    <col min="1082" max="1082" width="9.625" style="3038" customWidth="1"/>
    <col min="1083" max="1083" width="9.5" style="3038" customWidth="1"/>
    <col min="1084" max="1084" width="11" style="3038" customWidth="1"/>
    <col min="1085" max="1085" width="9.25" style="3038" customWidth="1"/>
    <col min="1086" max="1087" width="11" style="3038" customWidth="1"/>
    <col min="1088" max="1088" width="9.625" style="3038" customWidth="1"/>
    <col min="1089" max="1091" width="10.75" style="3038" bestFit="1" customWidth="1"/>
    <col min="1092" max="1092" width="10.25" style="3038" bestFit="1" customWidth="1"/>
    <col min="1093" max="1093" width="10.75" style="3038" bestFit="1" customWidth="1"/>
    <col min="1094" max="1094" width="10.25" style="3038" bestFit="1" customWidth="1"/>
    <col min="1095" max="1095" width="10.75" style="3038" bestFit="1" customWidth="1"/>
    <col min="1096" max="1096" width="10.25" style="3038" bestFit="1" customWidth="1"/>
    <col min="1097" max="1097" width="10.75" style="3038" bestFit="1" customWidth="1"/>
    <col min="1098" max="1098" width="10.25" style="3038" bestFit="1" customWidth="1"/>
    <col min="1099" max="1099" width="10.75" style="3038" bestFit="1" customWidth="1"/>
    <col min="1100" max="1100" width="10.25" style="3038" bestFit="1" customWidth="1"/>
    <col min="1101" max="1101" width="10.375" style="3038" customWidth="1"/>
    <col min="1102" max="1102" width="10.25" style="3038" customWidth="1"/>
    <col min="1103" max="1103" width="10.375" style="3038" customWidth="1"/>
    <col min="1104" max="1105" width="10.5" style="3038" customWidth="1"/>
    <col min="1106" max="1106" width="11.125" style="3038" customWidth="1"/>
    <col min="1107" max="1107" width="9.875" style="3038" customWidth="1"/>
    <col min="1108" max="1108" width="10.25" style="3038" customWidth="1"/>
    <col min="1109" max="1109" width="9.875" style="3038" customWidth="1"/>
    <col min="1110" max="1110" width="10" style="3038" customWidth="1"/>
    <col min="1111" max="1111" width="9.75" style="3038" customWidth="1"/>
    <col min="1112" max="1136" width="9.625" style="3038" customWidth="1"/>
    <col min="1137" max="1137" width="13.625" style="3038" bestFit="1" customWidth="1"/>
    <col min="1138" max="1138" width="12.375" style="3038" bestFit="1" customWidth="1"/>
    <col min="1139" max="1139" width="9.875" style="3038" bestFit="1" customWidth="1"/>
    <col min="1140" max="1140" width="10.375" style="3038" customWidth="1"/>
    <col min="1141" max="1141" width="9.25" style="3038" customWidth="1"/>
    <col min="1142" max="1142" width="12.625" style="3038" customWidth="1"/>
    <col min="1143" max="1143" width="9.875" style="3038" bestFit="1" customWidth="1"/>
    <col min="1144" max="1144" width="9.125" style="3038" bestFit="1" customWidth="1"/>
    <col min="1145" max="1146" width="9.875" style="3038" bestFit="1" customWidth="1"/>
    <col min="1147" max="1147" width="9.125" style="3038" bestFit="1" customWidth="1"/>
    <col min="1148" max="1149" width="9.875" style="3038" bestFit="1" customWidth="1"/>
    <col min="1150" max="1150" width="11.125" style="3038" bestFit="1" customWidth="1"/>
    <col min="1151" max="1152" width="9.875" style="3038" bestFit="1" customWidth="1"/>
    <col min="1153" max="1153" width="11.125" style="3038" bestFit="1" customWidth="1"/>
    <col min="1154" max="1155" width="9.875" style="3038" bestFit="1" customWidth="1"/>
    <col min="1156" max="1156" width="11.125" style="3038" bestFit="1" customWidth="1"/>
    <col min="1157" max="1157" width="9.125" style="3038" bestFit="1" customWidth="1"/>
    <col min="1158" max="1158" width="9.875" style="3038" bestFit="1" customWidth="1"/>
    <col min="1159" max="1159" width="11.125" style="3038" bestFit="1" customWidth="1"/>
    <col min="1160" max="1160" width="9.125" style="3038" bestFit="1" customWidth="1"/>
    <col min="1161" max="1161" width="9.875" style="3038" bestFit="1" customWidth="1"/>
    <col min="1162" max="1162" width="11.125" style="3038" bestFit="1" customWidth="1"/>
    <col min="1163" max="1163" width="9.125" style="3038" bestFit="1" customWidth="1"/>
    <col min="1164" max="1164" width="9.875" style="3038" bestFit="1" customWidth="1"/>
    <col min="1165" max="1165" width="11.125" style="3038" bestFit="1" customWidth="1"/>
    <col min="1166" max="1166" width="9.125" style="3038" bestFit="1" customWidth="1"/>
    <col min="1167" max="1167" width="9.875" style="3038" bestFit="1" customWidth="1"/>
    <col min="1168" max="1168" width="11.125" style="3038" bestFit="1" customWidth="1"/>
    <col min="1169" max="1169" width="9.125" style="3038" bestFit="1" customWidth="1"/>
    <col min="1170" max="1170" width="9.875" style="3038" bestFit="1" customWidth="1"/>
    <col min="1171" max="1171" width="11.125" style="3038" bestFit="1" customWidth="1"/>
    <col min="1172" max="1172" width="9.125" style="3038" bestFit="1" customWidth="1"/>
    <col min="1173" max="1173" width="9.875" style="3038" bestFit="1" customWidth="1"/>
    <col min="1174" max="1174" width="11.125" style="3038" bestFit="1" customWidth="1"/>
    <col min="1175" max="1175" width="9.125" style="3038" bestFit="1" customWidth="1"/>
    <col min="1176" max="1176" width="9.875" style="3038" bestFit="1" customWidth="1"/>
    <col min="1177" max="1177" width="11.125" style="3038" bestFit="1" customWidth="1"/>
    <col min="1178" max="1178" width="9.125" style="3038" bestFit="1" customWidth="1"/>
    <col min="1179" max="1179" width="9.875" style="3038" bestFit="1" customWidth="1"/>
    <col min="1180" max="1180" width="11.125" style="3038" bestFit="1" customWidth="1"/>
    <col min="1181" max="1181" width="7.875" style="3038" customWidth="1"/>
    <col min="1182" max="1183" width="9.875" style="3038" bestFit="1" customWidth="1"/>
    <col min="1184" max="1184" width="7.875" style="3038"/>
    <col min="1185" max="1186" width="9.875" style="3038" bestFit="1" customWidth="1"/>
    <col min="1187" max="1187" width="7.875" style="3038"/>
    <col min="1188" max="1189" width="9.875" style="3038" bestFit="1" customWidth="1"/>
    <col min="1190" max="1190" width="7.875" style="3038"/>
    <col min="1191" max="1192" width="9.875" style="3038" bestFit="1" customWidth="1"/>
    <col min="1193" max="1193" width="7.875" style="3038"/>
    <col min="1194" max="1194" width="9.875" style="3038" bestFit="1" customWidth="1"/>
    <col min="1195" max="1195" width="8.875" style="3038" bestFit="1" customWidth="1"/>
    <col min="1196" max="1196" width="7.875" style="3038"/>
    <col min="1197" max="1197" width="9.875" style="3038" bestFit="1" customWidth="1"/>
    <col min="1198" max="1198" width="8.875" style="3038" bestFit="1" customWidth="1"/>
    <col min="1199" max="1199" width="7.875" style="3038"/>
    <col min="1200" max="1200" width="9.875" style="3038" bestFit="1" customWidth="1"/>
    <col min="1201" max="1201" width="8.875" style="3038" bestFit="1" customWidth="1"/>
    <col min="1202" max="1202" width="7.875" style="3038"/>
    <col min="1203" max="1203" width="9.875" style="3038" bestFit="1" customWidth="1"/>
    <col min="1204" max="1204" width="8.875" style="3038" bestFit="1" customWidth="1"/>
    <col min="1205" max="1205" width="7.875" style="3038"/>
    <col min="1206" max="1206" width="9.875" style="3038" bestFit="1" customWidth="1"/>
    <col min="1207" max="1207" width="8.875" style="3038" bestFit="1" customWidth="1"/>
    <col min="1208" max="1208" width="7.875" style="3038"/>
    <col min="1209" max="1209" width="9.875" style="3038" bestFit="1" customWidth="1"/>
    <col min="1210" max="1210" width="11.125" style="3038" bestFit="1" customWidth="1"/>
    <col min="1211" max="1211" width="9.125" style="3038" bestFit="1" customWidth="1"/>
    <col min="1212" max="1212" width="9.875" style="3038" bestFit="1" customWidth="1"/>
    <col min="1213" max="1213" width="11.125" style="3038" bestFit="1" customWidth="1"/>
    <col min="1214" max="1214" width="7.875" style="3038"/>
    <col min="1215" max="1215" width="9.25" style="3038" customWidth="1"/>
    <col min="1216" max="1280" width="7.875" style="3038"/>
    <col min="1281" max="1281" width="3.875" style="3038" customWidth="1"/>
    <col min="1282" max="1282" width="10.375" style="3038" customWidth="1"/>
    <col min="1283" max="1283" width="11.375" style="3038" bestFit="1" customWidth="1"/>
    <col min="1284" max="1284" width="10.5" style="3038" customWidth="1"/>
    <col min="1285" max="1285" width="11.625" style="3038" customWidth="1"/>
    <col min="1286" max="1286" width="9.875" style="3038" customWidth="1"/>
    <col min="1287" max="1287" width="11.875" style="3038" customWidth="1"/>
    <col min="1288" max="1288" width="12.75" style="3038" customWidth="1"/>
    <col min="1289" max="1289" width="11" style="3038" customWidth="1"/>
    <col min="1290" max="1290" width="12.75" style="3038" customWidth="1"/>
    <col min="1291" max="1291" width="14" style="3038" customWidth="1"/>
    <col min="1292" max="1292" width="9.375" style="3038" customWidth="1"/>
    <col min="1293" max="1293" width="10.875" style="3038" customWidth="1"/>
    <col min="1294" max="1294" width="12.25" style="3038" customWidth="1"/>
    <col min="1295" max="1295" width="10.375" style="3038" customWidth="1"/>
    <col min="1296" max="1296" width="8.5" style="3038" customWidth="1"/>
    <col min="1297" max="1297" width="12" style="3038" customWidth="1"/>
    <col min="1298" max="1298" width="10.875" style="3038" bestFit="1" customWidth="1"/>
    <col min="1299" max="1299" width="10.5" style="3038" bestFit="1" customWidth="1"/>
    <col min="1300" max="1300" width="10.875" style="3038" bestFit="1" customWidth="1"/>
    <col min="1301" max="1302" width="11" style="3038" customWidth="1"/>
    <col min="1303" max="1303" width="9.375" style="3038" customWidth="1"/>
    <col min="1304" max="1304" width="7.125" style="3038" customWidth="1"/>
    <col min="1305" max="1306" width="11.75" style="3038" customWidth="1"/>
    <col min="1307" max="1307" width="13" style="3038" customWidth="1"/>
    <col min="1308" max="1308" width="10.75" style="3038" customWidth="1"/>
    <col min="1309" max="1310" width="7.375" style="3038" customWidth="1"/>
    <col min="1311" max="1311" width="10.25" style="3038" customWidth="1"/>
    <col min="1312" max="1321" width="8.625" style="3038" customWidth="1"/>
    <col min="1322" max="1323" width="14.125" style="3038" bestFit="1" customWidth="1"/>
    <col min="1324" max="1325" width="10.25" style="3038" customWidth="1"/>
    <col min="1326" max="1326" width="10.125" style="3038" customWidth="1"/>
    <col min="1327" max="1327" width="8.875" style="3038" customWidth="1"/>
    <col min="1328" max="1328" width="9.375" style="3038" customWidth="1"/>
    <col min="1329" max="1329" width="13.25" style="3038" customWidth="1"/>
    <col min="1330" max="1330" width="13" style="3038" customWidth="1"/>
    <col min="1331" max="1331" width="10.875" style="3038" customWidth="1"/>
    <col min="1332" max="1332" width="9.375" style="3038" customWidth="1"/>
    <col min="1333" max="1333" width="10.875" style="3038" customWidth="1"/>
    <col min="1334" max="1334" width="10.5" style="3038" customWidth="1"/>
    <col min="1335" max="1335" width="8.125" style="3038" customWidth="1"/>
    <col min="1336" max="1336" width="8.625" style="3038" customWidth="1"/>
    <col min="1337" max="1337" width="10.75" style="3038" customWidth="1"/>
    <col min="1338" max="1338" width="9.625" style="3038" customWidth="1"/>
    <col min="1339" max="1339" width="9.5" style="3038" customWidth="1"/>
    <col min="1340" max="1340" width="11" style="3038" customWidth="1"/>
    <col min="1341" max="1341" width="9.25" style="3038" customWidth="1"/>
    <col min="1342" max="1343" width="11" style="3038" customWidth="1"/>
    <col min="1344" max="1344" width="9.625" style="3038" customWidth="1"/>
    <col min="1345" max="1347" width="10.75" style="3038" bestFit="1" customWidth="1"/>
    <col min="1348" max="1348" width="10.25" style="3038" bestFit="1" customWidth="1"/>
    <col min="1349" max="1349" width="10.75" style="3038" bestFit="1" customWidth="1"/>
    <col min="1350" max="1350" width="10.25" style="3038" bestFit="1" customWidth="1"/>
    <col min="1351" max="1351" width="10.75" style="3038" bestFit="1" customWidth="1"/>
    <col min="1352" max="1352" width="10.25" style="3038" bestFit="1" customWidth="1"/>
    <col min="1353" max="1353" width="10.75" style="3038" bestFit="1" customWidth="1"/>
    <col min="1354" max="1354" width="10.25" style="3038" bestFit="1" customWidth="1"/>
    <col min="1355" max="1355" width="10.75" style="3038" bestFit="1" customWidth="1"/>
    <col min="1356" max="1356" width="10.25" style="3038" bestFit="1" customWidth="1"/>
    <col min="1357" max="1357" width="10.375" style="3038" customWidth="1"/>
    <col min="1358" max="1358" width="10.25" style="3038" customWidth="1"/>
    <col min="1359" max="1359" width="10.375" style="3038" customWidth="1"/>
    <col min="1360" max="1361" width="10.5" style="3038" customWidth="1"/>
    <col min="1362" max="1362" width="11.125" style="3038" customWidth="1"/>
    <col min="1363" max="1363" width="9.875" style="3038" customWidth="1"/>
    <col min="1364" max="1364" width="10.25" style="3038" customWidth="1"/>
    <col min="1365" max="1365" width="9.875" style="3038" customWidth="1"/>
    <col min="1366" max="1366" width="10" style="3038" customWidth="1"/>
    <col min="1367" max="1367" width="9.75" style="3038" customWidth="1"/>
    <col min="1368" max="1392" width="9.625" style="3038" customWidth="1"/>
    <col min="1393" max="1393" width="13.625" style="3038" bestFit="1" customWidth="1"/>
    <col min="1394" max="1394" width="12.375" style="3038" bestFit="1" customWidth="1"/>
    <col min="1395" max="1395" width="9.875" style="3038" bestFit="1" customWidth="1"/>
    <col min="1396" max="1396" width="10.375" style="3038" customWidth="1"/>
    <col min="1397" max="1397" width="9.25" style="3038" customWidth="1"/>
    <col min="1398" max="1398" width="12.625" style="3038" customWidth="1"/>
    <col min="1399" max="1399" width="9.875" style="3038" bestFit="1" customWidth="1"/>
    <col min="1400" max="1400" width="9.125" style="3038" bestFit="1" customWidth="1"/>
    <col min="1401" max="1402" width="9.875" style="3038" bestFit="1" customWidth="1"/>
    <col min="1403" max="1403" width="9.125" style="3038" bestFit="1" customWidth="1"/>
    <col min="1404" max="1405" width="9.875" style="3038" bestFit="1" customWidth="1"/>
    <col min="1406" max="1406" width="11.125" style="3038" bestFit="1" customWidth="1"/>
    <col min="1407" max="1408" width="9.875" style="3038" bestFit="1" customWidth="1"/>
    <col min="1409" max="1409" width="11.125" style="3038" bestFit="1" customWidth="1"/>
    <col min="1410" max="1411" width="9.875" style="3038" bestFit="1" customWidth="1"/>
    <col min="1412" max="1412" width="11.125" style="3038" bestFit="1" customWidth="1"/>
    <col min="1413" max="1413" width="9.125" style="3038" bestFit="1" customWidth="1"/>
    <col min="1414" max="1414" width="9.875" style="3038" bestFit="1" customWidth="1"/>
    <col min="1415" max="1415" width="11.125" style="3038" bestFit="1" customWidth="1"/>
    <col min="1416" max="1416" width="9.125" style="3038" bestFit="1" customWidth="1"/>
    <col min="1417" max="1417" width="9.875" style="3038" bestFit="1" customWidth="1"/>
    <col min="1418" max="1418" width="11.125" style="3038" bestFit="1" customWidth="1"/>
    <col min="1419" max="1419" width="9.125" style="3038" bestFit="1" customWidth="1"/>
    <col min="1420" max="1420" width="9.875" style="3038" bestFit="1" customWidth="1"/>
    <col min="1421" max="1421" width="11.125" style="3038" bestFit="1" customWidth="1"/>
    <col min="1422" max="1422" width="9.125" style="3038" bestFit="1" customWidth="1"/>
    <col min="1423" max="1423" width="9.875" style="3038" bestFit="1" customWidth="1"/>
    <col min="1424" max="1424" width="11.125" style="3038" bestFit="1" customWidth="1"/>
    <col min="1425" max="1425" width="9.125" style="3038" bestFit="1" customWidth="1"/>
    <col min="1426" max="1426" width="9.875" style="3038" bestFit="1" customWidth="1"/>
    <col min="1427" max="1427" width="11.125" style="3038" bestFit="1" customWidth="1"/>
    <col min="1428" max="1428" width="9.125" style="3038" bestFit="1" customWidth="1"/>
    <col min="1429" max="1429" width="9.875" style="3038" bestFit="1" customWidth="1"/>
    <col min="1430" max="1430" width="11.125" style="3038" bestFit="1" customWidth="1"/>
    <col min="1431" max="1431" width="9.125" style="3038" bestFit="1" customWidth="1"/>
    <col min="1432" max="1432" width="9.875" style="3038" bestFit="1" customWidth="1"/>
    <col min="1433" max="1433" width="11.125" style="3038" bestFit="1" customWidth="1"/>
    <col min="1434" max="1434" width="9.125" style="3038" bestFit="1" customWidth="1"/>
    <col min="1435" max="1435" width="9.875" style="3038" bestFit="1" customWidth="1"/>
    <col min="1436" max="1436" width="11.125" style="3038" bestFit="1" customWidth="1"/>
    <col min="1437" max="1437" width="7.875" style="3038" customWidth="1"/>
    <col min="1438" max="1439" width="9.875" style="3038" bestFit="1" customWidth="1"/>
    <col min="1440" max="1440" width="7.875" style="3038"/>
    <col min="1441" max="1442" width="9.875" style="3038" bestFit="1" customWidth="1"/>
    <col min="1443" max="1443" width="7.875" style="3038"/>
    <col min="1444" max="1445" width="9.875" style="3038" bestFit="1" customWidth="1"/>
    <col min="1446" max="1446" width="7.875" style="3038"/>
    <col min="1447" max="1448" width="9.875" style="3038" bestFit="1" customWidth="1"/>
    <col min="1449" max="1449" width="7.875" style="3038"/>
    <col min="1450" max="1450" width="9.875" style="3038" bestFit="1" customWidth="1"/>
    <col min="1451" max="1451" width="8.875" style="3038" bestFit="1" customWidth="1"/>
    <col min="1452" max="1452" width="7.875" style="3038"/>
    <col min="1453" max="1453" width="9.875" style="3038" bestFit="1" customWidth="1"/>
    <col min="1454" max="1454" width="8.875" style="3038" bestFit="1" customWidth="1"/>
    <col min="1455" max="1455" width="7.875" style="3038"/>
    <col min="1456" max="1456" width="9.875" style="3038" bestFit="1" customWidth="1"/>
    <col min="1457" max="1457" width="8.875" style="3038" bestFit="1" customWidth="1"/>
    <col min="1458" max="1458" width="7.875" style="3038"/>
    <col min="1459" max="1459" width="9.875" style="3038" bestFit="1" customWidth="1"/>
    <col min="1460" max="1460" width="8.875" style="3038" bestFit="1" customWidth="1"/>
    <col min="1461" max="1461" width="7.875" style="3038"/>
    <col min="1462" max="1462" width="9.875" style="3038" bestFit="1" customWidth="1"/>
    <col min="1463" max="1463" width="8.875" style="3038" bestFit="1" customWidth="1"/>
    <col min="1464" max="1464" width="7.875" style="3038"/>
    <col min="1465" max="1465" width="9.875" style="3038" bestFit="1" customWidth="1"/>
    <col min="1466" max="1466" width="11.125" style="3038" bestFit="1" customWidth="1"/>
    <col min="1467" max="1467" width="9.125" style="3038" bestFit="1" customWidth="1"/>
    <col min="1468" max="1468" width="9.875" style="3038" bestFit="1" customWidth="1"/>
    <col min="1469" max="1469" width="11.125" style="3038" bestFit="1" customWidth="1"/>
    <col min="1470" max="1470" width="7.875" style="3038"/>
    <col min="1471" max="1471" width="9.25" style="3038" customWidth="1"/>
    <col min="1472" max="1536" width="7.875" style="3038"/>
    <col min="1537" max="1537" width="3.875" style="3038" customWidth="1"/>
    <col min="1538" max="1538" width="10.375" style="3038" customWidth="1"/>
    <col min="1539" max="1539" width="11.375" style="3038" bestFit="1" customWidth="1"/>
    <col min="1540" max="1540" width="10.5" style="3038" customWidth="1"/>
    <col min="1541" max="1541" width="11.625" style="3038" customWidth="1"/>
    <col min="1542" max="1542" width="9.875" style="3038" customWidth="1"/>
    <col min="1543" max="1543" width="11.875" style="3038" customWidth="1"/>
    <col min="1544" max="1544" width="12.75" style="3038" customWidth="1"/>
    <col min="1545" max="1545" width="11" style="3038" customWidth="1"/>
    <col min="1546" max="1546" width="12.75" style="3038" customWidth="1"/>
    <col min="1547" max="1547" width="14" style="3038" customWidth="1"/>
    <col min="1548" max="1548" width="9.375" style="3038" customWidth="1"/>
    <col min="1549" max="1549" width="10.875" style="3038" customWidth="1"/>
    <col min="1550" max="1550" width="12.25" style="3038" customWidth="1"/>
    <col min="1551" max="1551" width="10.375" style="3038" customWidth="1"/>
    <col min="1552" max="1552" width="8.5" style="3038" customWidth="1"/>
    <col min="1553" max="1553" width="12" style="3038" customWidth="1"/>
    <col min="1554" max="1554" width="10.875" style="3038" bestFit="1" customWidth="1"/>
    <col min="1555" max="1555" width="10.5" style="3038" bestFit="1" customWidth="1"/>
    <col min="1556" max="1556" width="10.875" style="3038" bestFit="1" customWidth="1"/>
    <col min="1557" max="1558" width="11" style="3038" customWidth="1"/>
    <col min="1559" max="1559" width="9.375" style="3038" customWidth="1"/>
    <col min="1560" max="1560" width="7.125" style="3038" customWidth="1"/>
    <col min="1561" max="1562" width="11.75" style="3038" customWidth="1"/>
    <col min="1563" max="1563" width="13" style="3038" customWidth="1"/>
    <col min="1564" max="1564" width="10.75" style="3038" customWidth="1"/>
    <col min="1565" max="1566" width="7.375" style="3038" customWidth="1"/>
    <col min="1567" max="1567" width="10.25" style="3038" customWidth="1"/>
    <col min="1568" max="1577" width="8.625" style="3038" customWidth="1"/>
    <col min="1578" max="1579" width="14.125" style="3038" bestFit="1" customWidth="1"/>
    <col min="1580" max="1581" width="10.25" style="3038" customWidth="1"/>
    <col min="1582" max="1582" width="10.125" style="3038" customWidth="1"/>
    <col min="1583" max="1583" width="8.875" style="3038" customWidth="1"/>
    <col min="1584" max="1584" width="9.375" style="3038" customWidth="1"/>
    <col min="1585" max="1585" width="13.25" style="3038" customWidth="1"/>
    <col min="1586" max="1586" width="13" style="3038" customWidth="1"/>
    <col min="1587" max="1587" width="10.875" style="3038" customWidth="1"/>
    <col min="1588" max="1588" width="9.375" style="3038" customWidth="1"/>
    <col min="1589" max="1589" width="10.875" style="3038" customWidth="1"/>
    <col min="1590" max="1590" width="10.5" style="3038" customWidth="1"/>
    <col min="1591" max="1591" width="8.125" style="3038" customWidth="1"/>
    <col min="1592" max="1592" width="8.625" style="3038" customWidth="1"/>
    <col min="1593" max="1593" width="10.75" style="3038" customWidth="1"/>
    <col min="1594" max="1594" width="9.625" style="3038" customWidth="1"/>
    <col min="1595" max="1595" width="9.5" style="3038" customWidth="1"/>
    <col min="1596" max="1596" width="11" style="3038" customWidth="1"/>
    <col min="1597" max="1597" width="9.25" style="3038" customWidth="1"/>
    <col min="1598" max="1599" width="11" style="3038" customWidth="1"/>
    <col min="1600" max="1600" width="9.625" style="3038" customWidth="1"/>
    <col min="1601" max="1603" width="10.75" style="3038" bestFit="1" customWidth="1"/>
    <col min="1604" max="1604" width="10.25" style="3038" bestFit="1" customWidth="1"/>
    <col min="1605" max="1605" width="10.75" style="3038" bestFit="1" customWidth="1"/>
    <col min="1606" max="1606" width="10.25" style="3038" bestFit="1" customWidth="1"/>
    <col min="1607" max="1607" width="10.75" style="3038" bestFit="1" customWidth="1"/>
    <col min="1608" max="1608" width="10.25" style="3038" bestFit="1" customWidth="1"/>
    <col min="1609" max="1609" width="10.75" style="3038" bestFit="1" customWidth="1"/>
    <col min="1610" max="1610" width="10.25" style="3038" bestFit="1" customWidth="1"/>
    <col min="1611" max="1611" width="10.75" style="3038" bestFit="1" customWidth="1"/>
    <col min="1612" max="1612" width="10.25" style="3038" bestFit="1" customWidth="1"/>
    <col min="1613" max="1613" width="10.375" style="3038" customWidth="1"/>
    <col min="1614" max="1614" width="10.25" style="3038" customWidth="1"/>
    <col min="1615" max="1615" width="10.375" style="3038" customWidth="1"/>
    <col min="1616" max="1617" width="10.5" style="3038" customWidth="1"/>
    <col min="1618" max="1618" width="11.125" style="3038" customWidth="1"/>
    <col min="1619" max="1619" width="9.875" style="3038" customWidth="1"/>
    <col min="1620" max="1620" width="10.25" style="3038" customWidth="1"/>
    <col min="1621" max="1621" width="9.875" style="3038" customWidth="1"/>
    <col min="1622" max="1622" width="10" style="3038" customWidth="1"/>
    <col min="1623" max="1623" width="9.75" style="3038" customWidth="1"/>
    <col min="1624" max="1648" width="9.625" style="3038" customWidth="1"/>
    <col min="1649" max="1649" width="13.625" style="3038" bestFit="1" customWidth="1"/>
    <col min="1650" max="1650" width="12.375" style="3038" bestFit="1" customWidth="1"/>
    <col min="1651" max="1651" width="9.875" style="3038" bestFit="1" customWidth="1"/>
    <col min="1652" max="1652" width="10.375" style="3038" customWidth="1"/>
    <col min="1653" max="1653" width="9.25" style="3038" customWidth="1"/>
    <col min="1654" max="1654" width="12.625" style="3038" customWidth="1"/>
    <col min="1655" max="1655" width="9.875" style="3038" bestFit="1" customWidth="1"/>
    <col min="1656" max="1656" width="9.125" style="3038" bestFit="1" customWidth="1"/>
    <col min="1657" max="1658" width="9.875" style="3038" bestFit="1" customWidth="1"/>
    <col min="1659" max="1659" width="9.125" style="3038" bestFit="1" customWidth="1"/>
    <col min="1660" max="1661" width="9.875" style="3038" bestFit="1" customWidth="1"/>
    <col min="1662" max="1662" width="11.125" style="3038" bestFit="1" customWidth="1"/>
    <col min="1663" max="1664" width="9.875" style="3038" bestFit="1" customWidth="1"/>
    <col min="1665" max="1665" width="11.125" style="3038" bestFit="1" customWidth="1"/>
    <col min="1666" max="1667" width="9.875" style="3038" bestFit="1" customWidth="1"/>
    <col min="1668" max="1668" width="11.125" style="3038" bestFit="1" customWidth="1"/>
    <col min="1669" max="1669" width="9.125" style="3038" bestFit="1" customWidth="1"/>
    <col min="1670" max="1670" width="9.875" style="3038" bestFit="1" customWidth="1"/>
    <col min="1671" max="1671" width="11.125" style="3038" bestFit="1" customWidth="1"/>
    <col min="1672" max="1672" width="9.125" style="3038" bestFit="1" customWidth="1"/>
    <col min="1673" max="1673" width="9.875" style="3038" bestFit="1" customWidth="1"/>
    <col min="1674" max="1674" width="11.125" style="3038" bestFit="1" customWidth="1"/>
    <col min="1675" max="1675" width="9.125" style="3038" bestFit="1" customWidth="1"/>
    <col min="1676" max="1676" width="9.875" style="3038" bestFit="1" customWidth="1"/>
    <col min="1677" max="1677" width="11.125" style="3038" bestFit="1" customWidth="1"/>
    <col min="1678" max="1678" width="9.125" style="3038" bestFit="1" customWidth="1"/>
    <col min="1679" max="1679" width="9.875" style="3038" bestFit="1" customWidth="1"/>
    <col min="1680" max="1680" width="11.125" style="3038" bestFit="1" customWidth="1"/>
    <col min="1681" max="1681" width="9.125" style="3038" bestFit="1" customWidth="1"/>
    <col min="1682" max="1682" width="9.875" style="3038" bestFit="1" customWidth="1"/>
    <col min="1683" max="1683" width="11.125" style="3038" bestFit="1" customWidth="1"/>
    <col min="1684" max="1684" width="9.125" style="3038" bestFit="1" customWidth="1"/>
    <col min="1685" max="1685" width="9.875" style="3038" bestFit="1" customWidth="1"/>
    <col min="1686" max="1686" width="11.125" style="3038" bestFit="1" customWidth="1"/>
    <col min="1687" max="1687" width="9.125" style="3038" bestFit="1" customWidth="1"/>
    <col min="1688" max="1688" width="9.875" style="3038" bestFit="1" customWidth="1"/>
    <col min="1689" max="1689" width="11.125" style="3038" bestFit="1" customWidth="1"/>
    <col min="1690" max="1690" width="9.125" style="3038" bestFit="1" customWidth="1"/>
    <col min="1691" max="1691" width="9.875" style="3038" bestFit="1" customWidth="1"/>
    <col min="1692" max="1692" width="11.125" style="3038" bestFit="1" customWidth="1"/>
    <col min="1693" max="1693" width="7.875" style="3038" customWidth="1"/>
    <col min="1694" max="1695" width="9.875" style="3038" bestFit="1" customWidth="1"/>
    <col min="1696" max="1696" width="7.875" style="3038"/>
    <col min="1697" max="1698" width="9.875" style="3038" bestFit="1" customWidth="1"/>
    <col min="1699" max="1699" width="7.875" style="3038"/>
    <col min="1700" max="1701" width="9.875" style="3038" bestFit="1" customWidth="1"/>
    <col min="1702" max="1702" width="7.875" style="3038"/>
    <col min="1703" max="1704" width="9.875" style="3038" bestFit="1" customWidth="1"/>
    <col min="1705" max="1705" width="7.875" style="3038"/>
    <col min="1706" max="1706" width="9.875" style="3038" bestFit="1" customWidth="1"/>
    <col min="1707" max="1707" width="8.875" style="3038" bestFit="1" customWidth="1"/>
    <col min="1708" max="1708" width="7.875" style="3038"/>
    <col min="1709" max="1709" width="9.875" style="3038" bestFit="1" customWidth="1"/>
    <col min="1710" max="1710" width="8.875" style="3038" bestFit="1" customWidth="1"/>
    <col min="1711" max="1711" width="7.875" style="3038"/>
    <col min="1712" max="1712" width="9.875" style="3038" bestFit="1" customWidth="1"/>
    <col min="1713" max="1713" width="8.875" style="3038" bestFit="1" customWidth="1"/>
    <col min="1714" max="1714" width="7.875" style="3038"/>
    <col min="1715" max="1715" width="9.875" style="3038" bestFit="1" customWidth="1"/>
    <col min="1716" max="1716" width="8.875" style="3038" bestFit="1" customWidth="1"/>
    <col min="1717" max="1717" width="7.875" style="3038"/>
    <col min="1718" max="1718" width="9.875" style="3038" bestFit="1" customWidth="1"/>
    <col min="1719" max="1719" width="8.875" style="3038" bestFit="1" customWidth="1"/>
    <col min="1720" max="1720" width="7.875" style="3038"/>
    <col min="1721" max="1721" width="9.875" style="3038" bestFit="1" customWidth="1"/>
    <col min="1722" max="1722" width="11.125" style="3038" bestFit="1" customWidth="1"/>
    <col min="1723" max="1723" width="9.125" style="3038" bestFit="1" customWidth="1"/>
    <col min="1724" max="1724" width="9.875" style="3038" bestFit="1" customWidth="1"/>
    <col min="1725" max="1725" width="11.125" style="3038" bestFit="1" customWidth="1"/>
    <col min="1726" max="1726" width="7.875" style="3038"/>
    <col min="1727" max="1727" width="9.25" style="3038" customWidth="1"/>
    <col min="1728" max="1792" width="7.875" style="3038"/>
    <col min="1793" max="1793" width="3.875" style="3038" customWidth="1"/>
    <col min="1794" max="1794" width="10.375" style="3038" customWidth="1"/>
    <col min="1795" max="1795" width="11.375" style="3038" bestFit="1" customWidth="1"/>
    <col min="1796" max="1796" width="10.5" style="3038" customWidth="1"/>
    <col min="1797" max="1797" width="11.625" style="3038" customWidth="1"/>
    <col min="1798" max="1798" width="9.875" style="3038" customWidth="1"/>
    <col min="1799" max="1799" width="11.875" style="3038" customWidth="1"/>
    <col min="1800" max="1800" width="12.75" style="3038" customWidth="1"/>
    <col min="1801" max="1801" width="11" style="3038" customWidth="1"/>
    <col min="1802" max="1802" width="12.75" style="3038" customWidth="1"/>
    <col min="1803" max="1803" width="14" style="3038" customWidth="1"/>
    <col min="1804" max="1804" width="9.375" style="3038" customWidth="1"/>
    <col min="1805" max="1805" width="10.875" style="3038" customWidth="1"/>
    <col min="1806" max="1806" width="12.25" style="3038" customWidth="1"/>
    <col min="1807" max="1807" width="10.375" style="3038" customWidth="1"/>
    <col min="1808" max="1808" width="8.5" style="3038" customWidth="1"/>
    <col min="1809" max="1809" width="12" style="3038" customWidth="1"/>
    <col min="1810" max="1810" width="10.875" style="3038" bestFit="1" customWidth="1"/>
    <col min="1811" max="1811" width="10.5" style="3038" bestFit="1" customWidth="1"/>
    <col min="1812" max="1812" width="10.875" style="3038" bestFit="1" customWidth="1"/>
    <col min="1813" max="1814" width="11" style="3038" customWidth="1"/>
    <col min="1815" max="1815" width="9.375" style="3038" customWidth="1"/>
    <col min="1816" max="1816" width="7.125" style="3038" customWidth="1"/>
    <col min="1817" max="1818" width="11.75" style="3038" customWidth="1"/>
    <col min="1819" max="1819" width="13" style="3038" customWidth="1"/>
    <col min="1820" max="1820" width="10.75" style="3038" customWidth="1"/>
    <col min="1821" max="1822" width="7.375" style="3038" customWidth="1"/>
    <col min="1823" max="1823" width="10.25" style="3038" customWidth="1"/>
    <col min="1824" max="1833" width="8.625" style="3038" customWidth="1"/>
    <col min="1834" max="1835" width="14.125" style="3038" bestFit="1" customWidth="1"/>
    <col min="1836" max="1837" width="10.25" style="3038" customWidth="1"/>
    <col min="1838" max="1838" width="10.125" style="3038" customWidth="1"/>
    <col min="1839" max="1839" width="8.875" style="3038" customWidth="1"/>
    <col min="1840" max="1840" width="9.375" style="3038" customWidth="1"/>
    <col min="1841" max="1841" width="13.25" style="3038" customWidth="1"/>
    <col min="1842" max="1842" width="13" style="3038" customWidth="1"/>
    <col min="1843" max="1843" width="10.875" style="3038" customWidth="1"/>
    <col min="1844" max="1844" width="9.375" style="3038" customWidth="1"/>
    <col min="1845" max="1845" width="10.875" style="3038" customWidth="1"/>
    <col min="1846" max="1846" width="10.5" style="3038" customWidth="1"/>
    <col min="1847" max="1847" width="8.125" style="3038" customWidth="1"/>
    <col min="1848" max="1848" width="8.625" style="3038" customWidth="1"/>
    <col min="1849" max="1849" width="10.75" style="3038" customWidth="1"/>
    <col min="1850" max="1850" width="9.625" style="3038" customWidth="1"/>
    <col min="1851" max="1851" width="9.5" style="3038" customWidth="1"/>
    <col min="1852" max="1852" width="11" style="3038" customWidth="1"/>
    <col min="1853" max="1853" width="9.25" style="3038" customWidth="1"/>
    <col min="1854" max="1855" width="11" style="3038" customWidth="1"/>
    <col min="1856" max="1856" width="9.625" style="3038" customWidth="1"/>
    <col min="1857" max="1859" width="10.75" style="3038" bestFit="1" customWidth="1"/>
    <col min="1860" max="1860" width="10.25" style="3038" bestFit="1" customWidth="1"/>
    <col min="1861" max="1861" width="10.75" style="3038" bestFit="1" customWidth="1"/>
    <col min="1862" max="1862" width="10.25" style="3038" bestFit="1" customWidth="1"/>
    <col min="1863" max="1863" width="10.75" style="3038" bestFit="1" customWidth="1"/>
    <col min="1864" max="1864" width="10.25" style="3038" bestFit="1" customWidth="1"/>
    <col min="1865" max="1865" width="10.75" style="3038" bestFit="1" customWidth="1"/>
    <col min="1866" max="1866" width="10.25" style="3038" bestFit="1" customWidth="1"/>
    <col min="1867" max="1867" width="10.75" style="3038" bestFit="1" customWidth="1"/>
    <col min="1868" max="1868" width="10.25" style="3038" bestFit="1" customWidth="1"/>
    <col min="1869" max="1869" width="10.375" style="3038" customWidth="1"/>
    <col min="1870" max="1870" width="10.25" style="3038" customWidth="1"/>
    <col min="1871" max="1871" width="10.375" style="3038" customWidth="1"/>
    <col min="1872" max="1873" width="10.5" style="3038" customWidth="1"/>
    <col min="1874" max="1874" width="11.125" style="3038" customWidth="1"/>
    <col min="1875" max="1875" width="9.875" style="3038" customWidth="1"/>
    <col min="1876" max="1876" width="10.25" style="3038" customWidth="1"/>
    <col min="1877" max="1877" width="9.875" style="3038" customWidth="1"/>
    <col min="1878" max="1878" width="10" style="3038" customWidth="1"/>
    <col min="1879" max="1879" width="9.75" style="3038" customWidth="1"/>
    <col min="1880" max="1904" width="9.625" style="3038" customWidth="1"/>
    <col min="1905" max="1905" width="13.625" style="3038" bestFit="1" customWidth="1"/>
    <col min="1906" max="1906" width="12.375" style="3038" bestFit="1" customWidth="1"/>
    <col min="1907" max="1907" width="9.875" style="3038" bestFit="1" customWidth="1"/>
    <col min="1908" max="1908" width="10.375" style="3038" customWidth="1"/>
    <col min="1909" max="1909" width="9.25" style="3038" customWidth="1"/>
    <col min="1910" max="1910" width="12.625" style="3038" customWidth="1"/>
    <col min="1911" max="1911" width="9.875" style="3038" bestFit="1" customWidth="1"/>
    <col min="1912" max="1912" width="9.125" style="3038" bestFit="1" customWidth="1"/>
    <col min="1913" max="1914" width="9.875" style="3038" bestFit="1" customWidth="1"/>
    <col min="1915" max="1915" width="9.125" style="3038" bestFit="1" customWidth="1"/>
    <col min="1916" max="1917" width="9.875" style="3038" bestFit="1" customWidth="1"/>
    <col min="1918" max="1918" width="11.125" style="3038" bestFit="1" customWidth="1"/>
    <col min="1919" max="1920" width="9.875" style="3038" bestFit="1" customWidth="1"/>
    <col min="1921" max="1921" width="11.125" style="3038" bestFit="1" customWidth="1"/>
    <col min="1922" max="1923" width="9.875" style="3038" bestFit="1" customWidth="1"/>
    <col min="1924" max="1924" width="11.125" style="3038" bestFit="1" customWidth="1"/>
    <col min="1925" max="1925" width="9.125" style="3038" bestFit="1" customWidth="1"/>
    <col min="1926" max="1926" width="9.875" style="3038" bestFit="1" customWidth="1"/>
    <col min="1927" max="1927" width="11.125" style="3038" bestFit="1" customWidth="1"/>
    <col min="1928" max="1928" width="9.125" style="3038" bestFit="1" customWidth="1"/>
    <col min="1929" max="1929" width="9.875" style="3038" bestFit="1" customWidth="1"/>
    <col min="1930" max="1930" width="11.125" style="3038" bestFit="1" customWidth="1"/>
    <col min="1931" max="1931" width="9.125" style="3038" bestFit="1" customWidth="1"/>
    <col min="1932" max="1932" width="9.875" style="3038" bestFit="1" customWidth="1"/>
    <col min="1933" max="1933" width="11.125" style="3038" bestFit="1" customWidth="1"/>
    <col min="1934" max="1934" width="9.125" style="3038" bestFit="1" customWidth="1"/>
    <col min="1935" max="1935" width="9.875" style="3038" bestFit="1" customWidth="1"/>
    <col min="1936" max="1936" width="11.125" style="3038" bestFit="1" customWidth="1"/>
    <col min="1937" max="1937" width="9.125" style="3038" bestFit="1" customWidth="1"/>
    <col min="1938" max="1938" width="9.875" style="3038" bestFit="1" customWidth="1"/>
    <col min="1939" max="1939" width="11.125" style="3038" bestFit="1" customWidth="1"/>
    <col min="1940" max="1940" width="9.125" style="3038" bestFit="1" customWidth="1"/>
    <col min="1941" max="1941" width="9.875" style="3038" bestFit="1" customWidth="1"/>
    <col min="1942" max="1942" width="11.125" style="3038" bestFit="1" customWidth="1"/>
    <col min="1943" max="1943" width="9.125" style="3038" bestFit="1" customWidth="1"/>
    <col min="1944" max="1944" width="9.875" style="3038" bestFit="1" customWidth="1"/>
    <col min="1945" max="1945" width="11.125" style="3038" bestFit="1" customWidth="1"/>
    <col min="1946" max="1946" width="9.125" style="3038" bestFit="1" customWidth="1"/>
    <col min="1947" max="1947" width="9.875" style="3038" bestFit="1" customWidth="1"/>
    <col min="1948" max="1948" width="11.125" style="3038" bestFit="1" customWidth="1"/>
    <col min="1949" max="1949" width="7.875" style="3038" customWidth="1"/>
    <col min="1950" max="1951" width="9.875" style="3038" bestFit="1" customWidth="1"/>
    <col min="1952" max="1952" width="7.875" style="3038"/>
    <col min="1953" max="1954" width="9.875" style="3038" bestFit="1" customWidth="1"/>
    <col min="1955" max="1955" width="7.875" style="3038"/>
    <col min="1956" max="1957" width="9.875" style="3038" bestFit="1" customWidth="1"/>
    <col min="1958" max="1958" width="7.875" style="3038"/>
    <col min="1959" max="1960" width="9.875" style="3038" bestFit="1" customWidth="1"/>
    <col min="1961" max="1961" width="7.875" style="3038"/>
    <col min="1962" max="1962" width="9.875" style="3038" bestFit="1" customWidth="1"/>
    <col min="1963" max="1963" width="8.875" style="3038" bestFit="1" customWidth="1"/>
    <col min="1964" max="1964" width="7.875" style="3038"/>
    <col min="1965" max="1965" width="9.875" style="3038" bestFit="1" customWidth="1"/>
    <col min="1966" max="1966" width="8.875" style="3038" bestFit="1" customWidth="1"/>
    <col min="1967" max="1967" width="7.875" style="3038"/>
    <col min="1968" max="1968" width="9.875" style="3038" bestFit="1" customWidth="1"/>
    <col min="1969" max="1969" width="8.875" style="3038" bestFit="1" customWidth="1"/>
    <col min="1970" max="1970" width="7.875" style="3038"/>
    <col min="1971" max="1971" width="9.875" style="3038" bestFit="1" customWidth="1"/>
    <col min="1972" max="1972" width="8.875" style="3038" bestFit="1" customWidth="1"/>
    <col min="1973" max="1973" width="7.875" style="3038"/>
    <col min="1974" max="1974" width="9.875" style="3038" bestFit="1" customWidth="1"/>
    <col min="1975" max="1975" width="8.875" style="3038" bestFit="1" customWidth="1"/>
    <col min="1976" max="1976" width="7.875" style="3038"/>
    <col min="1977" max="1977" width="9.875" style="3038" bestFit="1" customWidth="1"/>
    <col min="1978" max="1978" width="11.125" style="3038" bestFit="1" customWidth="1"/>
    <col min="1979" max="1979" width="9.125" style="3038" bestFit="1" customWidth="1"/>
    <col min="1980" max="1980" width="9.875" style="3038" bestFit="1" customWidth="1"/>
    <col min="1981" max="1981" width="11.125" style="3038" bestFit="1" customWidth="1"/>
    <col min="1982" max="1982" width="7.875" style="3038"/>
    <col min="1983" max="1983" width="9.25" style="3038" customWidth="1"/>
    <col min="1984" max="2048" width="7.875" style="3038"/>
    <col min="2049" max="2049" width="3.875" style="3038" customWidth="1"/>
    <col min="2050" max="2050" width="10.375" style="3038" customWidth="1"/>
    <col min="2051" max="2051" width="11.375" style="3038" bestFit="1" customWidth="1"/>
    <col min="2052" max="2052" width="10.5" style="3038" customWidth="1"/>
    <col min="2053" max="2053" width="11.625" style="3038" customWidth="1"/>
    <col min="2054" max="2054" width="9.875" style="3038" customWidth="1"/>
    <col min="2055" max="2055" width="11.875" style="3038" customWidth="1"/>
    <col min="2056" max="2056" width="12.75" style="3038" customWidth="1"/>
    <col min="2057" max="2057" width="11" style="3038" customWidth="1"/>
    <col min="2058" max="2058" width="12.75" style="3038" customWidth="1"/>
    <col min="2059" max="2059" width="14" style="3038" customWidth="1"/>
    <col min="2060" max="2060" width="9.375" style="3038" customWidth="1"/>
    <col min="2061" max="2061" width="10.875" style="3038" customWidth="1"/>
    <col min="2062" max="2062" width="12.25" style="3038" customWidth="1"/>
    <col min="2063" max="2063" width="10.375" style="3038" customWidth="1"/>
    <col min="2064" max="2064" width="8.5" style="3038" customWidth="1"/>
    <col min="2065" max="2065" width="12" style="3038" customWidth="1"/>
    <col min="2066" max="2066" width="10.875" style="3038" bestFit="1" customWidth="1"/>
    <col min="2067" max="2067" width="10.5" style="3038" bestFit="1" customWidth="1"/>
    <col min="2068" max="2068" width="10.875" style="3038" bestFit="1" customWidth="1"/>
    <col min="2069" max="2070" width="11" style="3038" customWidth="1"/>
    <col min="2071" max="2071" width="9.375" style="3038" customWidth="1"/>
    <col min="2072" max="2072" width="7.125" style="3038" customWidth="1"/>
    <col min="2073" max="2074" width="11.75" style="3038" customWidth="1"/>
    <col min="2075" max="2075" width="13" style="3038" customWidth="1"/>
    <col min="2076" max="2076" width="10.75" style="3038" customWidth="1"/>
    <col min="2077" max="2078" width="7.375" style="3038" customWidth="1"/>
    <col min="2079" max="2079" width="10.25" style="3038" customWidth="1"/>
    <col min="2080" max="2089" width="8.625" style="3038" customWidth="1"/>
    <col min="2090" max="2091" width="14.125" style="3038" bestFit="1" customWidth="1"/>
    <col min="2092" max="2093" width="10.25" style="3038" customWidth="1"/>
    <col min="2094" max="2094" width="10.125" style="3038" customWidth="1"/>
    <col min="2095" max="2095" width="8.875" style="3038" customWidth="1"/>
    <col min="2096" max="2096" width="9.375" style="3038" customWidth="1"/>
    <col min="2097" max="2097" width="13.25" style="3038" customWidth="1"/>
    <col min="2098" max="2098" width="13" style="3038" customWidth="1"/>
    <col min="2099" max="2099" width="10.875" style="3038" customWidth="1"/>
    <col min="2100" max="2100" width="9.375" style="3038" customWidth="1"/>
    <col min="2101" max="2101" width="10.875" style="3038" customWidth="1"/>
    <col min="2102" max="2102" width="10.5" style="3038" customWidth="1"/>
    <col min="2103" max="2103" width="8.125" style="3038" customWidth="1"/>
    <col min="2104" max="2104" width="8.625" style="3038" customWidth="1"/>
    <col min="2105" max="2105" width="10.75" style="3038" customWidth="1"/>
    <col min="2106" max="2106" width="9.625" style="3038" customWidth="1"/>
    <col min="2107" max="2107" width="9.5" style="3038" customWidth="1"/>
    <col min="2108" max="2108" width="11" style="3038" customWidth="1"/>
    <col min="2109" max="2109" width="9.25" style="3038" customWidth="1"/>
    <col min="2110" max="2111" width="11" style="3038" customWidth="1"/>
    <col min="2112" max="2112" width="9.625" style="3038" customWidth="1"/>
    <col min="2113" max="2115" width="10.75" style="3038" bestFit="1" customWidth="1"/>
    <col min="2116" max="2116" width="10.25" style="3038" bestFit="1" customWidth="1"/>
    <col min="2117" max="2117" width="10.75" style="3038" bestFit="1" customWidth="1"/>
    <col min="2118" max="2118" width="10.25" style="3038" bestFit="1" customWidth="1"/>
    <col min="2119" max="2119" width="10.75" style="3038" bestFit="1" customWidth="1"/>
    <col min="2120" max="2120" width="10.25" style="3038" bestFit="1" customWidth="1"/>
    <col min="2121" max="2121" width="10.75" style="3038" bestFit="1" customWidth="1"/>
    <col min="2122" max="2122" width="10.25" style="3038" bestFit="1" customWidth="1"/>
    <col min="2123" max="2123" width="10.75" style="3038" bestFit="1" customWidth="1"/>
    <col min="2124" max="2124" width="10.25" style="3038" bestFit="1" customWidth="1"/>
    <col min="2125" max="2125" width="10.375" style="3038" customWidth="1"/>
    <col min="2126" max="2126" width="10.25" style="3038" customWidth="1"/>
    <col min="2127" max="2127" width="10.375" style="3038" customWidth="1"/>
    <col min="2128" max="2129" width="10.5" style="3038" customWidth="1"/>
    <col min="2130" max="2130" width="11.125" style="3038" customWidth="1"/>
    <col min="2131" max="2131" width="9.875" style="3038" customWidth="1"/>
    <col min="2132" max="2132" width="10.25" style="3038" customWidth="1"/>
    <col min="2133" max="2133" width="9.875" style="3038" customWidth="1"/>
    <col min="2134" max="2134" width="10" style="3038" customWidth="1"/>
    <col min="2135" max="2135" width="9.75" style="3038" customWidth="1"/>
    <col min="2136" max="2160" width="9.625" style="3038" customWidth="1"/>
    <col min="2161" max="2161" width="13.625" style="3038" bestFit="1" customWidth="1"/>
    <col min="2162" max="2162" width="12.375" style="3038" bestFit="1" customWidth="1"/>
    <col min="2163" max="2163" width="9.875" style="3038" bestFit="1" customWidth="1"/>
    <col min="2164" max="2164" width="10.375" style="3038" customWidth="1"/>
    <col min="2165" max="2165" width="9.25" style="3038" customWidth="1"/>
    <col min="2166" max="2166" width="12.625" style="3038" customWidth="1"/>
    <col min="2167" max="2167" width="9.875" style="3038" bestFit="1" customWidth="1"/>
    <col min="2168" max="2168" width="9.125" style="3038" bestFit="1" customWidth="1"/>
    <col min="2169" max="2170" width="9.875" style="3038" bestFit="1" customWidth="1"/>
    <col min="2171" max="2171" width="9.125" style="3038" bestFit="1" customWidth="1"/>
    <col min="2172" max="2173" width="9.875" style="3038" bestFit="1" customWidth="1"/>
    <col min="2174" max="2174" width="11.125" style="3038" bestFit="1" customWidth="1"/>
    <col min="2175" max="2176" width="9.875" style="3038" bestFit="1" customWidth="1"/>
    <col min="2177" max="2177" width="11.125" style="3038" bestFit="1" customWidth="1"/>
    <col min="2178" max="2179" width="9.875" style="3038" bestFit="1" customWidth="1"/>
    <col min="2180" max="2180" width="11.125" style="3038" bestFit="1" customWidth="1"/>
    <col min="2181" max="2181" width="9.125" style="3038" bestFit="1" customWidth="1"/>
    <col min="2182" max="2182" width="9.875" style="3038" bestFit="1" customWidth="1"/>
    <col min="2183" max="2183" width="11.125" style="3038" bestFit="1" customWidth="1"/>
    <col min="2184" max="2184" width="9.125" style="3038" bestFit="1" customWidth="1"/>
    <col min="2185" max="2185" width="9.875" style="3038" bestFit="1" customWidth="1"/>
    <col min="2186" max="2186" width="11.125" style="3038" bestFit="1" customWidth="1"/>
    <col min="2187" max="2187" width="9.125" style="3038" bestFit="1" customWidth="1"/>
    <col min="2188" max="2188" width="9.875" style="3038" bestFit="1" customWidth="1"/>
    <col min="2189" max="2189" width="11.125" style="3038" bestFit="1" customWidth="1"/>
    <col min="2190" max="2190" width="9.125" style="3038" bestFit="1" customWidth="1"/>
    <col min="2191" max="2191" width="9.875" style="3038" bestFit="1" customWidth="1"/>
    <col min="2192" max="2192" width="11.125" style="3038" bestFit="1" customWidth="1"/>
    <col min="2193" max="2193" width="9.125" style="3038" bestFit="1" customWidth="1"/>
    <col min="2194" max="2194" width="9.875" style="3038" bestFit="1" customWidth="1"/>
    <col min="2195" max="2195" width="11.125" style="3038" bestFit="1" customWidth="1"/>
    <col min="2196" max="2196" width="9.125" style="3038" bestFit="1" customWidth="1"/>
    <col min="2197" max="2197" width="9.875" style="3038" bestFit="1" customWidth="1"/>
    <col min="2198" max="2198" width="11.125" style="3038" bestFit="1" customWidth="1"/>
    <col min="2199" max="2199" width="9.125" style="3038" bestFit="1" customWidth="1"/>
    <col min="2200" max="2200" width="9.875" style="3038" bestFit="1" customWidth="1"/>
    <col min="2201" max="2201" width="11.125" style="3038" bestFit="1" customWidth="1"/>
    <col min="2202" max="2202" width="9.125" style="3038" bestFit="1" customWidth="1"/>
    <col min="2203" max="2203" width="9.875" style="3038" bestFit="1" customWidth="1"/>
    <col min="2204" max="2204" width="11.125" style="3038" bestFit="1" customWidth="1"/>
    <col min="2205" max="2205" width="7.875" style="3038" customWidth="1"/>
    <col min="2206" max="2207" width="9.875" style="3038" bestFit="1" customWidth="1"/>
    <col min="2208" max="2208" width="7.875" style="3038"/>
    <col min="2209" max="2210" width="9.875" style="3038" bestFit="1" customWidth="1"/>
    <col min="2211" max="2211" width="7.875" style="3038"/>
    <col min="2212" max="2213" width="9.875" style="3038" bestFit="1" customWidth="1"/>
    <col min="2214" max="2214" width="7.875" style="3038"/>
    <col min="2215" max="2216" width="9.875" style="3038" bestFit="1" customWidth="1"/>
    <col min="2217" max="2217" width="7.875" style="3038"/>
    <col min="2218" max="2218" width="9.875" style="3038" bestFit="1" customWidth="1"/>
    <col min="2219" max="2219" width="8.875" style="3038" bestFit="1" customWidth="1"/>
    <col min="2220" max="2220" width="7.875" style="3038"/>
    <col min="2221" max="2221" width="9.875" style="3038" bestFit="1" customWidth="1"/>
    <col min="2222" max="2222" width="8.875" style="3038" bestFit="1" customWidth="1"/>
    <col min="2223" max="2223" width="7.875" style="3038"/>
    <col min="2224" max="2224" width="9.875" style="3038" bestFit="1" customWidth="1"/>
    <col min="2225" max="2225" width="8.875" style="3038" bestFit="1" customWidth="1"/>
    <col min="2226" max="2226" width="7.875" style="3038"/>
    <col min="2227" max="2227" width="9.875" style="3038" bestFit="1" customWidth="1"/>
    <col min="2228" max="2228" width="8.875" style="3038" bestFit="1" customWidth="1"/>
    <col min="2229" max="2229" width="7.875" style="3038"/>
    <col min="2230" max="2230" width="9.875" style="3038" bestFit="1" customWidth="1"/>
    <col min="2231" max="2231" width="8.875" style="3038" bestFit="1" customWidth="1"/>
    <col min="2232" max="2232" width="7.875" style="3038"/>
    <col min="2233" max="2233" width="9.875" style="3038" bestFit="1" customWidth="1"/>
    <col min="2234" max="2234" width="11.125" style="3038" bestFit="1" customWidth="1"/>
    <col min="2235" max="2235" width="9.125" style="3038" bestFit="1" customWidth="1"/>
    <col min="2236" max="2236" width="9.875" style="3038" bestFit="1" customWidth="1"/>
    <col min="2237" max="2237" width="11.125" style="3038" bestFit="1" customWidth="1"/>
    <col min="2238" max="2238" width="7.875" style="3038"/>
    <col min="2239" max="2239" width="9.25" style="3038" customWidth="1"/>
    <col min="2240" max="2304" width="7.875" style="3038"/>
    <col min="2305" max="2305" width="3.875" style="3038" customWidth="1"/>
    <col min="2306" max="2306" width="10.375" style="3038" customWidth="1"/>
    <col min="2307" max="2307" width="11.375" style="3038" bestFit="1" customWidth="1"/>
    <col min="2308" max="2308" width="10.5" style="3038" customWidth="1"/>
    <col min="2309" max="2309" width="11.625" style="3038" customWidth="1"/>
    <col min="2310" max="2310" width="9.875" style="3038" customWidth="1"/>
    <col min="2311" max="2311" width="11.875" style="3038" customWidth="1"/>
    <col min="2312" max="2312" width="12.75" style="3038" customWidth="1"/>
    <col min="2313" max="2313" width="11" style="3038" customWidth="1"/>
    <col min="2314" max="2314" width="12.75" style="3038" customWidth="1"/>
    <col min="2315" max="2315" width="14" style="3038" customWidth="1"/>
    <col min="2316" max="2316" width="9.375" style="3038" customWidth="1"/>
    <col min="2317" max="2317" width="10.875" style="3038" customWidth="1"/>
    <col min="2318" max="2318" width="12.25" style="3038" customWidth="1"/>
    <col min="2319" max="2319" width="10.375" style="3038" customWidth="1"/>
    <col min="2320" max="2320" width="8.5" style="3038" customWidth="1"/>
    <col min="2321" max="2321" width="12" style="3038" customWidth="1"/>
    <col min="2322" max="2322" width="10.875" style="3038" bestFit="1" customWidth="1"/>
    <col min="2323" max="2323" width="10.5" style="3038" bestFit="1" customWidth="1"/>
    <col min="2324" max="2324" width="10.875" style="3038" bestFit="1" customWidth="1"/>
    <col min="2325" max="2326" width="11" style="3038" customWidth="1"/>
    <col min="2327" max="2327" width="9.375" style="3038" customWidth="1"/>
    <col min="2328" max="2328" width="7.125" style="3038" customWidth="1"/>
    <col min="2329" max="2330" width="11.75" style="3038" customWidth="1"/>
    <col min="2331" max="2331" width="13" style="3038" customWidth="1"/>
    <col min="2332" max="2332" width="10.75" style="3038" customWidth="1"/>
    <col min="2333" max="2334" width="7.375" style="3038" customWidth="1"/>
    <col min="2335" max="2335" width="10.25" style="3038" customWidth="1"/>
    <col min="2336" max="2345" width="8.625" style="3038" customWidth="1"/>
    <col min="2346" max="2347" width="14.125" style="3038" bestFit="1" customWidth="1"/>
    <col min="2348" max="2349" width="10.25" style="3038" customWidth="1"/>
    <col min="2350" max="2350" width="10.125" style="3038" customWidth="1"/>
    <col min="2351" max="2351" width="8.875" style="3038" customWidth="1"/>
    <col min="2352" max="2352" width="9.375" style="3038" customWidth="1"/>
    <col min="2353" max="2353" width="13.25" style="3038" customWidth="1"/>
    <col min="2354" max="2354" width="13" style="3038" customWidth="1"/>
    <col min="2355" max="2355" width="10.875" style="3038" customWidth="1"/>
    <col min="2356" max="2356" width="9.375" style="3038" customWidth="1"/>
    <col min="2357" max="2357" width="10.875" style="3038" customWidth="1"/>
    <col min="2358" max="2358" width="10.5" style="3038" customWidth="1"/>
    <col min="2359" max="2359" width="8.125" style="3038" customWidth="1"/>
    <col min="2360" max="2360" width="8.625" style="3038" customWidth="1"/>
    <col min="2361" max="2361" width="10.75" style="3038" customWidth="1"/>
    <col min="2362" max="2362" width="9.625" style="3038" customWidth="1"/>
    <col min="2363" max="2363" width="9.5" style="3038" customWidth="1"/>
    <col min="2364" max="2364" width="11" style="3038" customWidth="1"/>
    <col min="2365" max="2365" width="9.25" style="3038" customWidth="1"/>
    <col min="2366" max="2367" width="11" style="3038" customWidth="1"/>
    <col min="2368" max="2368" width="9.625" style="3038" customWidth="1"/>
    <col min="2369" max="2371" width="10.75" style="3038" bestFit="1" customWidth="1"/>
    <col min="2372" max="2372" width="10.25" style="3038" bestFit="1" customWidth="1"/>
    <col min="2373" max="2373" width="10.75" style="3038" bestFit="1" customWidth="1"/>
    <col min="2374" max="2374" width="10.25" style="3038" bestFit="1" customWidth="1"/>
    <col min="2375" max="2375" width="10.75" style="3038" bestFit="1" customWidth="1"/>
    <col min="2376" max="2376" width="10.25" style="3038" bestFit="1" customWidth="1"/>
    <col min="2377" max="2377" width="10.75" style="3038" bestFit="1" customWidth="1"/>
    <col min="2378" max="2378" width="10.25" style="3038" bestFit="1" customWidth="1"/>
    <col min="2379" max="2379" width="10.75" style="3038" bestFit="1" customWidth="1"/>
    <col min="2380" max="2380" width="10.25" style="3038" bestFit="1" customWidth="1"/>
    <col min="2381" max="2381" width="10.375" style="3038" customWidth="1"/>
    <col min="2382" max="2382" width="10.25" style="3038" customWidth="1"/>
    <col min="2383" max="2383" width="10.375" style="3038" customWidth="1"/>
    <col min="2384" max="2385" width="10.5" style="3038" customWidth="1"/>
    <col min="2386" max="2386" width="11.125" style="3038" customWidth="1"/>
    <col min="2387" max="2387" width="9.875" style="3038" customWidth="1"/>
    <col min="2388" max="2388" width="10.25" style="3038" customWidth="1"/>
    <col min="2389" max="2389" width="9.875" style="3038" customWidth="1"/>
    <col min="2390" max="2390" width="10" style="3038" customWidth="1"/>
    <col min="2391" max="2391" width="9.75" style="3038" customWidth="1"/>
    <col min="2392" max="2416" width="9.625" style="3038" customWidth="1"/>
    <col min="2417" max="2417" width="13.625" style="3038" bestFit="1" customWidth="1"/>
    <col min="2418" max="2418" width="12.375" style="3038" bestFit="1" customWidth="1"/>
    <col min="2419" max="2419" width="9.875" style="3038" bestFit="1" customWidth="1"/>
    <col min="2420" max="2420" width="10.375" style="3038" customWidth="1"/>
    <col min="2421" max="2421" width="9.25" style="3038" customWidth="1"/>
    <col min="2422" max="2422" width="12.625" style="3038" customWidth="1"/>
    <col min="2423" max="2423" width="9.875" style="3038" bestFit="1" customWidth="1"/>
    <col min="2424" max="2424" width="9.125" style="3038" bestFit="1" customWidth="1"/>
    <col min="2425" max="2426" width="9.875" style="3038" bestFit="1" customWidth="1"/>
    <col min="2427" max="2427" width="9.125" style="3038" bestFit="1" customWidth="1"/>
    <col min="2428" max="2429" width="9.875" style="3038" bestFit="1" customWidth="1"/>
    <col min="2430" max="2430" width="11.125" style="3038" bestFit="1" customWidth="1"/>
    <col min="2431" max="2432" width="9.875" style="3038" bestFit="1" customWidth="1"/>
    <col min="2433" max="2433" width="11.125" style="3038" bestFit="1" customWidth="1"/>
    <col min="2434" max="2435" width="9.875" style="3038" bestFit="1" customWidth="1"/>
    <col min="2436" max="2436" width="11.125" style="3038" bestFit="1" customWidth="1"/>
    <col min="2437" max="2437" width="9.125" style="3038" bestFit="1" customWidth="1"/>
    <col min="2438" max="2438" width="9.875" style="3038" bestFit="1" customWidth="1"/>
    <col min="2439" max="2439" width="11.125" style="3038" bestFit="1" customWidth="1"/>
    <col min="2440" max="2440" width="9.125" style="3038" bestFit="1" customWidth="1"/>
    <col min="2441" max="2441" width="9.875" style="3038" bestFit="1" customWidth="1"/>
    <col min="2442" max="2442" width="11.125" style="3038" bestFit="1" customWidth="1"/>
    <col min="2443" max="2443" width="9.125" style="3038" bestFit="1" customWidth="1"/>
    <col min="2444" max="2444" width="9.875" style="3038" bestFit="1" customWidth="1"/>
    <col min="2445" max="2445" width="11.125" style="3038" bestFit="1" customWidth="1"/>
    <col min="2446" max="2446" width="9.125" style="3038" bestFit="1" customWidth="1"/>
    <col min="2447" max="2447" width="9.875" style="3038" bestFit="1" customWidth="1"/>
    <col min="2448" max="2448" width="11.125" style="3038" bestFit="1" customWidth="1"/>
    <col min="2449" max="2449" width="9.125" style="3038" bestFit="1" customWidth="1"/>
    <col min="2450" max="2450" width="9.875" style="3038" bestFit="1" customWidth="1"/>
    <col min="2451" max="2451" width="11.125" style="3038" bestFit="1" customWidth="1"/>
    <col min="2452" max="2452" width="9.125" style="3038" bestFit="1" customWidth="1"/>
    <col min="2453" max="2453" width="9.875" style="3038" bestFit="1" customWidth="1"/>
    <col min="2454" max="2454" width="11.125" style="3038" bestFit="1" customWidth="1"/>
    <col min="2455" max="2455" width="9.125" style="3038" bestFit="1" customWidth="1"/>
    <col min="2456" max="2456" width="9.875" style="3038" bestFit="1" customWidth="1"/>
    <col min="2457" max="2457" width="11.125" style="3038" bestFit="1" customWidth="1"/>
    <col min="2458" max="2458" width="9.125" style="3038" bestFit="1" customWidth="1"/>
    <col min="2459" max="2459" width="9.875" style="3038" bestFit="1" customWidth="1"/>
    <col min="2460" max="2460" width="11.125" style="3038" bestFit="1" customWidth="1"/>
    <col min="2461" max="2461" width="7.875" style="3038" customWidth="1"/>
    <col min="2462" max="2463" width="9.875" style="3038" bestFit="1" customWidth="1"/>
    <col min="2464" max="2464" width="7.875" style="3038"/>
    <col min="2465" max="2466" width="9.875" style="3038" bestFit="1" customWidth="1"/>
    <col min="2467" max="2467" width="7.875" style="3038"/>
    <col min="2468" max="2469" width="9.875" style="3038" bestFit="1" customWidth="1"/>
    <col min="2470" max="2470" width="7.875" style="3038"/>
    <col min="2471" max="2472" width="9.875" style="3038" bestFit="1" customWidth="1"/>
    <col min="2473" max="2473" width="7.875" style="3038"/>
    <col min="2474" max="2474" width="9.875" style="3038" bestFit="1" customWidth="1"/>
    <col min="2475" max="2475" width="8.875" style="3038" bestFit="1" customWidth="1"/>
    <col min="2476" max="2476" width="7.875" style="3038"/>
    <col min="2477" max="2477" width="9.875" style="3038" bestFit="1" customWidth="1"/>
    <col min="2478" max="2478" width="8.875" style="3038" bestFit="1" customWidth="1"/>
    <col min="2479" max="2479" width="7.875" style="3038"/>
    <col min="2480" max="2480" width="9.875" style="3038" bestFit="1" customWidth="1"/>
    <col min="2481" max="2481" width="8.875" style="3038" bestFit="1" customWidth="1"/>
    <col min="2482" max="2482" width="7.875" style="3038"/>
    <col min="2483" max="2483" width="9.875" style="3038" bestFit="1" customWidth="1"/>
    <col min="2484" max="2484" width="8.875" style="3038" bestFit="1" customWidth="1"/>
    <col min="2485" max="2485" width="7.875" style="3038"/>
    <col min="2486" max="2486" width="9.875" style="3038" bestFit="1" customWidth="1"/>
    <col min="2487" max="2487" width="8.875" style="3038" bestFit="1" customWidth="1"/>
    <col min="2488" max="2488" width="7.875" style="3038"/>
    <col min="2489" max="2489" width="9.875" style="3038" bestFit="1" customWidth="1"/>
    <col min="2490" max="2490" width="11.125" style="3038" bestFit="1" customWidth="1"/>
    <col min="2491" max="2491" width="9.125" style="3038" bestFit="1" customWidth="1"/>
    <col min="2492" max="2492" width="9.875" style="3038" bestFit="1" customWidth="1"/>
    <col min="2493" max="2493" width="11.125" style="3038" bestFit="1" customWidth="1"/>
    <col min="2494" max="2494" width="7.875" style="3038"/>
    <col min="2495" max="2495" width="9.25" style="3038" customWidth="1"/>
    <col min="2496" max="2560" width="7.875" style="3038"/>
    <col min="2561" max="2561" width="3.875" style="3038" customWidth="1"/>
    <col min="2562" max="2562" width="10.375" style="3038" customWidth="1"/>
    <col min="2563" max="2563" width="11.375" style="3038" bestFit="1" customWidth="1"/>
    <col min="2564" max="2564" width="10.5" style="3038" customWidth="1"/>
    <col min="2565" max="2565" width="11.625" style="3038" customWidth="1"/>
    <col min="2566" max="2566" width="9.875" style="3038" customWidth="1"/>
    <col min="2567" max="2567" width="11.875" style="3038" customWidth="1"/>
    <col min="2568" max="2568" width="12.75" style="3038" customWidth="1"/>
    <col min="2569" max="2569" width="11" style="3038" customWidth="1"/>
    <col min="2570" max="2570" width="12.75" style="3038" customWidth="1"/>
    <col min="2571" max="2571" width="14" style="3038" customWidth="1"/>
    <col min="2572" max="2572" width="9.375" style="3038" customWidth="1"/>
    <col min="2573" max="2573" width="10.875" style="3038" customWidth="1"/>
    <col min="2574" max="2574" width="12.25" style="3038" customWidth="1"/>
    <col min="2575" max="2575" width="10.375" style="3038" customWidth="1"/>
    <col min="2576" max="2576" width="8.5" style="3038" customWidth="1"/>
    <col min="2577" max="2577" width="12" style="3038" customWidth="1"/>
    <col min="2578" max="2578" width="10.875" style="3038" bestFit="1" customWidth="1"/>
    <col min="2579" max="2579" width="10.5" style="3038" bestFit="1" customWidth="1"/>
    <col min="2580" max="2580" width="10.875" style="3038" bestFit="1" customWidth="1"/>
    <col min="2581" max="2582" width="11" style="3038" customWidth="1"/>
    <col min="2583" max="2583" width="9.375" style="3038" customWidth="1"/>
    <col min="2584" max="2584" width="7.125" style="3038" customWidth="1"/>
    <col min="2585" max="2586" width="11.75" style="3038" customWidth="1"/>
    <col min="2587" max="2587" width="13" style="3038" customWidth="1"/>
    <col min="2588" max="2588" width="10.75" style="3038" customWidth="1"/>
    <col min="2589" max="2590" width="7.375" style="3038" customWidth="1"/>
    <col min="2591" max="2591" width="10.25" style="3038" customWidth="1"/>
    <col min="2592" max="2601" width="8.625" style="3038" customWidth="1"/>
    <col min="2602" max="2603" width="14.125" style="3038" bestFit="1" customWidth="1"/>
    <col min="2604" max="2605" width="10.25" style="3038" customWidth="1"/>
    <col min="2606" max="2606" width="10.125" style="3038" customWidth="1"/>
    <col min="2607" max="2607" width="8.875" style="3038" customWidth="1"/>
    <col min="2608" max="2608" width="9.375" style="3038" customWidth="1"/>
    <col min="2609" max="2609" width="13.25" style="3038" customWidth="1"/>
    <col min="2610" max="2610" width="13" style="3038" customWidth="1"/>
    <col min="2611" max="2611" width="10.875" style="3038" customWidth="1"/>
    <col min="2612" max="2612" width="9.375" style="3038" customWidth="1"/>
    <col min="2613" max="2613" width="10.875" style="3038" customWidth="1"/>
    <col min="2614" max="2614" width="10.5" style="3038" customWidth="1"/>
    <col min="2615" max="2615" width="8.125" style="3038" customWidth="1"/>
    <col min="2616" max="2616" width="8.625" style="3038" customWidth="1"/>
    <col min="2617" max="2617" width="10.75" style="3038" customWidth="1"/>
    <col min="2618" max="2618" width="9.625" style="3038" customWidth="1"/>
    <col min="2619" max="2619" width="9.5" style="3038" customWidth="1"/>
    <col min="2620" max="2620" width="11" style="3038" customWidth="1"/>
    <col min="2621" max="2621" width="9.25" style="3038" customWidth="1"/>
    <col min="2622" max="2623" width="11" style="3038" customWidth="1"/>
    <col min="2624" max="2624" width="9.625" style="3038" customWidth="1"/>
    <col min="2625" max="2627" width="10.75" style="3038" bestFit="1" customWidth="1"/>
    <col min="2628" max="2628" width="10.25" style="3038" bestFit="1" customWidth="1"/>
    <col min="2629" max="2629" width="10.75" style="3038" bestFit="1" customWidth="1"/>
    <col min="2630" max="2630" width="10.25" style="3038" bestFit="1" customWidth="1"/>
    <col min="2631" max="2631" width="10.75" style="3038" bestFit="1" customWidth="1"/>
    <col min="2632" max="2632" width="10.25" style="3038" bestFit="1" customWidth="1"/>
    <col min="2633" max="2633" width="10.75" style="3038" bestFit="1" customWidth="1"/>
    <col min="2634" max="2634" width="10.25" style="3038" bestFit="1" customWidth="1"/>
    <col min="2635" max="2635" width="10.75" style="3038" bestFit="1" customWidth="1"/>
    <col min="2636" max="2636" width="10.25" style="3038" bestFit="1" customWidth="1"/>
    <col min="2637" max="2637" width="10.375" style="3038" customWidth="1"/>
    <col min="2638" max="2638" width="10.25" style="3038" customWidth="1"/>
    <col min="2639" max="2639" width="10.375" style="3038" customWidth="1"/>
    <col min="2640" max="2641" width="10.5" style="3038" customWidth="1"/>
    <col min="2642" max="2642" width="11.125" style="3038" customWidth="1"/>
    <col min="2643" max="2643" width="9.875" style="3038" customWidth="1"/>
    <col min="2644" max="2644" width="10.25" style="3038" customWidth="1"/>
    <col min="2645" max="2645" width="9.875" style="3038" customWidth="1"/>
    <col min="2646" max="2646" width="10" style="3038" customWidth="1"/>
    <col min="2647" max="2647" width="9.75" style="3038" customWidth="1"/>
    <col min="2648" max="2672" width="9.625" style="3038" customWidth="1"/>
    <col min="2673" max="2673" width="13.625" style="3038" bestFit="1" customWidth="1"/>
    <col min="2674" max="2674" width="12.375" style="3038" bestFit="1" customWidth="1"/>
    <col min="2675" max="2675" width="9.875" style="3038" bestFit="1" customWidth="1"/>
    <col min="2676" max="2676" width="10.375" style="3038" customWidth="1"/>
    <col min="2677" max="2677" width="9.25" style="3038" customWidth="1"/>
    <col min="2678" max="2678" width="12.625" style="3038" customWidth="1"/>
    <col min="2679" max="2679" width="9.875" style="3038" bestFit="1" customWidth="1"/>
    <col min="2680" max="2680" width="9.125" style="3038" bestFit="1" customWidth="1"/>
    <col min="2681" max="2682" width="9.875" style="3038" bestFit="1" customWidth="1"/>
    <col min="2683" max="2683" width="9.125" style="3038" bestFit="1" customWidth="1"/>
    <col min="2684" max="2685" width="9.875" style="3038" bestFit="1" customWidth="1"/>
    <col min="2686" max="2686" width="11.125" style="3038" bestFit="1" customWidth="1"/>
    <col min="2687" max="2688" width="9.875" style="3038" bestFit="1" customWidth="1"/>
    <col min="2689" max="2689" width="11.125" style="3038" bestFit="1" customWidth="1"/>
    <col min="2690" max="2691" width="9.875" style="3038" bestFit="1" customWidth="1"/>
    <col min="2692" max="2692" width="11.125" style="3038" bestFit="1" customWidth="1"/>
    <col min="2693" max="2693" width="9.125" style="3038" bestFit="1" customWidth="1"/>
    <col min="2694" max="2694" width="9.875" style="3038" bestFit="1" customWidth="1"/>
    <col min="2695" max="2695" width="11.125" style="3038" bestFit="1" customWidth="1"/>
    <col min="2696" max="2696" width="9.125" style="3038" bestFit="1" customWidth="1"/>
    <col min="2697" max="2697" width="9.875" style="3038" bestFit="1" customWidth="1"/>
    <col min="2698" max="2698" width="11.125" style="3038" bestFit="1" customWidth="1"/>
    <col min="2699" max="2699" width="9.125" style="3038" bestFit="1" customWidth="1"/>
    <col min="2700" max="2700" width="9.875" style="3038" bestFit="1" customWidth="1"/>
    <col min="2701" max="2701" width="11.125" style="3038" bestFit="1" customWidth="1"/>
    <col min="2702" max="2702" width="9.125" style="3038" bestFit="1" customWidth="1"/>
    <col min="2703" max="2703" width="9.875" style="3038" bestFit="1" customWidth="1"/>
    <col min="2704" max="2704" width="11.125" style="3038" bestFit="1" customWidth="1"/>
    <col min="2705" max="2705" width="9.125" style="3038" bestFit="1" customWidth="1"/>
    <col min="2706" max="2706" width="9.875" style="3038" bestFit="1" customWidth="1"/>
    <col min="2707" max="2707" width="11.125" style="3038" bestFit="1" customWidth="1"/>
    <col min="2708" max="2708" width="9.125" style="3038" bestFit="1" customWidth="1"/>
    <col min="2709" max="2709" width="9.875" style="3038" bestFit="1" customWidth="1"/>
    <col min="2710" max="2710" width="11.125" style="3038" bestFit="1" customWidth="1"/>
    <col min="2711" max="2711" width="9.125" style="3038" bestFit="1" customWidth="1"/>
    <col min="2712" max="2712" width="9.875" style="3038" bestFit="1" customWidth="1"/>
    <col min="2713" max="2713" width="11.125" style="3038" bestFit="1" customWidth="1"/>
    <col min="2714" max="2714" width="9.125" style="3038" bestFit="1" customWidth="1"/>
    <col min="2715" max="2715" width="9.875" style="3038" bestFit="1" customWidth="1"/>
    <col min="2716" max="2716" width="11.125" style="3038" bestFit="1" customWidth="1"/>
    <col min="2717" max="2717" width="7.875" style="3038" customWidth="1"/>
    <col min="2718" max="2719" width="9.875" style="3038" bestFit="1" customWidth="1"/>
    <col min="2720" max="2720" width="7.875" style="3038"/>
    <col min="2721" max="2722" width="9.875" style="3038" bestFit="1" customWidth="1"/>
    <col min="2723" max="2723" width="7.875" style="3038"/>
    <col min="2724" max="2725" width="9.875" style="3038" bestFit="1" customWidth="1"/>
    <col min="2726" max="2726" width="7.875" style="3038"/>
    <col min="2727" max="2728" width="9.875" style="3038" bestFit="1" customWidth="1"/>
    <col min="2729" max="2729" width="7.875" style="3038"/>
    <col min="2730" max="2730" width="9.875" style="3038" bestFit="1" customWidth="1"/>
    <col min="2731" max="2731" width="8.875" style="3038" bestFit="1" customWidth="1"/>
    <col min="2732" max="2732" width="7.875" style="3038"/>
    <col min="2733" max="2733" width="9.875" style="3038" bestFit="1" customWidth="1"/>
    <col min="2734" max="2734" width="8.875" style="3038" bestFit="1" customWidth="1"/>
    <col min="2735" max="2735" width="7.875" style="3038"/>
    <col min="2736" max="2736" width="9.875" style="3038" bestFit="1" customWidth="1"/>
    <col min="2737" max="2737" width="8.875" style="3038" bestFit="1" customWidth="1"/>
    <col min="2738" max="2738" width="7.875" style="3038"/>
    <col min="2739" max="2739" width="9.875" style="3038" bestFit="1" customWidth="1"/>
    <col min="2740" max="2740" width="8.875" style="3038" bestFit="1" customWidth="1"/>
    <col min="2741" max="2741" width="7.875" style="3038"/>
    <col min="2742" max="2742" width="9.875" style="3038" bestFit="1" customWidth="1"/>
    <col min="2743" max="2743" width="8.875" style="3038" bestFit="1" customWidth="1"/>
    <col min="2744" max="2744" width="7.875" style="3038"/>
    <col min="2745" max="2745" width="9.875" style="3038" bestFit="1" customWidth="1"/>
    <col min="2746" max="2746" width="11.125" style="3038" bestFit="1" customWidth="1"/>
    <col min="2747" max="2747" width="9.125" style="3038" bestFit="1" customWidth="1"/>
    <col min="2748" max="2748" width="9.875" style="3038" bestFit="1" customWidth="1"/>
    <col min="2749" max="2749" width="11.125" style="3038" bestFit="1" customWidth="1"/>
    <col min="2750" max="2750" width="7.875" style="3038"/>
    <col min="2751" max="2751" width="9.25" style="3038" customWidth="1"/>
    <col min="2752" max="2816" width="7.875" style="3038"/>
    <col min="2817" max="2817" width="3.875" style="3038" customWidth="1"/>
    <col min="2818" max="2818" width="10.375" style="3038" customWidth="1"/>
    <col min="2819" max="2819" width="11.375" style="3038" bestFit="1" customWidth="1"/>
    <col min="2820" max="2820" width="10.5" style="3038" customWidth="1"/>
    <col min="2821" max="2821" width="11.625" style="3038" customWidth="1"/>
    <col min="2822" max="2822" width="9.875" style="3038" customWidth="1"/>
    <col min="2823" max="2823" width="11.875" style="3038" customWidth="1"/>
    <col min="2824" max="2824" width="12.75" style="3038" customWidth="1"/>
    <col min="2825" max="2825" width="11" style="3038" customWidth="1"/>
    <col min="2826" max="2826" width="12.75" style="3038" customWidth="1"/>
    <col min="2827" max="2827" width="14" style="3038" customWidth="1"/>
    <col min="2828" max="2828" width="9.375" style="3038" customWidth="1"/>
    <col min="2829" max="2829" width="10.875" style="3038" customWidth="1"/>
    <col min="2830" max="2830" width="12.25" style="3038" customWidth="1"/>
    <col min="2831" max="2831" width="10.375" style="3038" customWidth="1"/>
    <col min="2832" max="2832" width="8.5" style="3038" customWidth="1"/>
    <col min="2833" max="2833" width="12" style="3038" customWidth="1"/>
    <col min="2834" max="2834" width="10.875" style="3038" bestFit="1" customWidth="1"/>
    <col min="2835" max="2835" width="10.5" style="3038" bestFit="1" customWidth="1"/>
    <col min="2836" max="2836" width="10.875" style="3038" bestFit="1" customWidth="1"/>
    <col min="2837" max="2838" width="11" style="3038" customWidth="1"/>
    <col min="2839" max="2839" width="9.375" style="3038" customWidth="1"/>
    <col min="2840" max="2840" width="7.125" style="3038" customWidth="1"/>
    <col min="2841" max="2842" width="11.75" style="3038" customWidth="1"/>
    <col min="2843" max="2843" width="13" style="3038" customWidth="1"/>
    <col min="2844" max="2844" width="10.75" style="3038" customWidth="1"/>
    <col min="2845" max="2846" width="7.375" style="3038" customWidth="1"/>
    <col min="2847" max="2847" width="10.25" style="3038" customWidth="1"/>
    <col min="2848" max="2857" width="8.625" style="3038" customWidth="1"/>
    <col min="2858" max="2859" width="14.125" style="3038" bestFit="1" customWidth="1"/>
    <col min="2860" max="2861" width="10.25" style="3038" customWidth="1"/>
    <col min="2862" max="2862" width="10.125" style="3038" customWidth="1"/>
    <col min="2863" max="2863" width="8.875" style="3038" customWidth="1"/>
    <col min="2864" max="2864" width="9.375" style="3038" customWidth="1"/>
    <col min="2865" max="2865" width="13.25" style="3038" customWidth="1"/>
    <col min="2866" max="2866" width="13" style="3038" customWidth="1"/>
    <col min="2867" max="2867" width="10.875" style="3038" customWidth="1"/>
    <col min="2868" max="2868" width="9.375" style="3038" customWidth="1"/>
    <col min="2869" max="2869" width="10.875" style="3038" customWidth="1"/>
    <col min="2870" max="2870" width="10.5" style="3038" customWidth="1"/>
    <col min="2871" max="2871" width="8.125" style="3038" customWidth="1"/>
    <col min="2872" max="2872" width="8.625" style="3038" customWidth="1"/>
    <col min="2873" max="2873" width="10.75" style="3038" customWidth="1"/>
    <col min="2874" max="2874" width="9.625" style="3038" customWidth="1"/>
    <col min="2875" max="2875" width="9.5" style="3038" customWidth="1"/>
    <col min="2876" max="2876" width="11" style="3038" customWidth="1"/>
    <col min="2877" max="2877" width="9.25" style="3038" customWidth="1"/>
    <col min="2878" max="2879" width="11" style="3038" customWidth="1"/>
    <col min="2880" max="2880" width="9.625" style="3038" customWidth="1"/>
    <col min="2881" max="2883" width="10.75" style="3038" bestFit="1" customWidth="1"/>
    <col min="2884" max="2884" width="10.25" style="3038" bestFit="1" customWidth="1"/>
    <col min="2885" max="2885" width="10.75" style="3038" bestFit="1" customWidth="1"/>
    <col min="2886" max="2886" width="10.25" style="3038" bestFit="1" customWidth="1"/>
    <col min="2887" max="2887" width="10.75" style="3038" bestFit="1" customWidth="1"/>
    <col min="2888" max="2888" width="10.25" style="3038" bestFit="1" customWidth="1"/>
    <col min="2889" max="2889" width="10.75" style="3038" bestFit="1" customWidth="1"/>
    <col min="2890" max="2890" width="10.25" style="3038" bestFit="1" customWidth="1"/>
    <col min="2891" max="2891" width="10.75" style="3038" bestFit="1" customWidth="1"/>
    <col min="2892" max="2892" width="10.25" style="3038" bestFit="1" customWidth="1"/>
    <col min="2893" max="2893" width="10.375" style="3038" customWidth="1"/>
    <col min="2894" max="2894" width="10.25" style="3038" customWidth="1"/>
    <col min="2895" max="2895" width="10.375" style="3038" customWidth="1"/>
    <col min="2896" max="2897" width="10.5" style="3038" customWidth="1"/>
    <col min="2898" max="2898" width="11.125" style="3038" customWidth="1"/>
    <col min="2899" max="2899" width="9.875" style="3038" customWidth="1"/>
    <col min="2900" max="2900" width="10.25" style="3038" customWidth="1"/>
    <col min="2901" max="2901" width="9.875" style="3038" customWidth="1"/>
    <col min="2902" max="2902" width="10" style="3038" customWidth="1"/>
    <col min="2903" max="2903" width="9.75" style="3038" customWidth="1"/>
    <col min="2904" max="2928" width="9.625" style="3038" customWidth="1"/>
    <col min="2929" max="2929" width="13.625" style="3038" bestFit="1" customWidth="1"/>
    <col min="2930" max="2930" width="12.375" style="3038" bestFit="1" customWidth="1"/>
    <col min="2931" max="2931" width="9.875" style="3038" bestFit="1" customWidth="1"/>
    <col min="2932" max="2932" width="10.375" style="3038" customWidth="1"/>
    <col min="2933" max="2933" width="9.25" style="3038" customWidth="1"/>
    <col min="2934" max="2934" width="12.625" style="3038" customWidth="1"/>
    <col min="2935" max="2935" width="9.875" style="3038" bestFit="1" customWidth="1"/>
    <col min="2936" max="2936" width="9.125" style="3038" bestFit="1" customWidth="1"/>
    <col min="2937" max="2938" width="9.875" style="3038" bestFit="1" customWidth="1"/>
    <col min="2939" max="2939" width="9.125" style="3038" bestFit="1" customWidth="1"/>
    <col min="2940" max="2941" width="9.875" style="3038" bestFit="1" customWidth="1"/>
    <col min="2942" max="2942" width="11.125" style="3038" bestFit="1" customWidth="1"/>
    <col min="2943" max="2944" width="9.875" style="3038" bestFit="1" customWidth="1"/>
    <col min="2945" max="2945" width="11.125" style="3038" bestFit="1" customWidth="1"/>
    <col min="2946" max="2947" width="9.875" style="3038" bestFit="1" customWidth="1"/>
    <col min="2948" max="2948" width="11.125" style="3038" bestFit="1" customWidth="1"/>
    <col min="2949" max="2949" width="9.125" style="3038" bestFit="1" customWidth="1"/>
    <col min="2950" max="2950" width="9.875" style="3038" bestFit="1" customWidth="1"/>
    <col min="2951" max="2951" width="11.125" style="3038" bestFit="1" customWidth="1"/>
    <col min="2952" max="2952" width="9.125" style="3038" bestFit="1" customWidth="1"/>
    <col min="2953" max="2953" width="9.875" style="3038" bestFit="1" customWidth="1"/>
    <col min="2954" max="2954" width="11.125" style="3038" bestFit="1" customWidth="1"/>
    <col min="2955" max="2955" width="9.125" style="3038" bestFit="1" customWidth="1"/>
    <col min="2956" max="2956" width="9.875" style="3038" bestFit="1" customWidth="1"/>
    <col min="2957" max="2957" width="11.125" style="3038" bestFit="1" customWidth="1"/>
    <col min="2958" max="2958" width="9.125" style="3038" bestFit="1" customWidth="1"/>
    <col min="2959" max="2959" width="9.875" style="3038" bestFit="1" customWidth="1"/>
    <col min="2960" max="2960" width="11.125" style="3038" bestFit="1" customWidth="1"/>
    <col min="2961" max="2961" width="9.125" style="3038" bestFit="1" customWidth="1"/>
    <col min="2962" max="2962" width="9.875" style="3038" bestFit="1" customWidth="1"/>
    <col min="2963" max="2963" width="11.125" style="3038" bestFit="1" customWidth="1"/>
    <col min="2964" max="2964" width="9.125" style="3038" bestFit="1" customWidth="1"/>
    <col min="2965" max="2965" width="9.875" style="3038" bestFit="1" customWidth="1"/>
    <col min="2966" max="2966" width="11.125" style="3038" bestFit="1" customWidth="1"/>
    <col min="2967" max="2967" width="9.125" style="3038" bestFit="1" customWidth="1"/>
    <col min="2968" max="2968" width="9.875" style="3038" bestFit="1" customWidth="1"/>
    <col min="2969" max="2969" width="11.125" style="3038" bestFit="1" customWidth="1"/>
    <col min="2970" max="2970" width="9.125" style="3038" bestFit="1" customWidth="1"/>
    <col min="2971" max="2971" width="9.875" style="3038" bestFit="1" customWidth="1"/>
    <col min="2972" max="2972" width="11.125" style="3038" bestFit="1" customWidth="1"/>
    <col min="2973" max="2973" width="7.875" style="3038" customWidth="1"/>
    <col min="2974" max="2975" width="9.875" style="3038" bestFit="1" customWidth="1"/>
    <col min="2976" max="2976" width="7.875" style="3038"/>
    <col min="2977" max="2978" width="9.875" style="3038" bestFit="1" customWidth="1"/>
    <col min="2979" max="2979" width="7.875" style="3038"/>
    <col min="2980" max="2981" width="9.875" style="3038" bestFit="1" customWidth="1"/>
    <col min="2982" max="2982" width="7.875" style="3038"/>
    <col min="2983" max="2984" width="9.875" style="3038" bestFit="1" customWidth="1"/>
    <col min="2985" max="2985" width="7.875" style="3038"/>
    <col min="2986" max="2986" width="9.875" style="3038" bestFit="1" customWidth="1"/>
    <col min="2987" max="2987" width="8.875" style="3038" bestFit="1" customWidth="1"/>
    <col min="2988" max="2988" width="7.875" style="3038"/>
    <col min="2989" max="2989" width="9.875" style="3038" bestFit="1" customWidth="1"/>
    <col min="2990" max="2990" width="8.875" style="3038" bestFit="1" customWidth="1"/>
    <col min="2991" max="2991" width="7.875" style="3038"/>
    <col min="2992" max="2992" width="9.875" style="3038" bestFit="1" customWidth="1"/>
    <col min="2993" max="2993" width="8.875" style="3038" bestFit="1" customWidth="1"/>
    <col min="2994" max="2994" width="7.875" style="3038"/>
    <col min="2995" max="2995" width="9.875" style="3038" bestFit="1" customWidth="1"/>
    <col min="2996" max="2996" width="8.875" style="3038" bestFit="1" customWidth="1"/>
    <col min="2997" max="2997" width="7.875" style="3038"/>
    <col min="2998" max="2998" width="9.875" style="3038" bestFit="1" customWidth="1"/>
    <col min="2999" max="2999" width="8.875" style="3038" bestFit="1" customWidth="1"/>
    <col min="3000" max="3000" width="7.875" style="3038"/>
    <col min="3001" max="3001" width="9.875" style="3038" bestFit="1" customWidth="1"/>
    <col min="3002" max="3002" width="11.125" style="3038" bestFit="1" customWidth="1"/>
    <col min="3003" max="3003" width="9.125" style="3038" bestFit="1" customWidth="1"/>
    <col min="3004" max="3004" width="9.875" style="3038" bestFit="1" customWidth="1"/>
    <col min="3005" max="3005" width="11.125" style="3038" bestFit="1" customWidth="1"/>
    <col min="3006" max="3006" width="7.875" style="3038"/>
    <col min="3007" max="3007" width="9.25" style="3038" customWidth="1"/>
    <col min="3008" max="3072" width="7.875" style="3038"/>
    <col min="3073" max="3073" width="3.875" style="3038" customWidth="1"/>
    <col min="3074" max="3074" width="10.375" style="3038" customWidth="1"/>
    <col min="3075" max="3075" width="11.375" style="3038" bestFit="1" customWidth="1"/>
    <col min="3076" max="3076" width="10.5" style="3038" customWidth="1"/>
    <col min="3077" max="3077" width="11.625" style="3038" customWidth="1"/>
    <col min="3078" max="3078" width="9.875" style="3038" customWidth="1"/>
    <col min="3079" max="3079" width="11.875" style="3038" customWidth="1"/>
    <col min="3080" max="3080" width="12.75" style="3038" customWidth="1"/>
    <col min="3081" max="3081" width="11" style="3038" customWidth="1"/>
    <col min="3082" max="3082" width="12.75" style="3038" customWidth="1"/>
    <col min="3083" max="3083" width="14" style="3038" customWidth="1"/>
    <col min="3084" max="3084" width="9.375" style="3038" customWidth="1"/>
    <col min="3085" max="3085" width="10.875" style="3038" customWidth="1"/>
    <col min="3086" max="3086" width="12.25" style="3038" customWidth="1"/>
    <col min="3087" max="3087" width="10.375" style="3038" customWidth="1"/>
    <col min="3088" max="3088" width="8.5" style="3038" customWidth="1"/>
    <col min="3089" max="3089" width="12" style="3038" customWidth="1"/>
    <col min="3090" max="3090" width="10.875" style="3038" bestFit="1" customWidth="1"/>
    <col min="3091" max="3091" width="10.5" style="3038" bestFit="1" customWidth="1"/>
    <col min="3092" max="3092" width="10.875" style="3038" bestFit="1" customWidth="1"/>
    <col min="3093" max="3094" width="11" style="3038" customWidth="1"/>
    <col min="3095" max="3095" width="9.375" style="3038" customWidth="1"/>
    <col min="3096" max="3096" width="7.125" style="3038" customWidth="1"/>
    <col min="3097" max="3098" width="11.75" style="3038" customWidth="1"/>
    <col min="3099" max="3099" width="13" style="3038" customWidth="1"/>
    <col min="3100" max="3100" width="10.75" style="3038" customWidth="1"/>
    <col min="3101" max="3102" width="7.375" style="3038" customWidth="1"/>
    <col min="3103" max="3103" width="10.25" style="3038" customWidth="1"/>
    <col min="3104" max="3113" width="8.625" style="3038" customWidth="1"/>
    <col min="3114" max="3115" width="14.125" style="3038" bestFit="1" customWidth="1"/>
    <col min="3116" max="3117" width="10.25" style="3038" customWidth="1"/>
    <col min="3118" max="3118" width="10.125" style="3038" customWidth="1"/>
    <col min="3119" max="3119" width="8.875" style="3038" customWidth="1"/>
    <col min="3120" max="3120" width="9.375" style="3038" customWidth="1"/>
    <col min="3121" max="3121" width="13.25" style="3038" customWidth="1"/>
    <col min="3122" max="3122" width="13" style="3038" customWidth="1"/>
    <col min="3123" max="3123" width="10.875" style="3038" customWidth="1"/>
    <col min="3124" max="3124" width="9.375" style="3038" customWidth="1"/>
    <col min="3125" max="3125" width="10.875" style="3038" customWidth="1"/>
    <col min="3126" max="3126" width="10.5" style="3038" customWidth="1"/>
    <col min="3127" max="3127" width="8.125" style="3038" customWidth="1"/>
    <col min="3128" max="3128" width="8.625" style="3038" customWidth="1"/>
    <col min="3129" max="3129" width="10.75" style="3038" customWidth="1"/>
    <col min="3130" max="3130" width="9.625" style="3038" customWidth="1"/>
    <col min="3131" max="3131" width="9.5" style="3038" customWidth="1"/>
    <col min="3132" max="3132" width="11" style="3038" customWidth="1"/>
    <col min="3133" max="3133" width="9.25" style="3038" customWidth="1"/>
    <col min="3134" max="3135" width="11" style="3038" customWidth="1"/>
    <col min="3136" max="3136" width="9.625" style="3038" customWidth="1"/>
    <col min="3137" max="3139" width="10.75" style="3038" bestFit="1" customWidth="1"/>
    <col min="3140" max="3140" width="10.25" style="3038" bestFit="1" customWidth="1"/>
    <col min="3141" max="3141" width="10.75" style="3038" bestFit="1" customWidth="1"/>
    <col min="3142" max="3142" width="10.25" style="3038" bestFit="1" customWidth="1"/>
    <col min="3143" max="3143" width="10.75" style="3038" bestFit="1" customWidth="1"/>
    <col min="3144" max="3144" width="10.25" style="3038" bestFit="1" customWidth="1"/>
    <col min="3145" max="3145" width="10.75" style="3038" bestFit="1" customWidth="1"/>
    <col min="3146" max="3146" width="10.25" style="3038" bestFit="1" customWidth="1"/>
    <col min="3147" max="3147" width="10.75" style="3038" bestFit="1" customWidth="1"/>
    <col min="3148" max="3148" width="10.25" style="3038" bestFit="1" customWidth="1"/>
    <col min="3149" max="3149" width="10.375" style="3038" customWidth="1"/>
    <col min="3150" max="3150" width="10.25" style="3038" customWidth="1"/>
    <col min="3151" max="3151" width="10.375" style="3038" customWidth="1"/>
    <col min="3152" max="3153" width="10.5" style="3038" customWidth="1"/>
    <col min="3154" max="3154" width="11.125" style="3038" customWidth="1"/>
    <col min="3155" max="3155" width="9.875" style="3038" customWidth="1"/>
    <col min="3156" max="3156" width="10.25" style="3038" customWidth="1"/>
    <col min="3157" max="3157" width="9.875" style="3038" customWidth="1"/>
    <col min="3158" max="3158" width="10" style="3038" customWidth="1"/>
    <col min="3159" max="3159" width="9.75" style="3038" customWidth="1"/>
    <col min="3160" max="3184" width="9.625" style="3038" customWidth="1"/>
    <col min="3185" max="3185" width="13.625" style="3038" bestFit="1" customWidth="1"/>
    <col min="3186" max="3186" width="12.375" style="3038" bestFit="1" customWidth="1"/>
    <col min="3187" max="3187" width="9.875" style="3038" bestFit="1" customWidth="1"/>
    <col min="3188" max="3188" width="10.375" style="3038" customWidth="1"/>
    <col min="3189" max="3189" width="9.25" style="3038" customWidth="1"/>
    <col min="3190" max="3190" width="12.625" style="3038" customWidth="1"/>
    <col min="3191" max="3191" width="9.875" style="3038" bestFit="1" customWidth="1"/>
    <col min="3192" max="3192" width="9.125" style="3038" bestFit="1" customWidth="1"/>
    <col min="3193" max="3194" width="9.875" style="3038" bestFit="1" customWidth="1"/>
    <col min="3195" max="3195" width="9.125" style="3038" bestFit="1" customWidth="1"/>
    <col min="3196" max="3197" width="9.875" style="3038" bestFit="1" customWidth="1"/>
    <col min="3198" max="3198" width="11.125" style="3038" bestFit="1" customWidth="1"/>
    <col min="3199" max="3200" width="9.875" style="3038" bestFit="1" customWidth="1"/>
    <col min="3201" max="3201" width="11.125" style="3038" bestFit="1" customWidth="1"/>
    <col min="3202" max="3203" width="9.875" style="3038" bestFit="1" customWidth="1"/>
    <col min="3204" max="3204" width="11.125" style="3038" bestFit="1" customWidth="1"/>
    <col min="3205" max="3205" width="9.125" style="3038" bestFit="1" customWidth="1"/>
    <col min="3206" max="3206" width="9.875" style="3038" bestFit="1" customWidth="1"/>
    <col min="3207" max="3207" width="11.125" style="3038" bestFit="1" customWidth="1"/>
    <col min="3208" max="3208" width="9.125" style="3038" bestFit="1" customWidth="1"/>
    <col min="3209" max="3209" width="9.875" style="3038" bestFit="1" customWidth="1"/>
    <col min="3210" max="3210" width="11.125" style="3038" bestFit="1" customWidth="1"/>
    <col min="3211" max="3211" width="9.125" style="3038" bestFit="1" customWidth="1"/>
    <col min="3212" max="3212" width="9.875" style="3038" bestFit="1" customWidth="1"/>
    <col min="3213" max="3213" width="11.125" style="3038" bestFit="1" customWidth="1"/>
    <col min="3214" max="3214" width="9.125" style="3038" bestFit="1" customWidth="1"/>
    <col min="3215" max="3215" width="9.875" style="3038" bestFit="1" customWidth="1"/>
    <col min="3216" max="3216" width="11.125" style="3038" bestFit="1" customWidth="1"/>
    <col min="3217" max="3217" width="9.125" style="3038" bestFit="1" customWidth="1"/>
    <col min="3218" max="3218" width="9.875" style="3038" bestFit="1" customWidth="1"/>
    <col min="3219" max="3219" width="11.125" style="3038" bestFit="1" customWidth="1"/>
    <col min="3220" max="3220" width="9.125" style="3038" bestFit="1" customWidth="1"/>
    <col min="3221" max="3221" width="9.875" style="3038" bestFit="1" customWidth="1"/>
    <col min="3222" max="3222" width="11.125" style="3038" bestFit="1" customWidth="1"/>
    <col min="3223" max="3223" width="9.125" style="3038" bestFit="1" customWidth="1"/>
    <col min="3224" max="3224" width="9.875" style="3038" bestFit="1" customWidth="1"/>
    <col min="3225" max="3225" width="11.125" style="3038" bestFit="1" customWidth="1"/>
    <col min="3226" max="3226" width="9.125" style="3038" bestFit="1" customWidth="1"/>
    <col min="3227" max="3227" width="9.875" style="3038" bestFit="1" customWidth="1"/>
    <col min="3228" max="3228" width="11.125" style="3038" bestFit="1" customWidth="1"/>
    <col min="3229" max="3229" width="7.875" style="3038" customWidth="1"/>
    <col min="3230" max="3231" width="9.875" style="3038" bestFit="1" customWidth="1"/>
    <col min="3232" max="3232" width="7.875" style="3038"/>
    <col min="3233" max="3234" width="9.875" style="3038" bestFit="1" customWidth="1"/>
    <col min="3235" max="3235" width="7.875" style="3038"/>
    <col min="3236" max="3237" width="9.875" style="3038" bestFit="1" customWidth="1"/>
    <col min="3238" max="3238" width="7.875" style="3038"/>
    <col min="3239" max="3240" width="9.875" style="3038" bestFit="1" customWidth="1"/>
    <col min="3241" max="3241" width="7.875" style="3038"/>
    <col min="3242" max="3242" width="9.875" style="3038" bestFit="1" customWidth="1"/>
    <col min="3243" max="3243" width="8.875" style="3038" bestFit="1" customWidth="1"/>
    <col min="3244" max="3244" width="7.875" style="3038"/>
    <col min="3245" max="3245" width="9.875" style="3038" bestFit="1" customWidth="1"/>
    <col min="3246" max="3246" width="8.875" style="3038" bestFit="1" customWidth="1"/>
    <col min="3247" max="3247" width="7.875" style="3038"/>
    <col min="3248" max="3248" width="9.875" style="3038" bestFit="1" customWidth="1"/>
    <col min="3249" max="3249" width="8.875" style="3038" bestFit="1" customWidth="1"/>
    <col min="3250" max="3250" width="7.875" style="3038"/>
    <col min="3251" max="3251" width="9.875" style="3038" bestFit="1" customWidth="1"/>
    <col min="3252" max="3252" width="8.875" style="3038" bestFit="1" customWidth="1"/>
    <col min="3253" max="3253" width="7.875" style="3038"/>
    <col min="3254" max="3254" width="9.875" style="3038" bestFit="1" customWidth="1"/>
    <col min="3255" max="3255" width="8.875" style="3038" bestFit="1" customWidth="1"/>
    <col min="3256" max="3256" width="7.875" style="3038"/>
    <col min="3257" max="3257" width="9.875" style="3038" bestFit="1" customWidth="1"/>
    <col min="3258" max="3258" width="11.125" style="3038" bestFit="1" customWidth="1"/>
    <col min="3259" max="3259" width="9.125" style="3038" bestFit="1" customWidth="1"/>
    <col min="3260" max="3260" width="9.875" style="3038" bestFit="1" customWidth="1"/>
    <col min="3261" max="3261" width="11.125" style="3038" bestFit="1" customWidth="1"/>
    <col min="3262" max="3262" width="7.875" style="3038"/>
    <col min="3263" max="3263" width="9.25" style="3038" customWidth="1"/>
    <col min="3264" max="3328" width="7.875" style="3038"/>
    <col min="3329" max="3329" width="3.875" style="3038" customWidth="1"/>
    <col min="3330" max="3330" width="10.375" style="3038" customWidth="1"/>
    <col min="3331" max="3331" width="11.375" style="3038" bestFit="1" customWidth="1"/>
    <col min="3332" max="3332" width="10.5" style="3038" customWidth="1"/>
    <col min="3333" max="3333" width="11.625" style="3038" customWidth="1"/>
    <col min="3334" max="3334" width="9.875" style="3038" customWidth="1"/>
    <col min="3335" max="3335" width="11.875" style="3038" customWidth="1"/>
    <col min="3336" max="3336" width="12.75" style="3038" customWidth="1"/>
    <col min="3337" max="3337" width="11" style="3038" customWidth="1"/>
    <col min="3338" max="3338" width="12.75" style="3038" customWidth="1"/>
    <col min="3339" max="3339" width="14" style="3038" customWidth="1"/>
    <col min="3340" max="3340" width="9.375" style="3038" customWidth="1"/>
    <col min="3341" max="3341" width="10.875" style="3038" customWidth="1"/>
    <col min="3342" max="3342" width="12.25" style="3038" customWidth="1"/>
    <col min="3343" max="3343" width="10.375" style="3038" customWidth="1"/>
    <col min="3344" max="3344" width="8.5" style="3038" customWidth="1"/>
    <col min="3345" max="3345" width="12" style="3038" customWidth="1"/>
    <col min="3346" max="3346" width="10.875" style="3038" bestFit="1" customWidth="1"/>
    <col min="3347" max="3347" width="10.5" style="3038" bestFit="1" customWidth="1"/>
    <col min="3348" max="3348" width="10.875" style="3038" bestFit="1" customWidth="1"/>
    <col min="3349" max="3350" width="11" style="3038" customWidth="1"/>
    <col min="3351" max="3351" width="9.375" style="3038" customWidth="1"/>
    <col min="3352" max="3352" width="7.125" style="3038" customWidth="1"/>
    <col min="3353" max="3354" width="11.75" style="3038" customWidth="1"/>
    <col min="3355" max="3355" width="13" style="3038" customWidth="1"/>
    <col min="3356" max="3356" width="10.75" style="3038" customWidth="1"/>
    <col min="3357" max="3358" width="7.375" style="3038" customWidth="1"/>
    <col min="3359" max="3359" width="10.25" style="3038" customWidth="1"/>
    <col min="3360" max="3369" width="8.625" style="3038" customWidth="1"/>
    <col min="3370" max="3371" width="14.125" style="3038" bestFit="1" customWidth="1"/>
    <col min="3372" max="3373" width="10.25" style="3038" customWidth="1"/>
    <col min="3374" max="3374" width="10.125" style="3038" customWidth="1"/>
    <col min="3375" max="3375" width="8.875" style="3038" customWidth="1"/>
    <col min="3376" max="3376" width="9.375" style="3038" customWidth="1"/>
    <col min="3377" max="3377" width="13.25" style="3038" customWidth="1"/>
    <col min="3378" max="3378" width="13" style="3038" customWidth="1"/>
    <col min="3379" max="3379" width="10.875" style="3038" customWidth="1"/>
    <col min="3380" max="3380" width="9.375" style="3038" customWidth="1"/>
    <col min="3381" max="3381" width="10.875" style="3038" customWidth="1"/>
    <col min="3382" max="3382" width="10.5" style="3038" customWidth="1"/>
    <col min="3383" max="3383" width="8.125" style="3038" customWidth="1"/>
    <col min="3384" max="3384" width="8.625" style="3038" customWidth="1"/>
    <col min="3385" max="3385" width="10.75" style="3038" customWidth="1"/>
    <col min="3386" max="3386" width="9.625" style="3038" customWidth="1"/>
    <col min="3387" max="3387" width="9.5" style="3038" customWidth="1"/>
    <col min="3388" max="3388" width="11" style="3038" customWidth="1"/>
    <col min="3389" max="3389" width="9.25" style="3038" customWidth="1"/>
    <col min="3390" max="3391" width="11" style="3038" customWidth="1"/>
    <col min="3392" max="3392" width="9.625" style="3038" customWidth="1"/>
    <col min="3393" max="3395" width="10.75" style="3038" bestFit="1" customWidth="1"/>
    <col min="3396" max="3396" width="10.25" style="3038" bestFit="1" customWidth="1"/>
    <col min="3397" max="3397" width="10.75" style="3038" bestFit="1" customWidth="1"/>
    <col min="3398" max="3398" width="10.25" style="3038" bestFit="1" customWidth="1"/>
    <col min="3399" max="3399" width="10.75" style="3038" bestFit="1" customWidth="1"/>
    <col min="3400" max="3400" width="10.25" style="3038" bestFit="1" customWidth="1"/>
    <col min="3401" max="3401" width="10.75" style="3038" bestFit="1" customWidth="1"/>
    <col min="3402" max="3402" width="10.25" style="3038" bestFit="1" customWidth="1"/>
    <col min="3403" max="3403" width="10.75" style="3038" bestFit="1" customWidth="1"/>
    <col min="3404" max="3404" width="10.25" style="3038" bestFit="1" customWidth="1"/>
    <col min="3405" max="3405" width="10.375" style="3038" customWidth="1"/>
    <col min="3406" max="3406" width="10.25" style="3038" customWidth="1"/>
    <col min="3407" max="3407" width="10.375" style="3038" customWidth="1"/>
    <col min="3408" max="3409" width="10.5" style="3038" customWidth="1"/>
    <col min="3410" max="3410" width="11.125" style="3038" customWidth="1"/>
    <col min="3411" max="3411" width="9.875" style="3038" customWidth="1"/>
    <col min="3412" max="3412" width="10.25" style="3038" customWidth="1"/>
    <col min="3413" max="3413" width="9.875" style="3038" customWidth="1"/>
    <col min="3414" max="3414" width="10" style="3038" customWidth="1"/>
    <col min="3415" max="3415" width="9.75" style="3038" customWidth="1"/>
    <col min="3416" max="3440" width="9.625" style="3038" customWidth="1"/>
    <col min="3441" max="3441" width="13.625" style="3038" bestFit="1" customWidth="1"/>
    <col min="3442" max="3442" width="12.375" style="3038" bestFit="1" customWidth="1"/>
    <col min="3443" max="3443" width="9.875" style="3038" bestFit="1" customWidth="1"/>
    <col min="3444" max="3444" width="10.375" style="3038" customWidth="1"/>
    <col min="3445" max="3445" width="9.25" style="3038" customWidth="1"/>
    <col min="3446" max="3446" width="12.625" style="3038" customWidth="1"/>
    <col min="3447" max="3447" width="9.875" style="3038" bestFit="1" customWidth="1"/>
    <col min="3448" max="3448" width="9.125" style="3038" bestFit="1" customWidth="1"/>
    <col min="3449" max="3450" width="9.875" style="3038" bestFit="1" customWidth="1"/>
    <col min="3451" max="3451" width="9.125" style="3038" bestFit="1" customWidth="1"/>
    <col min="3452" max="3453" width="9.875" style="3038" bestFit="1" customWidth="1"/>
    <col min="3454" max="3454" width="11.125" style="3038" bestFit="1" customWidth="1"/>
    <col min="3455" max="3456" width="9.875" style="3038" bestFit="1" customWidth="1"/>
    <col min="3457" max="3457" width="11.125" style="3038" bestFit="1" customWidth="1"/>
    <col min="3458" max="3459" width="9.875" style="3038" bestFit="1" customWidth="1"/>
    <col min="3460" max="3460" width="11.125" style="3038" bestFit="1" customWidth="1"/>
    <col min="3461" max="3461" width="9.125" style="3038" bestFit="1" customWidth="1"/>
    <col min="3462" max="3462" width="9.875" style="3038" bestFit="1" customWidth="1"/>
    <col min="3463" max="3463" width="11.125" style="3038" bestFit="1" customWidth="1"/>
    <col min="3464" max="3464" width="9.125" style="3038" bestFit="1" customWidth="1"/>
    <col min="3465" max="3465" width="9.875" style="3038" bestFit="1" customWidth="1"/>
    <col min="3466" max="3466" width="11.125" style="3038" bestFit="1" customWidth="1"/>
    <col min="3467" max="3467" width="9.125" style="3038" bestFit="1" customWidth="1"/>
    <col min="3468" max="3468" width="9.875" style="3038" bestFit="1" customWidth="1"/>
    <col min="3469" max="3469" width="11.125" style="3038" bestFit="1" customWidth="1"/>
    <col min="3470" max="3470" width="9.125" style="3038" bestFit="1" customWidth="1"/>
    <col min="3471" max="3471" width="9.875" style="3038" bestFit="1" customWidth="1"/>
    <col min="3472" max="3472" width="11.125" style="3038" bestFit="1" customWidth="1"/>
    <col min="3473" max="3473" width="9.125" style="3038" bestFit="1" customWidth="1"/>
    <col min="3474" max="3474" width="9.875" style="3038" bestFit="1" customWidth="1"/>
    <col min="3475" max="3475" width="11.125" style="3038" bestFit="1" customWidth="1"/>
    <col min="3476" max="3476" width="9.125" style="3038" bestFit="1" customWidth="1"/>
    <col min="3477" max="3477" width="9.875" style="3038" bestFit="1" customWidth="1"/>
    <col min="3478" max="3478" width="11.125" style="3038" bestFit="1" customWidth="1"/>
    <col min="3479" max="3479" width="9.125" style="3038" bestFit="1" customWidth="1"/>
    <col min="3480" max="3480" width="9.875" style="3038" bestFit="1" customWidth="1"/>
    <col min="3481" max="3481" width="11.125" style="3038" bestFit="1" customWidth="1"/>
    <col min="3482" max="3482" width="9.125" style="3038" bestFit="1" customWidth="1"/>
    <col min="3483" max="3483" width="9.875" style="3038" bestFit="1" customWidth="1"/>
    <col min="3484" max="3484" width="11.125" style="3038" bestFit="1" customWidth="1"/>
    <col min="3485" max="3485" width="7.875" style="3038" customWidth="1"/>
    <col min="3486" max="3487" width="9.875" style="3038" bestFit="1" customWidth="1"/>
    <col min="3488" max="3488" width="7.875" style="3038"/>
    <col min="3489" max="3490" width="9.875" style="3038" bestFit="1" customWidth="1"/>
    <col min="3491" max="3491" width="7.875" style="3038"/>
    <col min="3492" max="3493" width="9.875" style="3038" bestFit="1" customWidth="1"/>
    <col min="3494" max="3494" width="7.875" style="3038"/>
    <col min="3495" max="3496" width="9.875" style="3038" bestFit="1" customWidth="1"/>
    <col min="3497" max="3497" width="7.875" style="3038"/>
    <col min="3498" max="3498" width="9.875" style="3038" bestFit="1" customWidth="1"/>
    <col min="3499" max="3499" width="8.875" style="3038" bestFit="1" customWidth="1"/>
    <col min="3500" max="3500" width="7.875" style="3038"/>
    <col min="3501" max="3501" width="9.875" style="3038" bestFit="1" customWidth="1"/>
    <col min="3502" max="3502" width="8.875" style="3038" bestFit="1" customWidth="1"/>
    <col min="3503" max="3503" width="7.875" style="3038"/>
    <col min="3504" max="3504" width="9.875" style="3038" bestFit="1" customWidth="1"/>
    <col min="3505" max="3505" width="8.875" style="3038" bestFit="1" customWidth="1"/>
    <col min="3506" max="3506" width="7.875" style="3038"/>
    <col min="3507" max="3507" width="9.875" style="3038" bestFit="1" customWidth="1"/>
    <col min="3508" max="3508" width="8.875" style="3038" bestFit="1" customWidth="1"/>
    <col min="3509" max="3509" width="7.875" style="3038"/>
    <col min="3510" max="3510" width="9.875" style="3038" bestFit="1" customWidth="1"/>
    <col min="3511" max="3511" width="8.875" style="3038" bestFit="1" customWidth="1"/>
    <col min="3512" max="3512" width="7.875" style="3038"/>
    <col min="3513" max="3513" width="9.875" style="3038" bestFit="1" customWidth="1"/>
    <col min="3514" max="3514" width="11.125" style="3038" bestFit="1" customWidth="1"/>
    <col min="3515" max="3515" width="9.125" style="3038" bestFit="1" customWidth="1"/>
    <col min="3516" max="3516" width="9.875" style="3038" bestFit="1" customWidth="1"/>
    <col min="3517" max="3517" width="11.125" style="3038" bestFit="1" customWidth="1"/>
    <col min="3518" max="3518" width="7.875" style="3038"/>
    <col min="3519" max="3519" width="9.25" style="3038" customWidth="1"/>
    <col min="3520" max="3584" width="7.875" style="3038"/>
    <col min="3585" max="3585" width="3.875" style="3038" customWidth="1"/>
    <col min="3586" max="3586" width="10.375" style="3038" customWidth="1"/>
    <col min="3587" max="3587" width="11.375" style="3038" bestFit="1" customWidth="1"/>
    <col min="3588" max="3588" width="10.5" style="3038" customWidth="1"/>
    <col min="3589" max="3589" width="11.625" style="3038" customWidth="1"/>
    <col min="3590" max="3590" width="9.875" style="3038" customWidth="1"/>
    <col min="3591" max="3591" width="11.875" style="3038" customWidth="1"/>
    <col min="3592" max="3592" width="12.75" style="3038" customWidth="1"/>
    <col min="3593" max="3593" width="11" style="3038" customWidth="1"/>
    <col min="3594" max="3594" width="12.75" style="3038" customWidth="1"/>
    <col min="3595" max="3595" width="14" style="3038" customWidth="1"/>
    <col min="3596" max="3596" width="9.375" style="3038" customWidth="1"/>
    <col min="3597" max="3597" width="10.875" style="3038" customWidth="1"/>
    <col min="3598" max="3598" width="12.25" style="3038" customWidth="1"/>
    <col min="3599" max="3599" width="10.375" style="3038" customWidth="1"/>
    <col min="3600" max="3600" width="8.5" style="3038" customWidth="1"/>
    <col min="3601" max="3601" width="12" style="3038" customWidth="1"/>
    <col min="3602" max="3602" width="10.875" style="3038" bestFit="1" customWidth="1"/>
    <col min="3603" max="3603" width="10.5" style="3038" bestFit="1" customWidth="1"/>
    <col min="3604" max="3604" width="10.875" style="3038" bestFit="1" customWidth="1"/>
    <col min="3605" max="3606" width="11" style="3038" customWidth="1"/>
    <col min="3607" max="3607" width="9.375" style="3038" customWidth="1"/>
    <col min="3608" max="3608" width="7.125" style="3038" customWidth="1"/>
    <col min="3609" max="3610" width="11.75" style="3038" customWidth="1"/>
    <col min="3611" max="3611" width="13" style="3038" customWidth="1"/>
    <col min="3612" max="3612" width="10.75" style="3038" customWidth="1"/>
    <col min="3613" max="3614" width="7.375" style="3038" customWidth="1"/>
    <col min="3615" max="3615" width="10.25" style="3038" customWidth="1"/>
    <col min="3616" max="3625" width="8.625" style="3038" customWidth="1"/>
    <col min="3626" max="3627" width="14.125" style="3038" bestFit="1" customWidth="1"/>
    <col min="3628" max="3629" width="10.25" style="3038" customWidth="1"/>
    <col min="3630" max="3630" width="10.125" style="3038" customWidth="1"/>
    <col min="3631" max="3631" width="8.875" style="3038" customWidth="1"/>
    <col min="3632" max="3632" width="9.375" style="3038" customWidth="1"/>
    <col min="3633" max="3633" width="13.25" style="3038" customWidth="1"/>
    <col min="3634" max="3634" width="13" style="3038" customWidth="1"/>
    <col min="3635" max="3635" width="10.875" style="3038" customWidth="1"/>
    <col min="3636" max="3636" width="9.375" style="3038" customWidth="1"/>
    <col min="3637" max="3637" width="10.875" style="3038" customWidth="1"/>
    <col min="3638" max="3638" width="10.5" style="3038" customWidth="1"/>
    <col min="3639" max="3639" width="8.125" style="3038" customWidth="1"/>
    <col min="3640" max="3640" width="8.625" style="3038" customWidth="1"/>
    <col min="3641" max="3641" width="10.75" style="3038" customWidth="1"/>
    <col min="3642" max="3642" width="9.625" style="3038" customWidth="1"/>
    <col min="3643" max="3643" width="9.5" style="3038" customWidth="1"/>
    <col min="3644" max="3644" width="11" style="3038" customWidth="1"/>
    <col min="3645" max="3645" width="9.25" style="3038" customWidth="1"/>
    <col min="3646" max="3647" width="11" style="3038" customWidth="1"/>
    <col min="3648" max="3648" width="9.625" style="3038" customWidth="1"/>
    <col min="3649" max="3651" width="10.75" style="3038" bestFit="1" customWidth="1"/>
    <col min="3652" max="3652" width="10.25" style="3038" bestFit="1" customWidth="1"/>
    <col min="3653" max="3653" width="10.75" style="3038" bestFit="1" customWidth="1"/>
    <col min="3654" max="3654" width="10.25" style="3038" bestFit="1" customWidth="1"/>
    <col min="3655" max="3655" width="10.75" style="3038" bestFit="1" customWidth="1"/>
    <col min="3656" max="3656" width="10.25" style="3038" bestFit="1" customWidth="1"/>
    <col min="3657" max="3657" width="10.75" style="3038" bestFit="1" customWidth="1"/>
    <col min="3658" max="3658" width="10.25" style="3038" bestFit="1" customWidth="1"/>
    <col min="3659" max="3659" width="10.75" style="3038" bestFit="1" customWidth="1"/>
    <col min="3660" max="3660" width="10.25" style="3038" bestFit="1" customWidth="1"/>
    <col min="3661" max="3661" width="10.375" style="3038" customWidth="1"/>
    <col min="3662" max="3662" width="10.25" style="3038" customWidth="1"/>
    <col min="3663" max="3663" width="10.375" style="3038" customWidth="1"/>
    <col min="3664" max="3665" width="10.5" style="3038" customWidth="1"/>
    <col min="3666" max="3666" width="11.125" style="3038" customWidth="1"/>
    <col min="3667" max="3667" width="9.875" style="3038" customWidth="1"/>
    <col min="3668" max="3668" width="10.25" style="3038" customWidth="1"/>
    <col min="3669" max="3669" width="9.875" style="3038" customWidth="1"/>
    <col min="3670" max="3670" width="10" style="3038" customWidth="1"/>
    <col min="3671" max="3671" width="9.75" style="3038" customWidth="1"/>
    <col min="3672" max="3696" width="9.625" style="3038" customWidth="1"/>
    <col min="3697" max="3697" width="13.625" style="3038" bestFit="1" customWidth="1"/>
    <col min="3698" max="3698" width="12.375" style="3038" bestFit="1" customWidth="1"/>
    <col min="3699" max="3699" width="9.875" style="3038" bestFit="1" customWidth="1"/>
    <col min="3700" max="3700" width="10.375" style="3038" customWidth="1"/>
    <col min="3701" max="3701" width="9.25" style="3038" customWidth="1"/>
    <col min="3702" max="3702" width="12.625" style="3038" customWidth="1"/>
    <col min="3703" max="3703" width="9.875" style="3038" bestFit="1" customWidth="1"/>
    <col min="3704" max="3704" width="9.125" style="3038" bestFit="1" customWidth="1"/>
    <col min="3705" max="3706" width="9.875" style="3038" bestFit="1" customWidth="1"/>
    <col min="3707" max="3707" width="9.125" style="3038" bestFit="1" customWidth="1"/>
    <col min="3708" max="3709" width="9.875" style="3038" bestFit="1" customWidth="1"/>
    <col min="3710" max="3710" width="11.125" style="3038" bestFit="1" customWidth="1"/>
    <col min="3711" max="3712" width="9.875" style="3038" bestFit="1" customWidth="1"/>
    <col min="3713" max="3713" width="11.125" style="3038" bestFit="1" customWidth="1"/>
    <col min="3714" max="3715" width="9.875" style="3038" bestFit="1" customWidth="1"/>
    <col min="3716" max="3716" width="11.125" style="3038" bestFit="1" customWidth="1"/>
    <col min="3717" max="3717" width="9.125" style="3038" bestFit="1" customWidth="1"/>
    <col min="3718" max="3718" width="9.875" style="3038" bestFit="1" customWidth="1"/>
    <col min="3719" max="3719" width="11.125" style="3038" bestFit="1" customWidth="1"/>
    <col min="3720" max="3720" width="9.125" style="3038" bestFit="1" customWidth="1"/>
    <col min="3721" max="3721" width="9.875" style="3038" bestFit="1" customWidth="1"/>
    <col min="3722" max="3722" width="11.125" style="3038" bestFit="1" customWidth="1"/>
    <col min="3723" max="3723" width="9.125" style="3038" bestFit="1" customWidth="1"/>
    <col min="3724" max="3724" width="9.875" style="3038" bestFit="1" customWidth="1"/>
    <col min="3725" max="3725" width="11.125" style="3038" bestFit="1" customWidth="1"/>
    <col min="3726" max="3726" width="9.125" style="3038" bestFit="1" customWidth="1"/>
    <col min="3727" max="3727" width="9.875" style="3038" bestFit="1" customWidth="1"/>
    <col min="3728" max="3728" width="11.125" style="3038" bestFit="1" customWidth="1"/>
    <col min="3729" max="3729" width="9.125" style="3038" bestFit="1" customWidth="1"/>
    <col min="3730" max="3730" width="9.875" style="3038" bestFit="1" customWidth="1"/>
    <col min="3731" max="3731" width="11.125" style="3038" bestFit="1" customWidth="1"/>
    <col min="3732" max="3732" width="9.125" style="3038" bestFit="1" customWidth="1"/>
    <col min="3733" max="3733" width="9.875" style="3038" bestFit="1" customWidth="1"/>
    <col min="3734" max="3734" width="11.125" style="3038" bestFit="1" customWidth="1"/>
    <col min="3735" max="3735" width="9.125" style="3038" bestFit="1" customWidth="1"/>
    <col min="3736" max="3736" width="9.875" style="3038" bestFit="1" customWidth="1"/>
    <col min="3737" max="3737" width="11.125" style="3038" bestFit="1" customWidth="1"/>
    <col min="3738" max="3738" width="9.125" style="3038" bestFit="1" customWidth="1"/>
    <col min="3739" max="3739" width="9.875" style="3038" bestFit="1" customWidth="1"/>
    <col min="3740" max="3740" width="11.125" style="3038" bestFit="1" customWidth="1"/>
    <col min="3741" max="3741" width="7.875" style="3038" customWidth="1"/>
    <col min="3742" max="3743" width="9.875" style="3038" bestFit="1" customWidth="1"/>
    <col min="3744" max="3744" width="7.875" style="3038"/>
    <col min="3745" max="3746" width="9.875" style="3038" bestFit="1" customWidth="1"/>
    <col min="3747" max="3747" width="7.875" style="3038"/>
    <col min="3748" max="3749" width="9.875" style="3038" bestFit="1" customWidth="1"/>
    <col min="3750" max="3750" width="7.875" style="3038"/>
    <col min="3751" max="3752" width="9.875" style="3038" bestFit="1" customWidth="1"/>
    <col min="3753" max="3753" width="7.875" style="3038"/>
    <col min="3754" max="3754" width="9.875" style="3038" bestFit="1" customWidth="1"/>
    <col min="3755" max="3755" width="8.875" style="3038" bestFit="1" customWidth="1"/>
    <col min="3756" max="3756" width="7.875" style="3038"/>
    <col min="3757" max="3757" width="9.875" style="3038" bestFit="1" customWidth="1"/>
    <col min="3758" max="3758" width="8.875" style="3038" bestFit="1" customWidth="1"/>
    <col min="3759" max="3759" width="7.875" style="3038"/>
    <col min="3760" max="3760" width="9.875" style="3038" bestFit="1" customWidth="1"/>
    <col min="3761" max="3761" width="8.875" style="3038" bestFit="1" customWidth="1"/>
    <col min="3762" max="3762" width="7.875" style="3038"/>
    <col min="3763" max="3763" width="9.875" style="3038" bestFit="1" customWidth="1"/>
    <col min="3764" max="3764" width="8.875" style="3038" bestFit="1" customWidth="1"/>
    <col min="3765" max="3765" width="7.875" style="3038"/>
    <col min="3766" max="3766" width="9.875" style="3038" bestFit="1" customWidth="1"/>
    <col min="3767" max="3767" width="8.875" style="3038" bestFit="1" customWidth="1"/>
    <col min="3768" max="3768" width="7.875" style="3038"/>
    <col min="3769" max="3769" width="9.875" style="3038" bestFit="1" customWidth="1"/>
    <col min="3770" max="3770" width="11.125" style="3038" bestFit="1" customWidth="1"/>
    <col min="3771" max="3771" width="9.125" style="3038" bestFit="1" customWidth="1"/>
    <col min="3772" max="3772" width="9.875" style="3038" bestFit="1" customWidth="1"/>
    <col min="3773" max="3773" width="11.125" style="3038" bestFit="1" customWidth="1"/>
    <col min="3774" max="3774" width="7.875" style="3038"/>
    <col min="3775" max="3775" width="9.25" style="3038" customWidth="1"/>
    <col min="3776" max="3840" width="7.875" style="3038"/>
    <col min="3841" max="3841" width="3.875" style="3038" customWidth="1"/>
    <col min="3842" max="3842" width="10.375" style="3038" customWidth="1"/>
    <col min="3843" max="3843" width="11.375" style="3038" bestFit="1" customWidth="1"/>
    <col min="3844" max="3844" width="10.5" style="3038" customWidth="1"/>
    <col min="3845" max="3845" width="11.625" style="3038" customWidth="1"/>
    <col min="3846" max="3846" width="9.875" style="3038" customWidth="1"/>
    <col min="3847" max="3847" width="11.875" style="3038" customWidth="1"/>
    <col min="3848" max="3848" width="12.75" style="3038" customWidth="1"/>
    <col min="3849" max="3849" width="11" style="3038" customWidth="1"/>
    <col min="3850" max="3850" width="12.75" style="3038" customWidth="1"/>
    <col min="3851" max="3851" width="14" style="3038" customWidth="1"/>
    <col min="3852" max="3852" width="9.375" style="3038" customWidth="1"/>
    <col min="3853" max="3853" width="10.875" style="3038" customWidth="1"/>
    <col min="3854" max="3854" width="12.25" style="3038" customWidth="1"/>
    <col min="3855" max="3855" width="10.375" style="3038" customWidth="1"/>
    <col min="3856" max="3856" width="8.5" style="3038" customWidth="1"/>
    <col min="3857" max="3857" width="12" style="3038" customWidth="1"/>
    <col min="3858" max="3858" width="10.875" style="3038" bestFit="1" customWidth="1"/>
    <col min="3859" max="3859" width="10.5" style="3038" bestFit="1" customWidth="1"/>
    <col min="3860" max="3860" width="10.875" style="3038" bestFit="1" customWidth="1"/>
    <col min="3861" max="3862" width="11" style="3038" customWidth="1"/>
    <col min="3863" max="3863" width="9.375" style="3038" customWidth="1"/>
    <col min="3864" max="3864" width="7.125" style="3038" customWidth="1"/>
    <col min="3865" max="3866" width="11.75" style="3038" customWidth="1"/>
    <col min="3867" max="3867" width="13" style="3038" customWidth="1"/>
    <col min="3868" max="3868" width="10.75" style="3038" customWidth="1"/>
    <col min="3869" max="3870" width="7.375" style="3038" customWidth="1"/>
    <col min="3871" max="3871" width="10.25" style="3038" customWidth="1"/>
    <col min="3872" max="3881" width="8.625" style="3038" customWidth="1"/>
    <col min="3882" max="3883" width="14.125" style="3038" bestFit="1" customWidth="1"/>
    <col min="3884" max="3885" width="10.25" style="3038" customWidth="1"/>
    <col min="3886" max="3886" width="10.125" style="3038" customWidth="1"/>
    <col min="3887" max="3887" width="8.875" style="3038" customWidth="1"/>
    <col min="3888" max="3888" width="9.375" style="3038" customWidth="1"/>
    <col min="3889" max="3889" width="13.25" style="3038" customWidth="1"/>
    <col min="3890" max="3890" width="13" style="3038" customWidth="1"/>
    <col min="3891" max="3891" width="10.875" style="3038" customWidth="1"/>
    <col min="3892" max="3892" width="9.375" style="3038" customWidth="1"/>
    <col min="3893" max="3893" width="10.875" style="3038" customWidth="1"/>
    <col min="3894" max="3894" width="10.5" style="3038" customWidth="1"/>
    <col min="3895" max="3895" width="8.125" style="3038" customWidth="1"/>
    <col min="3896" max="3896" width="8.625" style="3038" customWidth="1"/>
    <col min="3897" max="3897" width="10.75" style="3038" customWidth="1"/>
    <col min="3898" max="3898" width="9.625" style="3038" customWidth="1"/>
    <col min="3899" max="3899" width="9.5" style="3038" customWidth="1"/>
    <col min="3900" max="3900" width="11" style="3038" customWidth="1"/>
    <col min="3901" max="3901" width="9.25" style="3038" customWidth="1"/>
    <col min="3902" max="3903" width="11" style="3038" customWidth="1"/>
    <col min="3904" max="3904" width="9.625" style="3038" customWidth="1"/>
    <col min="3905" max="3907" width="10.75" style="3038" bestFit="1" customWidth="1"/>
    <col min="3908" max="3908" width="10.25" style="3038" bestFit="1" customWidth="1"/>
    <col min="3909" max="3909" width="10.75" style="3038" bestFit="1" customWidth="1"/>
    <col min="3910" max="3910" width="10.25" style="3038" bestFit="1" customWidth="1"/>
    <col min="3911" max="3911" width="10.75" style="3038" bestFit="1" customWidth="1"/>
    <col min="3912" max="3912" width="10.25" style="3038" bestFit="1" customWidth="1"/>
    <col min="3913" max="3913" width="10.75" style="3038" bestFit="1" customWidth="1"/>
    <col min="3914" max="3914" width="10.25" style="3038" bestFit="1" customWidth="1"/>
    <col min="3915" max="3915" width="10.75" style="3038" bestFit="1" customWidth="1"/>
    <col min="3916" max="3916" width="10.25" style="3038" bestFit="1" customWidth="1"/>
    <col min="3917" max="3917" width="10.375" style="3038" customWidth="1"/>
    <col min="3918" max="3918" width="10.25" style="3038" customWidth="1"/>
    <col min="3919" max="3919" width="10.375" style="3038" customWidth="1"/>
    <col min="3920" max="3921" width="10.5" style="3038" customWidth="1"/>
    <col min="3922" max="3922" width="11.125" style="3038" customWidth="1"/>
    <col min="3923" max="3923" width="9.875" style="3038" customWidth="1"/>
    <col min="3924" max="3924" width="10.25" style="3038" customWidth="1"/>
    <col min="3925" max="3925" width="9.875" style="3038" customWidth="1"/>
    <col min="3926" max="3926" width="10" style="3038" customWidth="1"/>
    <col min="3927" max="3927" width="9.75" style="3038" customWidth="1"/>
    <col min="3928" max="3952" width="9.625" style="3038" customWidth="1"/>
    <col min="3953" max="3953" width="13.625" style="3038" bestFit="1" customWidth="1"/>
    <col min="3954" max="3954" width="12.375" style="3038" bestFit="1" customWidth="1"/>
    <col min="3955" max="3955" width="9.875" style="3038" bestFit="1" customWidth="1"/>
    <col min="3956" max="3956" width="10.375" style="3038" customWidth="1"/>
    <col min="3957" max="3957" width="9.25" style="3038" customWidth="1"/>
    <col min="3958" max="3958" width="12.625" style="3038" customWidth="1"/>
    <col min="3959" max="3959" width="9.875" style="3038" bestFit="1" customWidth="1"/>
    <col min="3960" max="3960" width="9.125" style="3038" bestFit="1" customWidth="1"/>
    <col min="3961" max="3962" width="9.875" style="3038" bestFit="1" customWidth="1"/>
    <col min="3963" max="3963" width="9.125" style="3038" bestFit="1" customWidth="1"/>
    <col min="3964" max="3965" width="9.875" style="3038" bestFit="1" customWidth="1"/>
    <col min="3966" max="3966" width="11.125" style="3038" bestFit="1" customWidth="1"/>
    <col min="3967" max="3968" width="9.875" style="3038" bestFit="1" customWidth="1"/>
    <col min="3969" max="3969" width="11.125" style="3038" bestFit="1" customWidth="1"/>
    <col min="3970" max="3971" width="9.875" style="3038" bestFit="1" customWidth="1"/>
    <col min="3972" max="3972" width="11.125" style="3038" bestFit="1" customWidth="1"/>
    <col min="3973" max="3973" width="9.125" style="3038" bestFit="1" customWidth="1"/>
    <col min="3974" max="3974" width="9.875" style="3038" bestFit="1" customWidth="1"/>
    <col min="3975" max="3975" width="11.125" style="3038" bestFit="1" customWidth="1"/>
    <col min="3976" max="3976" width="9.125" style="3038" bestFit="1" customWidth="1"/>
    <col min="3977" max="3977" width="9.875" style="3038" bestFit="1" customWidth="1"/>
    <col min="3978" max="3978" width="11.125" style="3038" bestFit="1" customWidth="1"/>
    <col min="3979" max="3979" width="9.125" style="3038" bestFit="1" customWidth="1"/>
    <col min="3980" max="3980" width="9.875" style="3038" bestFit="1" customWidth="1"/>
    <col min="3981" max="3981" width="11.125" style="3038" bestFit="1" customWidth="1"/>
    <col min="3982" max="3982" width="9.125" style="3038" bestFit="1" customWidth="1"/>
    <col min="3983" max="3983" width="9.875" style="3038" bestFit="1" customWidth="1"/>
    <col min="3984" max="3984" width="11.125" style="3038" bestFit="1" customWidth="1"/>
    <col min="3985" max="3985" width="9.125" style="3038" bestFit="1" customWidth="1"/>
    <col min="3986" max="3986" width="9.875" style="3038" bestFit="1" customWidth="1"/>
    <col min="3987" max="3987" width="11.125" style="3038" bestFit="1" customWidth="1"/>
    <col min="3988" max="3988" width="9.125" style="3038" bestFit="1" customWidth="1"/>
    <col min="3989" max="3989" width="9.875" style="3038" bestFit="1" customWidth="1"/>
    <col min="3990" max="3990" width="11.125" style="3038" bestFit="1" customWidth="1"/>
    <col min="3991" max="3991" width="9.125" style="3038" bestFit="1" customWidth="1"/>
    <col min="3992" max="3992" width="9.875" style="3038" bestFit="1" customWidth="1"/>
    <col min="3993" max="3993" width="11.125" style="3038" bestFit="1" customWidth="1"/>
    <col min="3994" max="3994" width="9.125" style="3038" bestFit="1" customWidth="1"/>
    <col min="3995" max="3995" width="9.875" style="3038" bestFit="1" customWidth="1"/>
    <col min="3996" max="3996" width="11.125" style="3038" bestFit="1" customWidth="1"/>
    <col min="3997" max="3997" width="7.875" style="3038" customWidth="1"/>
    <col min="3998" max="3999" width="9.875" style="3038" bestFit="1" customWidth="1"/>
    <col min="4000" max="4000" width="7.875" style="3038"/>
    <col min="4001" max="4002" width="9.875" style="3038" bestFit="1" customWidth="1"/>
    <col min="4003" max="4003" width="7.875" style="3038"/>
    <col min="4004" max="4005" width="9.875" style="3038" bestFit="1" customWidth="1"/>
    <col min="4006" max="4006" width="7.875" style="3038"/>
    <col min="4007" max="4008" width="9.875" style="3038" bestFit="1" customWidth="1"/>
    <col min="4009" max="4009" width="7.875" style="3038"/>
    <col min="4010" max="4010" width="9.875" style="3038" bestFit="1" customWidth="1"/>
    <col min="4011" max="4011" width="8.875" style="3038" bestFit="1" customWidth="1"/>
    <col min="4012" max="4012" width="7.875" style="3038"/>
    <col min="4013" max="4013" width="9.875" style="3038" bestFit="1" customWidth="1"/>
    <col min="4014" max="4014" width="8.875" style="3038" bestFit="1" customWidth="1"/>
    <col min="4015" max="4015" width="7.875" style="3038"/>
    <col min="4016" max="4016" width="9.875" style="3038" bestFit="1" customWidth="1"/>
    <col min="4017" max="4017" width="8.875" style="3038" bestFit="1" customWidth="1"/>
    <col min="4018" max="4018" width="7.875" style="3038"/>
    <col min="4019" max="4019" width="9.875" style="3038" bestFit="1" customWidth="1"/>
    <col min="4020" max="4020" width="8.875" style="3038" bestFit="1" customWidth="1"/>
    <col min="4021" max="4021" width="7.875" style="3038"/>
    <col min="4022" max="4022" width="9.875" style="3038" bestFit="1" customWidth="1"/>
    <col min="4023" max="4023" width="8.875" style="3038" bestFit="1" customWidth="1"/>
    <col min="4024" max="4024" width="7.875" style="3038"/>
    <col min="4025" max="4025" width="9.875" style="3038" bestFit="1" customWidth="1"/>
    <col min="4026" max="4026" width="11.125" style="3038" bestFit="1" customWidth="1"/>
    <col min="4027" max="4027" width="9.125" style="3038" bestFit="1" customWidth="1"/>
    <col min="4028" max="4028" width="9.875" style="3038" bestFit="1" customWidth="1"/>
    <col min="4029" max="4029" width="11.125" style="3038" bestFit="1" customWidth="1"/>
    <col min="4030" max="4030" width="7.875" style="3038"/>
    <col min="4031" max="4031" width="9.25" style="3038" customWidth="1"/>
    <col min="4032" max="4096" width="7.875" style="3038"/>
    <col min="4097" max="4097" width="3.875" style="3038" customWidth="1"/>
    <col min="4098" max="4098" width="10.375" style="3038" customWidth="1"/>
    <col min="4099" max="4099" width="11.375" style="3038" bestFit="1" customWidth="1"/>
    <col min="4100" max="4100" width="10.5" style="3038" customWidth="1"/>
    <col min="4101" max="4101" width="11.625" style="3038" customWidth="1"/>
    <col min="4102" max="4102" width="9.875" style="3038" customWidth="1"/>
    <col min="4103" max="4103" width="11.875" style="3038" customWidth="1"/>
    <col min="4104" max="4104" width="12.75" style="3038" customWidth="1"/>
    <col min="4105" max="4105" width="11" style="3038" customWidth="1"/>
    <col min="4106" max="4106" width="12.75" style="3038" customWidth="1"/>
    <col min="4107" max="4107" width="14" style="3038" customWidth="1"/>
    <col min="4108" max="4108" width="9.375" style="3038" customWidth="1"/>
    <col min="4109" max="4109" width="10.875" style="3038" customWidth="1"/>
    <col min="4110" max="4110" width="12.25" style="3038" customWidth="1"/>
    <col min="4111" max="4111" width="10.375" style="3038" customWidth="1"/>
    <col min="4112" max="4112" width="8.5" style="3038" customWidth="1"/>
    <col min="4113" max="4113" width="12" style="3038" customWidth="1"/>
    <col min="4114" max="4114" width="10.875" style="3038" bestFit="1" customWidth="1"/>
    <col min="4115" max="4115" width="10.5" style="3038" bestFit="1" customWidth="1"/>
    <col min="4116" max="4116" width="10.875" style="3038" bestFit="1" customWidth="1"/>
    <col min="4117" max="4118" width="11" style="3038" customWidth="1"/>
    <col min="4119" max="4119" width="9.375" style="3038" customWidth="1"/>
    <col min="4120" max="4120" width="7.125" style="3038" customWidth="1"/>
    <col min="4121" max="4122" width="11.75" style="3038" customWidth="1"/>
    <col min="4123" max="4123" width="13" style="3038" customWidth="1"/>
    <col min="4124" max="4124" width="10.75" style="3038" customWidth="1"/>
    <col min="4125" max="4126" width="7.375" style="3038" customWidth="1"/>
    <col min="4127" max="4127" width="10.25" style="3038" customWidth="1"/>
    <col min="4128" max="4137" width="8.625" style="3038" customWidth="1"/>
    <col min="4138" max="4139" width="14.125" style="3038" bestFit="1" customWidth="1"/>
    <col min="4140" max="4141" width="10.25" style="3038" customWidth="1"/>
    <col min="4142" max="4142" width="10.125" style="3038" customWidth="1"/>
    <col min="4143" max="4143" width="8.875" style="3038" customWidth="1"/>
    <col min="4144" max="4144" width="9.375" style="3038" customWidth="1"/>
    <col min="4145" max="4145" width="13.25" style="3038" customWidth="1"/>
    <col min="4146" max="4146" width="13" style="3038" customWidth="1"/>
    <col min="4147" max="4147" width="10.875" style="3038" customWidth="1"/>
    <col min="4148" max="4148" width="9.375" style="3038" customWidth="1"/>
    <col min="4149" max="4149" width="10.875" style="3038" customWidth="1"/>
    <col min="4150" max="4150" width="10.5" style="3038" customWidth="1"/>
    <col min="4151" max="4151" width="8.125" style="3038" customWidth="1"/>
    <col min="4152" max="4152" width="8.625" style="3038" customWidth="1"/>
    <col min="4153" max="4153" width="10.75" style="3038" customWidth="1"/>
    <col min="4154" max="4154" width="9.625" style="3038" customWidth="1"/>
    <col min="4155" max="4155" width="9.5" style="3038" customWidth="1"/>
    <col min="4156" max="4156" width="11" style="3038" customWidth="1"/>
    <col min="4157" max="4157" width="9.25" style="3038" customWidth="1"/>
    <col min="4158" max="4159" width="11" style="3038" customWidth="1"/>
    <col min="4160" max="4160" width="9.625" style="3038" customWidth="1"/>
    <col min="4161" max="4163" width="10.75" style="3038" bestFit="1" customWidth="1"/>
    <col min="4164" max="4164" width="10.25" style="3038" bestFit="1" customWidth="1"/>
    <col min="4165" max="4165" width="10.75" style="3038" bestFit="1" customWidth="1"/>
    <col min="4166" max="4166" width="10.25" style="3038" bestFit="1" customWidth="1"/>
    <col min="4167" max="4167" width="10.75" style="3038" bestFit="1" customWidth="1"/>
    <col min="4168" max="4168" width="10.25" style="3038" bestFit="1" customWidth="1"/>
    <col min="4169" max="4169" width="10.75" style="3038" bestFit="1" customWidth="1"/>
    <col min="4170" max="4170" width="10.25" style="3038" bestFit="1" customWidth="1"/>
    <col min="4171" max="4171" width="10.75" style="3038" bestFit="1" customWidth="1"/>
    <col min="4172" max="4172" width="10.25" style="3038" bestFit="1" customWidth="1"/>
    <col min="4173" max="4173" width="10.375" style="3038" customWidth="1"/>
    <col min="4174" max="4174" width="10.25" style="3038" customWidth="1"/>
    <col min="4175" max="4175" width="10.375" style="3038" customWidth="1"/>
    <col min="4176" max="4177" width="10.5" style="3038" customWidth="1"/>
    <col min="4178" max="4178" width="11.125" style="3038" customWidth="1"/>
    <col min="4179" max="4179" width="9.875" style="3038" customWidth="1"/>
    <col min="4180" max="4180" width="10.25" style="3038" customWidth="1"/>
    <col min="4181" max="4181" width="9.875" style="3038" customWidth="1"/>
    <col min="4182" max="4182" width="10" style="3038" customWidth="1"/>
    <col min="4183" max="4183" width="9.75" style="3038" customWidth="1"/>
    <col min="4184" max="4208" width="9.625" style="3038" customWidth="1"/>
    <col min="4209" max="4209" width="13.625" style="3038" bestFit="1" customWidth="1"/>
    <col min="4210" max="4210" width="12.375" style="3038" bestFit="1" customWidth="1"/>
    <col min="4211" max="4211" width="9.875" style="3038" bestFit="1" customWidth="1"/>
    <col min="4212" max="4212" width="10.375" style="3038" customWidth="1"/>
    <col min="4213" max="4213" width="9.25" style="3038" customWidth="1"/>
    <col min="4214" max="4214" width="12.625" style="3038" customWidth="1"/>
    <col min="4215" max="4215" width="9.875" style="3038" bestFit="1" customWidth="1"/>
    <col min="4216" max="4216" width="9.125" style="3038" bestFit="1" customWidth="1"/>
    <col min="4217" max="4218" width="9.875" style="3038" bestFit="1" customWidth="1"/>
    <col min="4219" max="4219" width="9.125" style="3038" bestFit="1" customWidth="1"/>
    <col min="4220" max="4221" width="9.875" style="3038" bestFit="1" customWidth="1"/>
    <col min="4222" max="4222" width="11.125" style="3038" bestFit="1" customWidth="1"/>
    <col min="4223" max="4224" width="9.875" style="3038" bestFit="1" customWidth="1"/>
    <col min="4225" max="4225" width="11.125" style="3038" bestFit="1" customWidth="1"/>
    <col min="4226" max="4227" width="9.875" style="3038" bestFit="1" customWidth="1"/>
    <col min="4228" max="4228" width="11.125" style="3038" bestFit="1" customWidth="1"/>
    <col min="4229" max="4229" width="9.125" style="3038" bestFit="1" customWidth="1"/>
    <col min="4230" max="4230" width="9.875" style="3038" bestFit="1" customWidth="1"/>
    <col min="4231" max="4231" width="11.125" style="3038" bestFit="1" customWidth="1"/>
    <col min="4232" max="4232" width="9.125" style="3038" bestFit="1" customWidth="1"/>
    <col min="4233" max="4233" width="9.875" style="3038" bestFit="1" customWidth="1"/>
    <col min="4234" max="4234" width="11.125" style="3038" bestFit="1" customWidth="1"/>
    <col min="4235" max="4235" width="9.125" style="3038" bestFit="1" customWidth="1"/>
    <col min="4236" max="4236" width="9.875" style="3038" bestFit="1" customWidth="1"/>
    <col min="4237" max="4237" width="11.125" style="3038" bestFit="1" customWidth="1"/>
    <col min="4238" max="4238" width="9.125" style="3038" bestFit="1" customWidth="1"/>
    <col min="4239" max="4239" width="9.875" style="3038" bestFit="1" customWidth="1"/>
    <col min="4240" max="4240" width="11.125" style="3038" bestFit="1" customWidth="1"/>
    <col min="4241" max="4241" width="9.125" style="3038" bestFit="1" customWidth="1"/>
    <col min="4242" max="4242" width="9.875" style="3038" bestFit="1" customWidth="1"/>
    <col min="4243" max="4243" width="11.125" style="3038" bestFit="1" customWidth="1"/>
    <col min="4244" max="4244" width="9.125" style="3038" bestFit="1" customWidth="1"/>
    <col min="4245" max="4245" width="9.875" style="3038" bestFit="1" customWidth="1"/>
    <col min="4246" max="4246" width="11.125" style="3038" bestFit="1" customWidth="1"/>
    <col min="4247" max="4247" width="9.125" style="3038" bestFit="1" customWidth="1"/>
    <col min="4248" max="4248" width="9.875" style="3038" bestFit="1" customWidth="1"/>
    <col min="4249" max="4249" width="11.125" style="3038" bestFit="1" customWidth="1"/>
    <col min="4250" max="4250" width="9.125" style="3038" bestFit="1" customWidth="1"/>
    <col min="4251" max="4251" width="9.875" style="3038" bestFit="1" customWidth="1"/>
    <col min="4252" max="4252" width="11.125" style="3038" bestFit="1" customWidth="1"/>
    <col min="4253" max="4253" width="7.875" style="3038" customWidth="1"/>
    <col min="4254" max="4255" width="9.875" style="3038" bestFit="1" customWidth="1"/>
    <col min="4256" max="4256" width="7.875" style="3038"/>
    <col min="4257" max="4258" width="9.875" style="3038" bestFit="1" customWidth="1"/>
    <col min="4259" max="4259" width="7.875" style="3038"/>
    <col min="4260" max="4261" width="9.875" style="3038" bestFit="1" customWidth="1"/>
    <col min="4262" max="4262" width="7.875" style="3038"/>
    <col min="4263" max="4264" width="9.875" style="3038" bestFit="1" customWidth="1"/>
    <col min="4265" max="4265" width="7.875" style="3038"/>
    <col min="4266" max="4266" width="9.875" style="3038" bestFit="1" customWidth="1"/>
    <col min="4267" max="4267" width="8.875" style="3038" bestFit="1" customWidth="1"/>
    <col min="4268" max="4268" width="7.875" style="3038"/>
    <col min="4269" max="4269" width="9.875" style="3038" bestFit="1" customWidth="1"/>
    <col min="4270" max="4270" width="8.875" style="3038" bestFit="1" customWidth="1"/>
    <col min="4271" max="4271" width="7.875" style="3038"/>
    <col min="4272" max="4272" width="9.875" style="3038" bestFit="1" customWidth="1"/>
    <col min="4273" max="4273" width="8.875" style="3038" bestFit="1" customWidth="1"/>
    <col min="4274" max="4274" width="7.875" style="3038"/>
    <col min="4275" max="4275" width="9.875" style="3038" bestFit="1" customWidth="1"/>
    <col min="4276" max="4276" width="8.875" style="3038" bestFit="1" customWidth="1"/>
    <col min="4277" max="4277" width="7.875" style="3038"/>
    <col min="4278" max="4278" width="9.875" style="3038" bestFit="1" customWidth="1"/>
    <col min="4279" max="4279" width="8.875" style="3038" bestFit="1" customWidth="1"/>
    <col min="4280" max="4280" width="7.875" style="3038"/>
    <col min="4281" max="4281" width="9.875" style="3038" bestFit="1" customWidth="1"/>
    <col min="4282" max="4282" width="11.125" style="3038" bestFit="1" customWidth="1"/>
    <col min="4283" max="4283" width="9.125" style="3038" bestFit="1" customWidth="1"/>
    <col min="4284" max="4284" width="9.875" style="3038" bestFit="1" customWidth="1"/>
    <col min="4285" max="4285" width="11.125" style="3038" bestFit="1" customWidth="1"/>
    <col min="4286" max="4286" width="7.875" style="3038"/>
    <col min="4287" max="4287" width="9.25" style="3038" customWidth="1"/>
    <col min="4288" max="4352" width="7.875" style="3038"/>
    <col min="4353" max="4353" width="3.875" style="3038" customWidth="1"/>
    <col min="4354" max="4354" width="10.375" style="3038" customWidth="1"/>
    <col min="4355" max="4355" width="11.375" style="3038" bestFit="1" customWidth="1"/>
    <col min="4356" max="4356" width="10.5" style="3038" customWidth="1"/>
    <col min="4357" max="4357" width="11.625" style="3038" customWidth="1"/>
    <col min="4358" max="4358" width="9.875" style="3038" customWidth="1"/>
    <col min="4359" max="4359" width="11.875" style="3038" customWidth="1"/>
    <col min="4360" max="4360" width="12.75" style="3038" customWidth="1"/>
    <col min="4361" max="4361" width="11" style="3038" customWidth="1"/>
    <col min="4362" max="4362" width="12.75" style="3038" customWidth="1"/>
    <col min="4363" max="4363" width="14" style="3038" customWidth="1"/>
    <col min="4364" max="4364" width="9.375" style="3038" customWidth="1"/>
    <col min="4365" max="4365" width="10.875" style="3038" customWidth="1"/>
    <col min="4366" max="4366" width="12.25" style="3038" customWidth="1"/>
    <col min="4367" max="4367" width="10.375" style="3038" customWidth="1"/>
    <col min="4368" max="4368" width="8.5" style="3038" customWidth="1"/>
    <col min="4369" max="4369" width="12" style="3038" customWidth="1"/>
    <col min="4370" max="4370" width="10.875" style="3038" bestFit="1" customWidth="1"/>
    <col min="4371" max="4371" width="10.5" style="3038" bestFit="1" customWidth="1"/>
    <col min="4372" max="4372" width="10.875" style="3038" bestFit="1" customWidth="1"/>
    <col min="4373" max="4374" width="11" style="3038" customWidth="1"/>
    <col min="4375" max="4375" width="9.375" style="3038" customWidth="1"/>
    <col min="4376" max="4376" width="7.125" style="3038" customWidth="1"/>
    <col min="4377" max="4378" width="11.75" style="3038" customWidth="1"/>
    <col min="4379" max="4379" width="13" style="3038" customWidth="1"/>
    <col min="4380" max="4380" width="10.75" style="3038" customWidth="1"/>
    <col min="4381" max="4382" width="7.375" style="3038" customWidth="1"/>
    <col min="4383" max="4383" width="10.25" style="3038" customWidth="1"/>
    <col min="4384" max="4393" width="8.625" style="3038" customWidth="1"/>
    <col min="4394" max="4395" width="14.125" style="3038" bestFit="1" customWidth="1"/>
    <col min="4396" max="4397" width="10.25" style="3038" customWidth="1"/>
    <col min="4398" max="4398" width="10.125" style="3038" customWidth="1"/>
    <col min="4399" max="4399" width="8.875" style="3038" customWidth="1"/>
    <col min="4400" max="4400" width="9.375" style="3038" customWidth="1"/>
    <col min="4401" max="4401" width="13.25" style="3038" customWidth="1"/>
    <col min="4402" max="4402" width="13" style="3038" customWidth="1"/>
    <col min="4403" max="4403" width="10.875" style="3038" customWidth="1"/>
    <col min="4404" max="4404" width="9.375" style="3038" customWidth="1"/>
    <col min="4405" max="4405" width="10.875" style="3038" customWidth="1"/>
    <col min="4406" max="4406" width="10.5" style="3038" customWidth="1"/>
    <col min="4407" max="4407" width="8.125" style="3038" customWidth="1"/>
    <col min="4408" max="4408" width="8.625" style="3038" customWidth="1"/>
    <col min="4409" max="4409" width="10.75" style="3038" customWidth="1"/>
    <col min="4410" max="4410" width="9.625" style="3038" customWidth="1"/>
    <col min="4411" max="4411" width="9.5" style="3038" customWidth="1"/>
    <col min="4412" max="4412" width="11" style="3038" customWidth="1"/>
    <col min="4413" max="4413" width="9.25" style="3038" customWidth="1"/>
    <col min="4414" max="4415" width="11" style="3038" customWidth="1"/>
    <col min="4416" max="4416" width="9.625" style="3038" customWidth="1"/>
    <col min="4417" max="4419" width="10.75" style="3038" bestFit="1" customWidth="1"/>
    <col min="4420" max="4420" width="10.25" style="3038" bestFit="1" customWidth="1"/>
    <col min="4421" max="4421" width="10.75" style="3038" bestFit="1" customWidth="1"/>
    <col min="4422" max="4422" width="10.25" style="3038" bestFit="1" customWidth="1"/>
    <col min="4423" max="4423" width="10.75" style="3038" bestFit="1" customWidth="1"/>
    <col min="4424" max="4424" width="10.25" style="3038" bestFit="1" customWidth="1"/>
    <col min="4425" max="4425" width="10.75" style="3038" bestFit="1" customWidth="1"/>
    <col min="4426" max="4426" width="10.25" style="3038" bestFit="1" customWidth="1"/>
    <col min="4427" max="4427" width="10.75" style="3038" bestFit="1" customWidth="1"/>
    <col min="4428" max="4428" width="10.25" style="3038" bestFit="1" customWidth="1"/>
    <col min="4429" max="4429" width="10.375" style="3038" customWidth="1"/>
    <col min="4430" max="4430" width="10.25" style="3038" customWidth="1"/>
    <col min="4431" max="4431" width="10.375" style="3038" customWidth="1"/>
    <col min="4432" max="4433" width="10.5" style="3038" customWidth="1"/>
    <col min="4434" max="4434" width="11.125" style="3038" customWidth="1"/>
    <col min="4435" max="4435" width="9.875" style="3038" customWidth="1"/>
    <col min="4436" max="4436" width="10.25" style="3038" customWidth="1"/>
    <col min="4437" max="4437" width="9.875" style="3038" customWidth="1"/>
    <col min="4438" max="4438" width="10" style="3038" customWidth="1"/>
    <col min="4439" max="4439" width="9.75" style="3038" customWidth="1"/>
    <col min="4440" max="4464" width="9.625" style="3038" customWidth="1"/>
    <col min="4465" max="4465" width="13.625" style="3038" bestFit="1" customWidth="1"/>
    <col min="4466" max="4466" width="12.375" style="3038" bestFit="1" customWidth="1"/>
    <col min="4467" max="4467" width="9.875" style="3038" bestFit="1" customWidth="1"/>
    <col min="4468" max="4468" width="10.375" style="3038" customWidth="1"/>
    <col min="4469" max="4469" width="9.25" style="3038" customWidth="1"/>
    <col min="4470" max="4470" width="12.625" style="3038" customWidth="1"/>
    <col min="4471" max="4471" width="9.875" style="3038" bestFit="1" customWidth="1"/>
    <col min="4472" max="4472" width="9.125" style="3038" bestFit="1" customWidth="1"/>
    <col min="4473" max="4474" width="9.875" style="3038" bestFit="1" customWidth="1"/>
    <col min="4475" max="4475" width="9.125" style="3038" bestFit="1" customWidth="1"/>
    <col min="4476" max="4477" width="9.875" style="3038" bestFit="1" customWidth="1"/>
    <col min="4478" max="4478" width="11.125" style="3038" bestFit="1" customWidth="1"/>
    <col min="4479" max="4480" width="9.875" style="3038" bestFit="1" customWidth="1"/>
    <col min="4481" max="4481" width="11.125" style="3038" bestFit="1" customWidth="1"/>
    <col min="4482" max="4483" width="9.875" style="3038" bestFit="1" customWidth="1"/>
    <col min="4484" max="4484" width="11.125" style="3038" bestFit="1" customWidth="1"/>
    <col min="4485" max="4485" width="9.125" style="3038" bestFit="1" customWidth="1"/>
    <col min="4486" max="4486" width="9.875" style="3038" bestFit="1" customWidth="1"/>
    <col min="4487" max="4487" width="11.125" style="3038" bestFit="1" customWidth="1"/>
    <col min="4488" max="4488" width="9.125" style="3038" bestFit="1" customWidth="1"/>
    <col min="4489" max="4489" width="9.875" style="3038" bestFit="1" customWidth="1"/>
    <col min="4490" max="4490" width="11.125" style="3038" bestFit="1" customWidth="1"/>
    <col min="4491" max="4491" width="9.125" style="3038" bestFit="1" customWidth="1"/>
    <col min="4492" max="4492" width="9.875" style="3038" bestFit="1" customWidth="1"/>
    <col min="4493" max="4493" width="11.125" style="3038" bestFit="1" customWidth="1"/>
    <col min="4494" max="4494" width="9.125" style="3038" bestFit="1" customWidth="1"/>
    <col min="4495" max="4495" width="9.875" style="3038" bestFit="1" customWidth="1"/>
    <col min="4496" max="4496" width="11.125" style="3038" bestFit="1" customWidth="1"/>
    <col min="4497" max="4497" width="9.125" style="3038" bestFit="1" customWidth="1"/>
    <col min="4498" max="4498" width="9.875" style="3038" bestFit="1" customWidth="1"/>
    <col min="4499" max="4499" width="11.125" style="3038" bestFit="1" customWidth="1"/>
    <col min="4500" max="4500" width="9.125" style="3038" bestFit="1" customWidth="1"/>
    <col min="4501" max="4501" width="9.875" style="3038" bestFit="1" customWidth="1"/>
    <col min="4502" max="4502" width="11.125" style="3038" bestFit="1" customWidth="1"/>
    <col min="4503" max="4503" width="9.125" style="3038" bestFit="1" customWidth="1"/>
    <col min="4504" max="4504" width="9.875" style="3038" bestFit="1" customWidth="1"/>
    <col min="4505" max="4505" width="11.125" style="3038" bestFit="1" customWidth="1"/>
    <col min="4506" max="4506" width="9.125" style="3038" bestFit="1" customWidth="1"/>
    <col min="4507" max="4507" width="9.875" style="3038" bestFit="1" customWidth="1"/>
    <col min="4508" max="4508" width="11.125" style="3038" bestFit="1" customWidth="1"/>
    <col min="4509" max="4509" width="7.875" style="3038" customWidth="1"/>
    <col min="4510" max="4511" width="9.875" style="3038" bestFit="1" customWidth="1"/>
    <col min="4512" max="4512" width="7.875" style="3038"/>
    <col min="4513" max="4514" width="9.875" style="3038" bestFit="1" customWidth="1"/>
    <col min="4515" max="4515" width="7.875" style="3038"/>
    <col min="4516" max="4517" width="9.875" style="3038" bestFit="1" customWidth="1"/>
    <col min="4518" max="4518" width="7.875" style="3038"/>
    <col min="4519" max="4520" width="9.875" style="3038" bestFit="1" customWidth="1"/>
    <col min="4521" max="4521" width="7.875" style="3038"/>
    <col min="4522" max="4522" width="9.875" style="3038" bestFit="1" customWidth="1"/>
    <col min="4523" max="4523" width="8.875" style="3038" bestFit="1" customWidth="1"/>
    <col min="4524" max="4524" width="7.875" style="3038"/>
    <col min="4525" max="4525" width="9.875" style="3038" bestFit="1" customWidth="1"/>
    <col min="4526" max="4526" width="8.875" style="3038" bestFit="1" customWidth="1"/>
    <col min="4527" max="4527" width="7.875" style="3038"/>
    <col min="4528" max="4528" width="9.875" style="3038" bestFit="1" customWidth="1"/>
    <col min="4529" max="4529" width="8.875" style="3038" bestFit="1" customWidth="1"/>
    <col min="4530" max="4530" width="7.875" style="3038"/>
    <col min="4531" max="4531" width="9.875" style="3038" bestFit="1" customWidth="1"/>
    <col min="4532" max="4532" width="8.875" style="3038" bestFit="1" customWidth="1"/>
    <col min="4533" max="4533" width="7.875" style="3038"/>
    <col min="4534" max="4534" width="9.875" style="3038" bestFit="1" customWidth="1"/>
    <col min="4535" max="4535" width="8.875" style="3038" bestFit="1" customWidth="1"/>
    <col min="4536" max="4536" width="7.875" style="3038"/>
    <col min="4537" max="4537" width="9.875" style="3038" bestFit="1" customWidth="1"/>
    <col min="4538" max="4538" width="11.125" style="3038" bestFit="1" customWidth="1"/>
    <col min="4539" max="4539" width="9.125" style="3038" bestFit="1" customWidth="1"/>
    <col min="4540" max="4540" width="9.875" style="3038" bestFit="1" customWidth="1"/>
    <col min="4541" max="4541" width="11.125" style="3038" bestFit="1" customWidth="1"/>
    <col min="4542" max="4542" width="7.875" style="3038"/>
    <col min="4543" max="4543" width="9.25" style="3038" customWidth="1"/>
    <col min="4544" max="4608" width="7.875" style="3038"/>
    <col min="4609" max="4609" width="3.875" style="3038" customWidth="1"/>
    <col min="4610" max="4610" width="10.375" style="3038" customWidth="1"/>
    <col min="4611" max="4611" width="11.375" style="3038" bestFit="1" customWidth="1"/>
    <col min="4612" max="4612" width="10.5" style="3038" customWidth="1"/>
    <col min="4613" max="4613" width="11.625" style="3038" customWidth="1"/>
    <col min="4614" max="4614" width="9.875" style="3038" customWidth="1"/>
    <col min="4615" max="4615" width="11.875" style="3038" customWidth="1"/>
    <col min="4616" max="4616" width="12.75" style="3038" customWidth="1"/>
    <col min="4617" max="4617" width="11" style="3038" customWidth="1"/>
    <col min="4618" max="4618" width="12.75" style="3038" customWidth="1"/>
    <col min="4619" max="4619" width="14" style="3038" customWidth="1"/>
    <col min="4620" max="4620" width="9.375" style="3038" customWidth="1"/>
    <col min="4621" max="4621" width="10.875" style="3038" customWidth="1"/>
    <col min="4622" max="4622" width="12.25" style="3038" customWidth="1"/>
    <col min="4623" max="4623" width="10.375" style="3038" customWidth="1"/>
    <col min="4624" max="4624" width="8.5" style="3038" customWidth="1"/>
    <col min="4625" max="4625" width="12" style="3038" customWidth="1"/>
    <col min="4626" max="4626" width="10.875" style="3038" bestFit="1" customWidth="1"/>
    <col min="4627" max="4627" width="10.5" style="3038" bestFit="1" customWidth="1"/>
    <col min="4628" max="4628" width="10.875" style="3038" bestFit="1" customWidth="1"/>
    <col min="4629" max="4630" width="11" style="3038" customWidth="1"/>
    <col min="4631" max="4631" width="9.375" style="3038" customWidth="1"/>
    <col min="4632" max="4632" width="7.125" style="3038" customWidth="1"/>
    <col min="4633" max="4634" width="11.75" style="3038" customWidth="1"/>
    <col min="4635" max="4635" width="13" style="3038" customWidth="1"/>
    <col min="4636" max="4636" width="10.75" style="3038" customWidth="1"/>
    <col min="4637" max="4638" width="7.375" style="3038" customWidth="1"/>
    <col min="4639" max="4639" width="10.25" style="3038" customWidth="1"/>
    <col min="4640" max="4649" width="8.625" style="3038" customWidth="1"/>
    <col min="4650" max="4651" width="14.125" style="3038" bestFit="1" customWidth="1"/>
    <col min="4652" max="4653" width="10.25" style="3038" customWidth="1"/>
    <col min="4654" max="4654" width="10.125" style="3038" customWidth="1"/>
    <col min="4655" max="4655" width="8.875" style="3038" customWidth="1"/>
    <col min="4656" max="4656" width="9.375" style="3038" customWidth="1"/>
    <col min="4657" max="4657" width="13.25" style="3038" customWidth="1"/>
    <col min="4658" max="4658" width="13" style="3038" customWidth="1"/>
    <col min="4659" max="4659" width="10.875" style="3038" customWidth="1"/>
    <col min="4660" max="4660" width="9.375" style="3038" customWidth="1"/>
    <col min="4661" max="4661" width="10.875" style="3038" customWidth="1"/>
    <col min="4662" max="4662" width="10.5" style="3038" customWidth="1"/>
    <col min="4663" max="4663" width="8.125" style="3038" customWidth="1"/>
    <col min="4664" max="4664" width="8.625" style="3038" customWidth="1"/>
    <col min="4665" max="4665" width="10.75" style="3038" customWidth="1"/>
    <col min="4666" max="4666" width="9.625" style="3038" customWidth="1"/>
    <col min="4667" max="4667" width="9.5" style="3038" customWidth="1"/>
    <col min="4668" max="4668" width="11" style="3038" customWidth="1"/>
    <col min="4669" max="4669" width="9.25" style="3038" customWidth="1"/>
    <col min="4670" max="4671" width="11" style="3038" customWidth="1"/>
    <col min="4672" max="4672" width="9.625" style="3038" customWidth="1"/>
    <col min="4673" max="4675" width="10.75" style="3038" bestFit="1" customWidth="1"/>
    <col min="4676" max="4676" width="10.25" style="3038" bestFit="1" customWidth="1"/>
    <col min="4677" max="4677" width="10.75" style="3038" bestFit="1" customWidth="1"/>
    <col min="4678" max="4678" width="10.25" style="3038" bestFit="1" customWidth="1"/>
    <col min="4679" max="4679" width="10.75" style="3038" bestFit="1" customWidth="1"/>
    <col min="4680" max="4680" width="10.25" style="3038" bestFit="1" customWidth="1"/>
    <col min="4681" max="4681" width="10.75" style="3038" bestFit="1" customWidth="1"/>
    <col min="4682" max="4682" width="10.25" style="3038" bestFit="1" customWidth="1"/>
    <col min="4683" max="4683" width="10.75" style="3038" bestFit="1" customWidth="1"/>
    <col min="4684" max="4684" width="10.25" style="3038" bestFit="1" customWidth="1"/>
    <col min="4685" max="4685" width="10.375" style="3038" customWidth="1"/>
    <col min="4686" max="4686" width="10.25" style="3038" customWidth="1"/>
    <col min="4687" max="4687" width="10.375" style="3038" customWidth="1"/>
    <col min="4688" max="4689" width="10.5" style="3038" customWidth="1"/>
    <col min="4690" max="4690" width="11.125" style="3038" customWidth="1"/>
    <col min="4691" max="4691" width="9.875" style="3038" customWidth="1"/>
    <col min="4692" max="4692" width="10.25" style="3038" customWidth="1"/>
    <col min="4693" max="4693" width="9.875" style="3038" customWidth="1"/>
    <col min="4694" max="4694" width="10" style="3038" customWidth="1"/>
    <col min="4695" max="4695" width="9.75" style="3038" customWidth="1"/>
    <col min="4696" max="4720" width="9.625" style="3038" customWidth="1"/>
    <col min="4721" max="4721" width="13.625" style="3038" bestFit="1" customWidth="1"/>
    <col min="4722" max="4722" width="12.375" style="3038" bestFit="1" customWidth="1"/>
    <col min="4723" max="4723" width="9.875" style="3038" bestFit="1" customWidth="1"/>
    <col min="4724" max="4724" width="10.375" style="3038" customWidth="1"/>
    <col min="4725" max="4725" width="9.25" style="3038" customWidth="1"/>
    <col min="4726" max="4726" width="12.625" style="3038" customWidth="1"/>
    <col min="4727" max="4727" width="9.875" style="3038" bestFit="1" customWidth="1"/>
    <col min="4728" max="4728" width="9.125" style="3038" bestFit="1" customWidth="1"/>
    <col min="4729" max="4730" width="9.875" style="3038" bestFit="1" customWidth="1"/>
    <col min="4731" max="4731" width="9.125" style="3038" bestFit="1" customWidth="1"/>
    <col min="4732" max="4733" width="9.875" style="3038" bestFit="1" customWidth="1"/>
    <col min="4734" max="4734" width="11.125" style="3038" bestFit="1" customWidth="1"/>
    <col min="4735" max="4736" width="9.875" style="3038" bestFit="1" customWidth="1"/>
    <col min="4737" max="4737" width="11.125" style="3038" bestFit="1" customWidth="1"/>
    <col min="4738" max="4739" width="9.875" style="3038" bestFit="1" customWidth="1"/>
    <col min="4740" max="4740" width="11.125" style="3038" bestFit="1" customWidth="1"/>
    <col min="4741" max="4741" width="9.125" style="3038" bestFit="1" customWidth="1"/>
    <col min="4742" max="4742" width="9.875" style="3038" bestFit="1" customWidth="1"/>
    <col min="4743" max="4743" width="11.125" style="3038" bestFit="1" customWidth="1"/>
    <col min="4744" max="4744" width="9.125" style="3038" bestFit="1" customWidth="1"/>
    <col min="4745" max="4745" width="9.875" style="3038" bestFit="1" customWidth="1"/>
    <col min="4746" max="4746" width="11.125" style="3038" bestFit="1" customWidth="1"/>
    <col min="4747" max="4747" width="9.125" style="3038" bestFit="1" customWidth="1"/>
    <col min="4748" max="4748" width="9.875" style="3038" bestFit="1" customWidth="1"/>
    <col min="4749" max="4749" width="11.125" style="3038" bestFit="1" customWidth="1"/>
    <col min="4750" max="4750" width="9.125" style="3038" bestFit="1" customWidth="1"/>
    <col min="4751" max="4751" width="9.875" style="3038" bestFit="1" customWidth="1"/>
    <col min="4752" max="4752" width="11.125" style="3038" bestFit="1" customWidth="1"/>
    <col min="4753" max="4753" width="9.125" style="3038" bestFit="1" customWidth="1"/>
    <col min="4754" max="4754" width="9.875" style="3038" bestFit="1" customWidth="1"/>
    <col min="4755" max="4755" width="11.125" style="3038" bestFit="1" customWidth="1"/>
    <col min="4756" max="4756" width="9.125" style="3038" bestFit="1" customWidth="1"/>
    <col min="4757" max="4757" width="9.875" style="3038" bestFit="1" customWidth="1"/>
    <col min="4758" max="4758" width="11.125" style="3038" bestFit="1" customWidth="1"/>
    <col min="4759" max="4759" width="9.125" style="3038" bestFit="1" customWidth="1"/>
    <col min="4760" max="4760" width="9.875" style="3038" bestFit="1" customWidth="1"/>
    <col min="4761" max="4761" width="11.125" style="3038" bestFit="1" customWidth="1"/>
    <col min="4762" max="4762" width="9.125" style="3038" bestFit="1" customWidth="1"/>
    <col min="4763" max="4763" width="9.875" style="3038" bestFit="1" customWidth="1"/>
    <col min="4764" max="4764" width="11.125" style="3038" bestFit="1" customWidth="1"/>
    <col min="4765" max="4765" width="7.875" style="3038" customWidth="1"/>
    <col min="4766" max="4767" width="9.875" style="3038" bestFit="1" customWidth="1"/>
    <col min="4768" max="4768" width="7.875" style="3038"/>
    <col min="4769" max="4770" width="9.875" style="3038" bestFit="1" customWidth="1"/>
    <col min="4771" max="4771" width="7.875" style="3038"/>
    <col min="4772" max="4773" width="9.875" style="3038" bestFit="1" customWidth="1"/>
    <col min="4774" max="4774" width="7.875" style="3038"/>
    <col min="4775" max="4776" width="9.875" style="3038" bestFit="1" customWidth="1"/>
    <col min="4777" max="4777" width="7.875" style="3038"/>
    <col min="4778" max="4778" width="9.875" style="3038" bestFit="1" customWidth="1"/>
    <col min="4779" max="4779" width="8.875" style="3038" bestFit="1" customWidth="1"/>
    <col min="4780" max="4780" width="7.875" style="3038"/>
    <col min="4781" max="4781" width="9.875" style="3038" bestFit="1" customWidth="1"/>
    <col min="4782" max="4782" width="8.875" style="3038" bestFit="1" customWidth="1"/>
    <col min="4783" max="4783" width="7.875" style="3038"/>
    <col min="4784" max="4784" width="9.875" style="3038" bestFit="1" customWidth="1"/>
    <col min="4785" max="4785" width="8.875" style="3038" bestFit="1" customWidth="1"/>
    <col min="4786" max="4786" width="7.875" style="3038"/>
    <col min="4787" max="4787" width="9.875" style="3038" bestFit="1" customWidth="1"/>
    <col min="4788" max="4788" width="8.875" style="3038" bestFit="1" customWidth="1"/>
    <col min="4789" max="4789" width="7.875" style="3038"/>
    <col min="4790" max="4790" width="9.875" style="3038" bestFit="1" customWidth="1"/>
    <col min="4791" max="4791" width="8.875" style="3038" bestFit="1" customWidth="1"/>
    <col min="4792" max="4792" width="7.875" style="3038"/>
    <col min="4793" max="4793" width="9.875" style="3038" bestFit="1" customWidth="1"/>
    <col min="4794" max="4794" width="11.125" style="3038" bestFit="1" customWidth="1"/>
    <col min="4795" max="4795" width="9.125" style="3038" bestFit="1" customWidth="1"/>
    <col min="4796" max="4796" width="9.875" style="3038" bestFit="1" customWidth="1"/>
    <col min="4797" max="4797" width="11.125" style="3038" bestFit="1" customWidth="1"/>
    <col min="4798" max="4798" width="7.875" style="3038"/>
    <col min="4799" max="4799" width="9.25" style="3038" customWidth="1"/>
    <col min="4800" max="4864" width="7.875" style="3038"/>
    <col min="4865" max="4865" width="3.875" style="3038" customWidth="1"/>
    <col min="4866" max="4866" width="10.375" style="3038" customWidth="1"/>
    <col min="4867" max="4867" width="11.375" style="3038" bestFit="1" customWidth="1"/>
    <col min="4868" max="4868" width="10.5" style="3038" customWidth="1"/>
    <col min="4869" max="4869" width="11.625" style="3038" customWidth="1"/>
    <col min="4870" max="4870" width="9.875" style="3038" customWidth="1"/>
    <col min="4871" max="4871" width="11.875" style="3038" customWidth="1"/>
    <col min="4872" max="4872" width="12.75" style="3038" customWidth="1"/>
    <col min="4873" max="4873" width="11" style="3038" customWidth="1"/>
    <col min="4874" max="4874" width="12.75" style="3038" customWidth="1"/>
    <col min="4875" max="4875" width="14" style="3038" customWidth="1"/>
    <col min="4876" max="4876" width="9.375" style="3038" customWidth="1"/>
    <col min="4877" max="4877" width="10.875" style="3038" customWidth="1"/>
    <col min="4878" max="4878" width="12.25" style="3038" customWidth="1"/>
    <col min="4879" max="4879" width="10.375" style="3038" customWidth="1"/>
    <col min="4880" max="4880" width="8.5" style="3038" customWidth="1"/>
    <col min="4881" max="4881" width="12" style="3038" customWidth="1"/>
    <col min="4882" max="4882" width="10.875" style="3038" bestFit="1" customWidth="1"/>
    <col min="4883" max="4883" width="10.5" style="3038" bestFit="1" customWidth="1"/>
    <col min="4884" max="4884" width="10.875" style="3038" bestFit="1" customWidth="1"/>
    <col min="4885" max="4886" width="11" style="3038" customWidth="1"/>
    <col min="4887" max="4887" width="9.375" style="3038" customWidth="1"/>
    <col min="4888" max="4888" width="7.125" style="3038" customWidth="1"/>
    <col min="4889" max="4890" width="11.75" style="3038" customWidth="1"/>
    <col min="4891" max="4891" width="13" style="3038" customWidth="1"/>
    <col min="4892" max="4892" width="10.75" style="3038" customWidth="1"/>
    <col min="4893" max="4894" width="7.375" style="3038" customWidth="1"/>
    <col min="4895" max="4895" width="10.25" style="3038" customWidth="1"/>
    <col min="4896" max="4905" width="8.625" style="3038" customWidth="1"/>
    <col min="4906" max="4907" width="14.125" style="3038" bestFit="1" customWidth="1"/>
    <col min="4908" max="4909" width="10.25" style="3038" customWidth="1"/>
    <col min="4910" max="4910" width="10.125" style="3038" customWidth="1"/>
    <col min="4911" max="4911" width="8.875" style="3038" customWidth="1"/>
    <col min="4912" max="4912" width="9.375" style="3038" customWidth="1"/>
    <col min="4913" max="4913" width="13.25" style="3038" customWidth="1"/>
    <col min="4914" max="4914" width="13" style="3038" customWidth="1"/>
    <col min="4915" max="4915" width="10.875" style="3038" customWidth="1"/>
    <col min="4916" max="4916" width="9.375" style="3038" customWidth="1"/>
    <col min="4917" max="4917" width="10.875" style="3038" customWidth="1"/>
    <col min="4918" max="4918" width="10.5" style="3038" customWidth="1"/>
    <col min="4919" max="4919" width="8.125" style="3038" customWidth="1"/>
    <col min="4920" max="4920" width="8.625" style="3038" customWidth="1"/>
    <col min="4921" max="4921" width="10.75" style="3038" customWidth="1"/>
    <col min="4922" max="4922" width="9.625" style="3038" customWidth="1"/>
    <col min="4923" max="4923" width="9.5" style="3038" customWidth="1"/>
    <col min="4924" max="4924" width="11" style="3038" customWidth="1"/>
    <col min="4925" max="4925" width="9.25" style="3038" customWidth="1"/>
    <col min="4926" max="4927" width="11" style="3038" customWidth="1"/>
    <col min="4928" max="4928" width="9.625" style="3038" customWidth="1"/>
    <col min="4929" max="4931" width="10.75" style="3038" bestFit="1" customWidth="1"/>
    <col min="4932" max="4932" width="10.25" style="3038" bestFit="1" customWidth="1"/>
    <col min="4933" max="4933" width="10.75" style="3038" bestFit="1" customWidth="1"/>
    <col min="4934" max="4934" width="10.25" style="3038" bestFit="1" customWidth="1"/>
    <col min="4935" max="4935" width="10.75" style="3038" bestFit="1" customWidth="1"/>
    <col min="4936" max="4936" width="10.25" style="3038" bestFit="1" customWidth="1"/>
    <col min="4937" max="4937" width="10.75" style="3038" bestFit="1" customWidth="1"/>
    <col min="4938" max="4938" width="10.25" style="3038" bestFit="1" customWidth="1"/>
    <col min="4939" max="4939" width="10.75" style="3038" bestFit="1" customWidth="1"/>
    <col min="4940" max="4940" width="10.25" style="3038" bestFit="1" customWidth="1"/>
    <col min="4941" max="4941" width="10.375" style="3038" customWidth="1"/>
    <col min="4942" max="4942" width="10.25" style="3038" customWidth="1"/>
    <col min="4943" max="4943" width="10.375" style="3038" customWidth="1"/>
    <col min="4944" max="4945" width="10.5" style="3038" customWidth="1"/>
    <col min="4946" max="4946" width="11.125" style="3038" customWidth="1"/>
    <col min="4947" max="4947" width="9.875" style="3038" customWidth="1"/>
    <col min="4948" max="4948" width="10.25" style="3038" customWidth="1"/>
    <col min="4949" max="4949" width="9.875" style="3038" customWidth="1"/>
    <col min="4950" max="4950" width="10" style="3038" customWidth="1"/>
    <col min="4951" max="4951" width="9.75" style="3038" customWidth="1"/>
    <col min="4952" max="4976" width="9.625" style="3038" customWidth="1"/>
    <col min="4977" max="4977" width="13.625" style="3038" bestFit="1" customWidth="1"/>
    <col min="4978" max="4978" width="12.375" style="3038" bestFit="1" customWidth="1"/>
    <col min="4979" max="4979" width="9.875" style="3038" bestFit="1" customWidth="1"/>
    <col min="4980" max="4980" width="10.375" style="3038" customWidth="1"/>
    <col min="4981" max="4981" width="9.25" style="3038" customWidth="1"/>
    <col min="4982" max="4982" width="12.625" style="3038" customWidth="1"/>
    <col min="4983" max="4983" width="9.875" style="3038" bestFit="1" customWidth="1"/>
    <col min="4984" max="4984" width="9.125" style="3038" bestFit="1" customWidth="1"/>
    <col min="4985" max="4986" width="9.875" style="3038" bestFit="1" customWidth="1"/>
    <col min="4987" max="4987" width="9.125" style="3038" bestFit="1" customWidth="1"/>
    <col min="4988" max="4989" width="9.875" style="3038" bestFit="1" customWidth="1"/>
    <col min="4990" max="4990" width="11.125" style="3038" bestFit="1" customWidth="1"/>
    <col min="4991" max="4992" width="9.875" style="3038" bestFit="1" customWidth="1"/>
    <col min="4993" max="4993" width="11.125" style="3038" bestFit="1" customWidth="1"/>
    <col min="4994" max="4995" width="9.875" style="3038" bestFit="1" customWidth="1"/>
    <col min="4996" max="4996" width="11.125" style="3038" bestFit="1" customWidth="1"/>
    <col min="4997" max="4997" width="9.125" style="3038" bestFit="1" customWidth="1"/>
    <col min="4998" max="4998" width="9.875" style="3038" bestFit="1" customWidth="1"/>
    <col min="4999" max="4999" width="11.125" style="3038" bestFit="1" customWidth="1"/>
    <col min="5000" max="5000" width="9.125" style="3038" bestFit="1" customWidth="1"/>
    <col min="5001" max="5001" width="9.875" style="3038" bestFit="1" customWidth="1"/>
    <col min="5002" max="5002" width="11.125" style="3038" bestFit="1" customWidth="1"/>
    <col min="5003" max="5003" width="9.125" style="3038" bestFit="1" customWidth="1"/>
    <col min="5004" max="5004" width="9.875" style="3038" bestFit="1" customWidth="1"/>
    <col min="5005" max="5005" width="11.125" style="3038" bestFit="1" customWidth="1"/>
    <col min="5006" max="5006" width="9.125" style="3038" bestFit="1" customWidth="1"/>
    <col min="5007" max="5007" width="9.875" style="3038" bestFit="1" customWidth="1"/>
    <col min="5008" max="5008" width="11.125" style="3038" bestFit="1" customWidth="1"/>
    <col min="5009" max="5009" width="9.125" style="3038" bestFit="1" customWidth="1"/>
    <col min="5010" max="5010" width="9.875" style="3038" bestFit="1" customWidth="1"/>
    <col min="5011" max="5011" width="11.125" style="3038" bestFit="1" customWidth="1"/>
    <col min="5012" max="5012" width="9.125" style="3038" bestFit="1" customWidth="1"/>
    <col min="5013" max="5013" width="9.875" style="3038" bestFit="1" customWidth="1"/>
    <col min="5014" max="5014" width="11.125" style="3038" bestFit="1" customWidth="1"/>
    <col min="5015" max="5015" width="9.125" style="3038" bestFit="1" customWidth="1"/>
    <col min="5016" max="5016" width="9.875" style="3038" bestFit="1" customWidth="1"/>
    <col min="5017" max="5017" width="11.125" style="3038" bestFit="1" customWidth="1"/>
    <col min="5018" max="5018" width="9.125" style="3038" bestFit="1" customWidth="1"/>
    <col min="5019" max="5019" width="9.875" style="3038" bestFit="1" customWidth="1"/>
    <col min="5020" max="5020" width="11.125" style="3038" bestFit="1" customWidth="1"/>
    <col min="5021" max="5021" width="7.875" style="3038" customWidth="1"/>
    <col min="5022" max="5023" width="9.875" style="3038" bestFit="1" customWidth="1"/>
    <col min="5024" max="5024" width="7.875" style="3038"/>
    <col min="5025" max="5026" width="9.875" style="3038" bestFit="1" customWidth="1"/>
    <col min="5027" max="5027" width="7.875" style="3038"/>
    <col min="5028" max="5029" width="9.875" style="3038" bestFit="1" customWidth="1"/>
    <col min="5030" max="5030" width="7.875" style="3038"/>
    <col min="5031" max="5032" width="9.875" style="3038" bestFit="1" customWidth="1"/>
    <col min="5033" max="5033" width="7.875" style="3038"/>
    <col min="5034" max="5034" width="9.875" style="3038" bestFit="1" customWidth="1"/>
    <col min="5035" max="5035" width="8.875" style="3038" bestFit="1" customWidth="1"/>
    <col min="5036" max="5036" width="7.875" style="3038"/>
    <col min="5037" max="5037" width="9.875" style="3038" bestFit="1" customWidth="1"/>
    <col min="5038" max="5038" width="8.875" style="3038" bestFit="1" customWidth="1"/>
    <col min="5039" max="5039" width="7.875" style="3038"/>
    <col min="5040" max="5040" width="9.875" style="3038" bestFit="1" customWidth="1"/>
    <col min="5041" max="5041" width="8.875" style="3038" bestFit="1" customWidth="1"/>
    <col min="5042" max="5042" width="7.875" style="3038"/>
    <col min="5043" max="5043" width="9.875" style="3038" bestFit="1" customWidth="1"/>
    <col min="5044" max="5044" width="8.875" style="3038" bestFit="1" customWidth="1"/>
    <col min="5045" max="5045" width="7.875" style="3038"/>
    <col min="5046" max="5046" width="9.875" style="3038" bestFit="1" customWidth="1"/>
    <col min="5047" max="5047" width="8.875" style="3038" bestFit="1" customWidth="1"/>
    <col min="5048" max="5048" width="7.875" style="3038"/>
    <col min="5049" max="5049" width="9.875" style="3038" bestFit="1" customWidth="1"/>
    <col min="5050" max="5050" width="11.125" style="3038" bestFit="1" customWidth="1"/>
    <col min="5051" max="5051" width="9.125" style="3038" bestFit="1" customWidth="1"/>
    <col min="5052" max="5052" width="9.875" style="3038" bestFit="1" customWidth="1"/>
    <col min="5053" max="5053" width="11.125" style="3038" bestFit="1" customWidth="1"/>
    <col min="5054" max="5054" width="7.875" style="3038"/>
    <col min="5055" max="5055" width="9.25" style="3038" customWidth="1"/>
    <col min="5056" max="5120" width="7.875" style="3038"/>
    <col min="5121" max="5121" width="3.875" style="3038" customWidth="1"/>
    <col min="5122" max="5122" width="10.375" style="3038" customWidth="1"/>
    <col min="5123" max="5123" width="11.375" style="3038" bestFit="1" customWidth="1"/>
    <col min="5124" max="5124" width="10.5" style="3038" customWidth="1"/>
    <col min="5125" max="5125" width="11.625" style="3038" customWidth="1"/>
    <col min="5126" max="5126" width="9.875" style="3038" customWidth="1"/>
    <col min="5127" max="5127" width="11.875" style="3038" customWidth="1"/>
    <col min="5128" max="5128" width="12.75" style="3038" customWidth="1"/>
    <col min="5129" max="5129" width="11" style="3038" customWidth="1"/>
    <col min="5130" max="5130" width="12.75" style="3038" customWidth="1"/>
    <col min="5131" max="5131" width="14" style="3038" customWidth="1"/>
    <col min="5132" max="5132" width="9.375" style="3038" customWidth="1"/>
    <col min="5133" max="5133" width="10.875" style="3038" customWidth="1"/>
    <col min="5134" max="5134" width="12.25" style="3038" customWidth="1"/>
    <col min="5135" max="5135" width="10.375" style="3038" customWidth="1"/>
    <col min="5136" max="5136" width="8.5" style="3038" customWidth="1"/>
    <col min="5137" max="5137" width="12" style="3038" customWidth="1"/>
    <col min="5138" max="5138" width="10.875" style="3038" bestFit="1" customWidth="1"/>
    <col min="5139" max="5139" width="10.5" style="3038" bestFit="1" customWidth="1"/>
    <col min="5140" max="5140" width="10.875" style="3038" bestFit="1" customWidth="1"/>
    <col min="5141" max="5142" width="11" style="3038" customWidth="1"/>
    <col min="5143" max="5143" width="9.375" style="3038" customWidth="1"/>
    <col min="5144" max="5144" width="7.125" style="3038" customWidth="1"/>
    <col min="5145" max="5146" width="11.75" style="3038" customWidth="1"/>
    <col min="5147" max="5147" width="13" style="3038" customWidth="1"/>
    <col min="5148" max="5148" width="10.75" style="3038" customWidth="1"/>
    <col min="5149" max="5150" width="7.375" style="3038" customWidth="1"/>
    <col min="5151" max="5151" width="10.25" style="3038" customWidth="1"/>
    <col min="5152" max="5161" width="8.625" style="3038" customWidth="1"/>
    <col min="5162" max="5163" width="14.125" style="3038" bestFit="1" customWidth="1"/>
    <col min="5164" max="5165" width="10.25" style="3038" customWidth="1"/>
    <col min="5166" max="5166" width="10.125" style="3038" customWidth="1"/>
    <col min="5167" max="5167" width="8.875" style="3038" customWidth="1"/>
    <col min="5168" max="5168" width="9.375" style="3038" customWidth="1"/>
    <col min="5169" max="5169" width="13.25" style="3038" customWidth="1"/>
    <col min="5170" max="5170" width="13" style="3038" customWidth="1"/>
    <col min="5171" max="5171" width="10.875" style="3038" customWidth="1"/>
    <col min="5172" max="5172" width="9.375" style="3038" customWidth="1"/>
    <col min="5173" max="5173" width="10.875" style="3038" customWidth="1"/>
    <col min="5174" max="5174" width="10.5" style="3038" customWidth="1"/>
    <col min="5175" max="5175" width="8.125" style="3038" customWidth="1"/>
    <col min="5176" max="5176" width="8.625" style="3038" customWidth="1"/>
    <col min="5177" max="5177" width="10.75" style="3038" customWidth="1"/>
    <col min="5178" max="5178" width="9.625" style="3038" customWidth="1"/>
    <col min="5179" max="5179" width="9.5" style="3038" customWidth="1"/>
    <col min="5180" max="5180" width="11" style="3038" customWidth="1"/>
    <col min="5181" max="5181" width="9.25" style="3038" customWidth="1"/>
    <col min="5182" max="5183" width="11" style="3038" customWidth="1"/>
    <col min="5184" max="5184" width="9.625" style="3038" customWidth="1"/>
    <col min="5185" max="5187" width="10.75" style="3038" bestFit="1" customWidth="1"/>
    <col min="5188" max="5188" width="10.25" style="3038" bestFit="1" customWidth="1"/>
    <col min="5189" max="5189" width="10.75" style="3038" bestFit="1" customWidth="1"/>
    <col min="5190" max="5190" width="10.25" style="3038" bestFit="1" customWidth="1"/>
    <col min="5191" max="5191" width="10.75" style="3038" bestFit="1" customWidth="1"/>
    <col min="5192" max="5192" width="10.25" style="3038" bestFit="1" customWidth="1"/>
    <col min="5193" max="5193" width="10.75" style="3038" bestFit="1" customWidth="1"/>
    <col min="5194" max="5194" width="10.25" style="3038" bestFit="1" customWidth="1"/>
    <col min="5195" max="5195" width="10.75" style="3038" bestFit="1" customWidth="1"/>
    <col min="5196" max="5196" width="10.25" style="3038" bestFit="1" customWidth="1"/>
    <col min="5197" max="5197" width="10.375" style="3038" customWidth="1"/>
    <col min="5198" max="5198" width="10.25" style="3038" customWidth="1"/>
    <col min="5199" max="5199" width="10.375" style="3038" customWidth="1"/>
    <col min="5200" max="5201" width="10.5" style="3038" customWidth="1"/>
    <col min="5202" max="5202" width="11.125" style="3038" customWidth="1"/>
    <col min="5203" max="5203" width="9.875" style="3038" customWidth="1"/>
    <col min="5204" max="5204" width="10.25" style="3038" customWidth="1"/>
    <col min="5205" max="5205" width="9.875" style="3038" customWidth="1"/>
    <col min="5206" max="5206" width="10" style="3038" customWidth="1"/>
    <col min="5207" max="5207" width="9.75" style="3038" customWidth="1"/>
    <col min="5208" max="5232" width="9.625" style="3038" customWidth="1"/>
    <col min="5233" max="5233" width="13.625" style="3038" bestFit="1" customWidth="1"/>
    <col min="5234" max="5234" width="12.375" style="3038" bestFit="1" customWidth="1"/>
    <col min="5235" max="5235" width="9.875" style="3038" bestFit="1" customWidth="1"/>
    <col min="5236" max="5236" width="10.375" style="3038" customWidth="1"/>
    <col min="5237" max="5237" width="9.25" style="3038" customWidth="1"/>
    <col min="5238" max="5238" width="12.625" style="3038" customWidth="1"/>
    <col min="5239" max="5239" width="9.875" style="3038" bestFit="1" customWidth="1"/>
    <col min="5240" max="5240" width="9.125" style="3038" bestFit="1" customWidth="1"/>
    <col min="5241" max="5242" width="9.875" style="3038" bestFit="1" customWidth="1"/>
    <col min="5243" max="5243" width="9.125" style="3038" bestFit="1" customWidth="1"/>
    <col min="5244" max="5245" width="9.875" style="3038" bestFit="1" customWidth="1"/>
    <col min="5246" max="5246" width="11.125" style="3038" bestFit="1" customWidth="1"/>
    <col min="5247" max="5248" width="9.875" style="3038" bestFit="1" customWidth="1"/>
    <col min="5249" max="5249" width="11.125" style="3038" bestFit="1" customWidth="1"/>
    <col min="5250" max="5251" width="9.875" style="3038" bestFit="1" customWidth="1"/>
    <col min="5252" max="5252" width="11.125" style="3038" bestFit="1" customWidth="1"/>
    <col min="5253" max="5253" width="9.125" style="3038" bestFit="1" customWidth="1"/>
    <col min="5254" max="5254" width="9.875" style="3038" bestFit="1" customWidth="1"/>
    <col min="5255" max="5255" width="11.125" style="3038" bestFit="1" customWidth="1"/>
    <col min="5256" max="5256" width="9.125" style="3038" bestFit="1" customWidth="1"/>
    <col min="5257" max="5257" width="9.875" style="3038" bestFit="1" customWidth="1"/>
    <col min="5258" max="5258" width="11.125" style="3038" bestFit="1" customWidth="1"/>
    <col min="5259" max="5259" width="9.125" style="3038" bestFit="1" customWidth="1"/>
    <col min="5260" max="5260" width="9.875" style="3038" bestFit="1" customWidth="1"/>
    <col min="5261" max="5261" width="11.125" style="3038" bestFit="1" customWidth="1"/>
    <col min="5262" max="5262" width="9.125" style="3038" bestFit="1" customWidth="1"/>
    <col min="5263" max="5263" width="9.875" style="3038" bestFit="1" customWidth="1"/>
    <col min="5264" max="5264" width="11.125" style="3038" bestFit="1" customWidth="1"/>
    <col min="5265" max="5265" width="9.125" style="3038" bestFit="1" customWidth="1"/>
    <col min="5266" max="5266" width="9.875" style="3038" bestFit="1" customWidth="1"/>
    <col min="5267" max="5267" width="11.125" style="3038" bestFit="1" customWidth="1"/>
    <col min="5268" max="5268" width="9.125" style="3038" bestFit="1" customWidth="1"/>
    <col min="5269" max="5269" width="9.875" style="3038" bestFit="1" customWidth="1"/>
    <col min="5270" max="5270" width="11.125" style="3038" bestFit="1" customWidth="1"/>
    <col min="5271" max="5271" width="9.125" style="3038" bestFit="1" customWidth="1"/>
    <col min="5272" max="5272" width="9.875" style="3038" bestFit="1" customWidth="1"/>
    <col min="5273" max="5273" width="11.125" style="3038" bestFit="1" customWidth="1"/>
    <col min="5274" max="5274" width="9.125" style="3038" bestFit="1" customWidth="1"/>
    <col min="5275" max="5275" width="9.875" style="3038" bestFit="1" customWidth="1"/>
    <col min="5276" max="5276" width="11.125" style="3038" bestFit="1" customWidth="1"/>
    <col min="5277" max="5277" width="7.875" style="3038" customWidth="1"/>
    <col min="5278" max="5279" width="9.875" style="3038" bestFit="1" customWidth="1"/>
    <col min="5280" max="5280" width="7.875" style="3038"/>
    <col min="5281" max="5282" width="9.875" style="3038" bestFit="1" customWidth="1"/>
    <col min="5283" max="5283" width="7.875" style="3038"/>
    <col min="5284" max="5285" width="9.875" style="3038" bestFit="1" customWidth="1"/>
    <col min="5286" max="5286" width="7.875" style="3038"/>
    <col min="5287" max="5288" width="9.875" style="3038" bestFit="1" customWidth="1"/>
    <col min="5289" max="5289" width="7.875" style="3038"/>
    <col min="5290" max="5290" width="9.875" style="3038" bestFit="1" customWidth="1"/>
    <col min="5291" max="5291" width="8.875" style="3038" bestFit="1" customWidth="1"/>
    <col min="5292" max="5292" width="7.875" style="3038"/>
    <col min="5293" max="5293" width="9.875" style="3038" bestFit="1" customWidth="1"/>
    <col min="5294" max="5294" width="8.875" style="3038" bestFit="1" customWidth="1"/>
    <col min="5295" max="5295" width="7.875" style="3038"/>
    <col min="5296" max="5296" width="9.875" style="3038" bestFit="1" customWidth="1"/>
    <col min="5297" max="5297" width="8.875" style="3038" bestFit="1" customWidth="1"/>
    <col min="5298" max="5298" width="7.875" style="3038"/>
    <col min="5299" max="5299" width="9.875" style="3038" bestFit="1" customWidth="1"/>
    <col min="5300" max="5300" width="8.875" style="3038" bestFit="1" customWidth="1"/>
    <col min="5301" max="5301" width="7.875" style="3038"/>
    <col min="5302" max="5302" width="9.875" style="3038" bestFit="1" customWidth="1"/>
    <col min="5303" max="5303" width="8.875" style="3038" bestFit="1" customWidth="1"/>
    <col min="5304" max="5304" width="7.875" style="3038"/>
    <col min="5305" max="5305" width="9.875" style="3038" bestFit="1" customWidth="1"/>
    <col min="5306" max="5306" width="11.125" style="3038" bestFit="1" customWidth="1"/>
    <col min="5307" max="5307" width="9.125" style="3038" bestFit="1" customWidth="1"/>
    <col min="5308" max="5308" width="9.875" style="3038" bestFit="1" customWidth="1"/>
    <col min="5309" max="5309" width="11.125" style="3038" bestFit="1" customWidth="1"/>
    <col min="5310" max="5310" width="7.875" style="3038"/>
    <col min="5311" max="5311" width="9.25" style="3038" customWidth="1"/>
    <col min="5312" max="5376" width="7.875" style="3038"/>
    <col min="5377" max="5377" width="3.875" style="3038" customWidth="1"/>
    <col min="5378" max="5378" width="10.375" style="3038" customWidth="1"/>
    <col min="5379" max="5379" width="11.375" style="3038" bestFit="1" customWidth="1"/>
    <col min="5380" max="5380" width="10.5" style="3038" customWidth="1"/>
    <col min="5381" max="5381" width="11.625" style="3038" customWidth="1"/>
    <col min="5382" max="5382" width="9.875" style="3038" customWidth="1"/>
    <col min="5383" max="5383" width="11.875" style="3038" customWidth="1"/>
    <col min="5384" max="5384" width="12.75" style="3038" customWidth="1"/>
    <col min="5385" max="5385" width="11" style="3038" customWidth="1"/>
    <col min="5386" max="5386" width="12.75" style="3038" customWidth="1"/>
    <col min="5387" max="5387" width="14" style="3038" customWidth="1"/>
    <col min="5388" max="5388" width="9.375" style="3038" customWidth="1"/>
    <col min="5389" max="5389" width="10.875" style="3038" customWidth="1"/>
    <col min="5390" max="5390" width="12.25" style="3038" customWidth="1"/>
    <col min="5391" max="5391" width="10.375" style="3038" customWidth="1"/>
    <col min="5392" max="5392" width="8.5" style="3038" customWidth="1"/>
    <col min="5393" max="5393" width="12" style="3038" customWidth="1"/>
    <col min="5394" max="5394" width="10.875" style="3038" bestFit="1" customWidth="1"/>
    <col min="5395" max="5395" width="10.5" style="3038" bestFit="1" customWidth="1"/>
    <col min="5396" max="5396" width="10.875" style="3038" bestFit="1" customWidth="1"/>
    <col min="5397" max="5398" width="11" style="3038" customWidth="1"/>
    <col min="5399" max="5399" width="9.375" style="3038" customWidth="1"/>
    <col min="5400" max="5400" width="7.125" style="3038" customWidth="1"/>
    <col min="5401" max="5402" width="11.75" style="3038" customWidth="1"/>
    <col min="5403" max="5403" width="13" style="3038" customWidth="1"/>
    <col min="5404" max="5404" width="10.75" style="3038" customWidth="1"/>
    <col min="5405" max="5406" width="7.375" style="3038" customWidth="1"/>
    <col min="5407" max="5407" width="10.25" style="3038" customWidth="1"/>
    <col min="5408" max="5417" width="8.625" style="3038" customWidth="1"/>
    <col min="5418" max="5419" width="14.125" style="3038" bestFit="1" customWidth="1"/>
    <col min="5420" max="5421" width="10.25" style="3038" customWidth="1"/>
    <col min="5422" max="5422" width="10.125" style="3038" customWidth="1"/>
    <col min="5423" max="5423" width="8.875" style="3038" customWidth="1"/>
    <col min="5424" max="5424" width="9.375" style="3038" customWidth="1"/>
    <col min="5425" max="5425" width="13.25" style="3038" customWidth="1"/>
    <col min="5426" max="5426" width="13" style="3038" customWidth="1"/>
    <col min="5427" max="5427" width="10.875" style="3038" customWidth="1"/>
    <col min="5428" max="5428" width="9.375" style="3038" customWidth="1"/>
    <col min="5429" max="5429" width="10.875" style="3038" customWidth="1"/>
    <col min="5430" max="5430" width="10.5" style="3038" customWidth="1"/>
    <col min="5431" max="5431" width="8.125" style="3038" customWidth="1"/>
    <col min="5432" max="5432" width="8.625" style="3038" customWidth="1"/>
    <col min="5433" max="5433" width="10.75" style="3038" customWidth="1"/>
    <col min="5434" max="5434" width="9.625" style="3038" customWidth="1"/>
    <col min="5435" max="5435" width="9.5" style="3038" customWidth="1"/>
    <col min="5436" max="5436" width="11" style="3038" customWidth="1"/>
    <col min="5437" max="5437" width="9.25" style="3038" customWidth="1"/>
    <col min="5438" max="5439" width="11" style="3038" customWidth="1"/>
    <col min="5440" max="5440" width="9.625" style="3038" customWidth="1"/>
    <col min="5441" max="5443" width="10.75" style="3038" bestFit="1" customWidth="1"/>
    <col min="5444" max="5444" width="10.25" style="3038" bestFit="1" customWidth="1"/>
    <col min="5445" max="5445" width="10.75" style="3038" bestFit="1" customWidth="1"/>
    <col min="5446" max="5446" width="10.25" style="3038" bestFit="1" customWidth="1"/>
    <col min="5447" max="5447" width="10.75" style="3038" bestFit="1" customWidth="1"/>
    <col min="5448" max="5448" width="10.25" style="3038" bestFit="1" customWidth="1"/>
    <col min="5449" max="5449" width="10.75" style="3038" bestFit="1" customWidth="1"/>
    <col min="5450" max="5450" width="10.25" style="3038" bestFit="1" customWidth="1"/>
    <col min="5451" max="5451" width="10.75" style="3038" bestFit="1" customWidth="1"/>
    <col min="5452" max="5452" width="10.25" style="3038" bestFit="1" customWidth="1"/>
    <col min="5453" max="5453" width="10.375" style="3038" customWidth="1"/>
    <col min="5454" max="5454" width="10.25" style="3038" customWidth="1"/>
    <col min="5455" max="5455" width="10.375" style="3038" customWidth="1"/>
    <col min="5456" max="5457" width="10.5" style="3038" customWidth="1"/>
    <col min="5458" max="5458" width="11.125" style="3038" customWidth="1"/>
    <col min="5459" max="5459" width="9.875" style="3038" customWidth="1"/>
    <col min="5460" max="5460" width="10.25" style="3038" customWidth="1"/>
    <col min="5461" max="5461" width="9.875" style="3038" customWidth="1"/>
    <col min="5462" max="5462" width="10" style="3038" customWidth="1"/>
    <col min="5463" max="5463" width="9.75" style="3038" customWidth="1"/>
    <col min="5464" max="5488" width="9.625" style="3038" customWidth="1"/>
    <col min="5489" max="5489" width="13.625" style="3038" bestFit="1" customWidth="1"/>
    <col min="5490" max="5490" width="12.375" style="3038" bestFit="1" customWidth="1"/>
    <col min="5491" max="5491" width="9.875" style="3038" bestFit="1" customWidth="1"/>
    <col min="5492" max="5492" width="10.375" style="3038" customWidth="1"/>
    <col min="5493" max="5493" width="9.25" style="3038" customWidth="1"/>
    <col min="5494" max="5494" width="12.625" style="3038" customWidth="1"/>
    <col min="5495" max="5495" width="9.875" style="3038" bestFit="1" customWidth="1"/>
    <col min="5496" max="5496" width="9.125" style="3038" bestFit="1" customWidth="1"/>
    <col min="5497" max="5498" width="9.875" style="3038" bestFit="1" customWidth="1"/>
    <col min="5499" max="5499" width="9.125" style="3038" bestFit="1" customWidth="1"/>
    <col min="5500" max="5501" width="9.875" style="3038" bestFit="1" customWidth="1"/>
    <col min="5502" max="5502" width="11.125" style="3038" bestFit="1" customWidth="1"/>
    <col min="5503" max="5504" width="9.875" style="3038" bestFit="1" customWidth="1"/>
    <col min="5505" max="5505" width="11.125" style="3038" bestFit="1" customWidth="1"/>
    <col min="5506" max="5507" width="9.875" style="3038" bestFit="1" customWidth="1"/>
    <col min="5508" max="5508" width="11.125" style="3038" bestFit="1" customWidth="1"/>
    <col min="5509" max="5509" width="9.125" style="3038" bestFit="1" customWidth="1"/>
    <col min="5510" max="5510" width="9.875" style="3038" bestFit="1" customWidth="1"/>
    <col min="5511" max="5511" width="11.125" style="3038" bestFit="1" customWidth="1"/>
    <col min="5512" max="5512" width="9.125" style="3038" bestFit="1" customWidth="1"/>
    <col min="5513" max="5513" width="9.875" style="3038" bestFit="1" customWidth="1"/>
    <col min="5514" max="5514" width="11.125" style="3038" bestFit="1" customWidth="1"/>
    <col min="5515" max="5515" width="9.125" style="3038" bestFit="1" customWidth="1"/>
    <col min="5516" max="5516" width="9.875" style="3038" bestFit="1" customWidth="1"/>
    <col min="5517" max="5517" width="11.125" style="3038" bestFit="1" customWidth="1"/>
    <col min="5518" max="5518" width="9.125" style="3038" bestFit="1" customWidth="1"/>
    <col min="5519" max="5519" width="9.875" style="3038" bestFit="1" customWidth="1"/>
    <col min="5520" max="5520" width="11.125" style="3038" bestFit="1" customWidth="1"/>
    <col min="5521" max="5521" width="9.125" style="3038" bestFit="1" customWidth="1"/>
    <col min="5522" max="5522" width="9.875" style="3038" bestFit="1" customWidth="1"/>
    <col min="5523" max="5523" width="11.125" style="3038" bestFit="1" customWidth="1"/>
    <col min="5524" max="5524" width="9.125" style="3038" bestFit="1" customWidth="1"/>
    <col min="5525" max="5525" width="9.875" style="3038" bestFit="1" customWidth="1"/>
    <col min="5526" max="5526" width="11.125" style="3038" bestFit="1" customWidth="1"/>
    <col min="5527" max="5527" width="9.125" style="3038" bestFit="1" customWidth="1"/>
    <col min="5528" max="5528" width="9.875" style="3038" bestFit="1" customWidth="1"/>
    <col min="5529" max="5529" width="11.125" style="3038" bestFit="1" customWidth="1"/>
    <col min="5530" max="5530" width="9.125" style="3038" bestFit="1" customWidth="1"/>
    <col min="5531" max="5531" width="9.875" style="3038" bestFit="1" customWidth="1"/>
    <col min="5532" max="5532" width="11.125" style="3038" bestFit="1" customWidth="1"/>
    <col min="5533" max="5533" width="7.875" style="3038" customWidth="1"/>
    <col min="5534" max="5535" width="9.875" style="3038" bestFit="1" customWidth="1"/>
    <col min="5536" max="5536" width="7.875" style="3038"/>
    <col min="5537" max="5538" width="9.875" style="3038" bestFit="1" customWidth="1"/>
    <col min="5539" max="5539" width="7.875" style="3038"/>
    <col min="5540" max="5541" width="9.875" style="3038" bestFit="1" customWidth="1"/>
    <col min="5542" max="5542" width="7.875" style="3038"/>
    <col min="5543" max="5544" width="9.875" style="3038" bestFit="1" customWidth="1"/>
    <col min="5545" max="5545" width="7.875" style="3038"/>
    <col min="5546" max="5546" width="9.875" style="3038" bestFit="1" customWidth="1"/>
    <col min="5547" max="5547" width="8.875" style="3038" bestFit="1" customWidth="1"/>
    <col min="5548" max="5548" width="7.875" style="3038"/>
    <col min="5549" max="5549" width="9.875" style="3038" bestFit="1" customWidth="1"/>
    <col min="5550" max="5550" width="8.875" style="3038" bestFit="1" customWidth="1"/>
    <col min="5551" max="5551" width="7.875" style="3038"/>
    <col min="5552" max="5552" width="9.875" style="3038" bestFit="1" customWidth="1"/>
    <col min="5553" max="5553" width="8.875" style="3038" bestFit="1" customWidth="1"/>
    <col min="5554" max="5554" width="7.875" style="3038"/>
    <col min="5555" max="5555" width="9.875" style="3038" bestFit="1" customWidth="1"/>
    <col min="5556" max="5556" width="8.875" style="3038" bestFit="1" customWidth="1"/>
    <col min="5557" max="5557" width="7.875" style="3038"/>
    <col min="5558" max="5558" width="9.875" style="3038" bestFit="1" customWidth="1"/>
    <col min="5559" max="5559" width="8.875" style="3038" bestFit="1" customWidth="1"/>
    <col min="5560" max="5560" width="7.875" style="3038"/>
    <col min="5561" max="5561" width="9.875" style="3038" bestFit="1" customWidth="1"/>
    <col min="5562" max="5562" width="11.125" style="3038" bestFit="1" customWidth="1"/>
    <col min="5563" max="5563" width="9.125" style="3038" bestFit="1" customWidth="1"/>
    <col min="5564" max="5564" width="9.875" style="3038" bestFit="1" customWidth="1"/>
    <col min="5565" max="5565" width="11.125" style="3038" bestFit="1" customWidth="1"/>
    <col min="5566" max="5566" width="7.875" style="3038"/>
    <col min="5567" max="5567" width="9.25" style="3038" customWidth="1"/>
    <col min="5568" max="5632" width="7.875" style="3038"/>
    <col min="5633" max="5633" width="3.875" style="3038" customWidth="1"/>
    <col min="5634" max="5634" width="10.375" style="3038" customWidth="1"/>
    <col min="5635" max="5635" width="11.375" style="3038" bestFit="1" customWidth="1"/>
    <col min="5636" max="5636" width="10.5" style="3038" customWidth="1"/>
    <col min="5637" max="5637" width="11.625" style="3038" customWidth="1"/>
    <col min="5638" max="5638" width="9.875" style="3038" customWidth="1"/>
    <col min="5639" max="5639" width="11.875" style="3038" customWidth="1"/>
    <col min="5640" max="5640" width="12.75" style="3038" customWidth="1"/>
    <col min="5641" max="5641" width="11" style="3038" customWidth="1"/>
    <col min="5642" max="5642" width="12.75" style="3038" customWidth="1"/>
    <col min="5643" max="5643" width="14" style="3038" customWidth="1"/>
    <col min="5644" max="5644" width="9.375" style="3038" customWidth="1"/>
    <col min="5645" max="5645" width="10.875" style="3038" customWidth="1"/>
    <col min="5646" max="5646" width="12.25" style="3038" customWidth="1"/>
    <col min="5647" max="5647" width="10.375" style="3038" customWidth="1"/>
    <col min="5648" max="5648" width="8.5" style="3038" customWidth="1"/>
    <col min="5649" max="5649" width="12" style="3038" customWidth="1"/>
    <col min="5650" max="5650" width="10.875" style="3038" bestFit="1" customWidth="1"/>
    <col min="5651" max="5651" width="10.5" style="3038" bestFit="1" customWidth="1"/>
    <col min="5652" max="5652" width="10.875" style="3038" bestFit="1" customWidth="1"/>
    <col min="5653" max="5654" width="11" style="3038" customWidth="1"/>
    <col min="5655" max="5655" width="9.375" style="3038" customWidth="1"/>
    <col min="5656" max="5656" width="7.125" style="3038" customWidth="1"/>
    <col min="5657" max="5658" width="11.75" style="3038" customWidth="1"/>
    <col min="5659" max="5659" width="13" style="3038" customWidth="1"/>
    <col min="5660" max="5660" width="10.75" style="3038" customWidth="1"/>
    <col min="5661" max="5662" width="7.375" style="3038" customWidth="1"/>
    <col min="5663" max="5663" width="10.25" style="3038" customWidth="1"/>
    <col min="5664" max="5673" width="8.625" style="3038" customWidth="1"/>
    <col min="5674" max="5675" width="14.125" style="3038" bestFit="1" customWidth="1"/>
    <col min="5676" max="5677" width="10.25" style="3038" customWidth="1"/>
    <col min="5678" max="5678" width="10.125" style="3038" customWidth="1"/>
    <col min="5679" max="5679" width="8.875" style="3038" customWidth="1"/>
    <col min="5680" max="5680" width="9.375" style="3038" customWidth="1"/>
    <col min="5681" max="5681" width="13.25" style="3038" customWidth="1"/>
    <col min="5682" max="5682" width="13" style="3038" customWidth="1"/>
    <col min="5683" max="5683" width="10.875" style="3038" customWidth="1"/>
    <col min="5684" max="5684" width="9.375" style="3038" customWidth="1"/>
    <col min="5685" max="5685" width="10.875" style="3038" customWidth="1"/>
    <col min="5686" max="5686" width="10.5" style="3038" customWidth="1"/>
    <col min="5687" max="5687" width="8.125" style="3038" customWidth="1"/>
    <col min="5688" max="5688" width="8.625" style="3038" customWidth="1"/>
    <col min="5689" max="5689" width="10.75" style="3038" customWidth="1"/>
    <col min="5690" max="5690" width="9.625" style="3038" customWidth="1"/>
    <col min="5691" max="5691" width="9.5" style="3038" customWidth="1"/>
    <col min="5692" max="5692" width="11" style="3038" customWidth="1"/>
    <col min="5693" max="5693" width="9.25" style="3038" customWidth="1"/>
    <col min="5694" max="5695" width="11" style="3038" customWidth="1"/>
    <col min="5696" max="5696" width="9.625" style="3038" customWidth="1"/>
    <col min="5697" max="5699" width="10.75" style="3038" bestFit="1" customWidth="1"/>
    <col min="5700" max="5700" width="10.25" style="3038" bestFit="1" customWidth="1"/>
    <col min="5701" max="5701" width="10.75" style="3038" bestFit="1" customWidth="1"/>
    <col min="5702" max="5702" width="10.25" style="3038" bestFit="1" customWidth="1"/>
    <col min="5703" max="5703" width="10.75" style="3038" bestFit="1" customWidth="1"/>
    <col min="5704" max="5704" width="10.25" style="3038" bestFit="1" customWidth="1"/>
    <col min="5705" max="5705" width="10.75" style="3038" bestFit="1" customWidth="1"/>
    <col min="5706" max="5706" width="10.25" style="3038" bestFit="1" customWidth="1"/>
    <col min="5707" max="5707" width="10.75" style="3038" bestFit="1" customWidth="1"/>
    <col min="5708" max="5708" width="10.25" style="3038" bestFit="1" customWidth="1"/>
    <col min="5709" max="5709" width="10.375" style="3038" customWidth="1"/>
    <col min="5710" max="5710" width="10.25" style="3038" customWidth="1"/>
    <col min="5711" max="5711" width="10.375" style="3038" customWidth="1"/>
    <col min="5712" max="5713" width="10.5" style="3038" customWidth="1"/>
    <col min="5714" max="5714" width="11.125" style="3038" customWidth="1"/>
    <col min="5715" max="5715" width="9.875" style="3038" customWidth="1"/>
    <col min="5716" max="5716" width="10.25" style="3038" customWidth="1"/>
    <col min="5717" max="5717" width="9.875" style="3038" customWidth="1"/>
    <col min="5718" max="5718" width="10" style="3038" customWidth="1"/>
    <col min="5719" max="5719" width="9.75" style="3038" customWidth="1"/>
    <col min="5720" max="5744" width="9.625" style="3038" customWidth="1"/>
    <col min="5745" max="5745" width="13.625" style="3038" bestFit="1" customWidth="1"/>
    <col min="5746" max="5746" width="12.375" style="3038" bestFit="1" customWidth="1"/>
    <col min="5747" max="5747" width="9.875" style="3038" bestFit="1" customWidth="1"/>
    <col min="5748" max="5748" width="10.375" style="3038" customWidth="1"/>
    <col min="5749" max="5749" width="9.25" style="3038" customWidth="1"/>
    <col min="5750" max="5750" width="12.625" style="3038" customWidth="1"/>
    <col min="5751" max="5751" width="9.875" style="3038" bestFit="1" customWidth="1"/>
    <col min="5752" max="5752" width="9.125" style="3038" bestFit="1" customWidth="1"/>
    <col min="5753" max="5754" width="9.875" style="3038" bestFit="1" customWidth="1"/>
    <col min="5755" max="5755" width="9.125" style="3038" bestFit="1" customWidth="1"/>
    <col min="5756" max="5757" width="9.875" style="3038" bestFit="1" customWidth="1"/>
    <col min="5758" max="5758" width="11.125" style="3038" bestFit="1" customWidth="1"/>
    <col min="5759" max="5760" width="9.875" style="3038" bestFit="1" customWidth="1"/>
    <col min="5761" max="5761" width="11.125" style="3038" bestFit="1" customWidth="1"/>
    <col min="5762" max="5763" width="9.875" style="3038" bestFit="1" customWidth="1"/>
    <col min="5764" max="5764" width="11.125" style="3038" bestFit="1" customWidth="1"/>
    <col min="5765" max="5765" width="9.125" style="3038" bestFit="1" customWidth="1"/>
    <col min="5766" max="5766" width="9.875" style="3038" bestFit="1" customWidth="1"/>
    <col min="5767" max="5767" width="11.125" style="3038" bestFit="1" customWidth="1"/>
    <col min="5768" max="5768" width="9.125" style="3038" bestFit="1" customWidth="1"/>
    <col min="5769" max="5769" width="9.875" style="3038" bestFit="1" customWidth="1"/>
    <col min="5770" max="5770" width="11.125" style="3038" bestFit="1" customWidth="1"/>
    <col min="5771" max="5771" width="9.125" style="3038" bestFit="1" customWidth="1"/>
    <col min="5772" max="5772" width="9.875" style="3038" bestFit="1" customWidth="1"/>
    <col min="5773" max="5773" width="11.125" style="3038" bestFit="1" customWidth="1"/>
    <col min="5774" max="5774" width="9.125" style="3038" bestFit="1" customWidth="1"/>
    <col min="5775" max="5775" width="9.875" style="3038" bestFit="1" customWidth="1"/>
    <col min="5776" max="5776" width="11.125" style="3038" bestFit="1" customWidth="1"/>
    <col min="5777" max="5777" width="9.125" style="3038" bestFit="1" customWidth="1"/>
    <col min="5778" max="5778" width="9.875" style="3038" bestFit="1" customWidth="1"/>
    <col min="5779" max="5779" width="11.125" style="3038" bestFit="1" customWidth="1"/>
    <col min="5780" max="5780" width="9.125" style="3038" bestFit="1" customWidth="1"/>
    <col min="5781" max="5781" width="9.875" style="3038" bestFit="1" customWidth="1"/>
    <col min="5782" max="5782" width="11.125" style="3038" bestFit="1" customWidth="1"/>
    <col min="5783" max="5783" width="9.125" style="3038" bestFit="1" customWidth="1"/>
    <col min="5784" max="5784" width="9.875" style="3038" bestFit="1" customWidth="1"/>
    <col min="5785" max="5785" width="11.125" style="3038" bestFit="1" customWidth="1"/>
    <col min="5786" max="5786" width="9.125" style="3038" bestFit="1" customWidth="1"/>
    <col min="5787" max="5787" width="9.875" style="3038" bestFit="1" customWidth="1"/>
    <col min="5788" max="5788" width="11.125" style="3038" bestFit="1" customWidth="1"/>
    <col min="5789" max="5789" width="7.875" style="3038" customWidth="1"/>
    <col min="5790" max="5791" width="9.875" style="3038" bestFit="1" customWidth="1"/>
    <col min="5792" max="5792" width="7.875" style="3038"/>
    <col min="5793" max="5794" width="9.875" style="3038" bestFit="1" customWidth="1"/>
    <col min="5795" max="5795" width="7.875" style="3038"/>
    <col min="5796" max="5797" width="9.875" style="3038" bestFit="1" customWidth="1"/>
    <col min="5798" max="5798" width="7.875" style="3038"/>
    <col min="5799" max="5800" width="9.875" style="3038" bestFit="1" customWidth="1"/>
    <col min="5801" max="5801" width="7.875" style="3038"/>
    <col min="5802" max="5802" width="9.875" style="3038" bestFit="1" customWidth="1"/>
    <col min="5803" max="5803" width="8.875" style="3038" bestFit="1" customWidth="1"/>
    <col min="5804" max="5804" width="7.875" style="3038"/>
    <col min="5805" max="5805" width="9.875" style="3038" bestFit="1" customWidth="1"/>
    <col min="5806" max="5806" width="8.875" style="3038" bestFit="1" customWidth="1"/>
    <col min="5807" max="5807" width="7.875" style="3038"/>
    <col min="5808" max="5808" width="9.875" style="3038" bestFit="1" customWidth="1"/>
    <col min="5809" max="5809" width="8.875" style="3038" bestFit="1" customWidth="1"/>
    <col min="5810" max="5810" width="7.875" style="3038"/>
    <col min="5811" max="5811" width="9.875" style="3038" bestFit="1" customWidth="1"/>
    <col min="5812" max="5812" width="8.875" style="3038" bestFit="1" customWidth="1"/>
    <col min="5813" max="5813" width="7.875" style="3038"/>
    <col min="5814" max="5814" width="9.875" style="3038" bestFit="1" customWidth="1"/>
    <col min="5815" max="5815" width="8.875" style="3038" bestFit="1" customWidth="1"/>
    <col min="5816" max="5816" width="7.875" style="3038"/>
    <col min="5817" max="5817" width="9.875" style="3038" bestFit="1" customWidth="1"/>
    <col min="5818" max="5818" width="11.125" style="3038" bestFit="1" customWidth="1"/>
    <col min="5819" max="5819" width="9.125" style="3038" bestFit="1" customWidth="1"/>
    <col min="5820" max="5820" width="9.875" style="3038" bestFit="1" customWidth="1"/>
    <col min="5821" max="5821" width="11.125" style="3038" bestFit="1" customWidth="1"/>
    <col min="5822" max="5822" width="7.875" style="3038"/>
    <col min="5823" max="5823" width="9.25" style="3038" customWidth="1"/>
    <col min="5824" max="5888" width="7.875" style="3038"/>
    <col min="5889" max="5889" width="3.875" style="3038" customWidth="1"/>
    <col min="5890" max="5890" width="10.375" style="3038" customWidth="1"/>
    <col min="5891" max="5891" width="11.375" style="3038" bestFit="1" customWidth="1"/>
    <col min="5892" max="5892" width="10.5" style="3038" customWidth="1"/>
    <col min="5893" max="5893" width="11.625" style="3038" customWidth="1"/>
    <col min="5894" max="5894" width="9.875" style="3038" customWidth="1"/>
    <col min="5895" max="5895" width="11.875" style="3038" customWidth="1"/>
    <col min="5896" max="5896" width="12.75" style="3038" customWidth="1"/>
    <col min="5897" max="5897" width="11" style="3038" customWidth="1"/>
    <col min="5898" max="5898" width="12.75" style="3038" customWidth="1"/>
    <col min="5899" max="5899" width="14" style="3038" customWidth="1"/>
    <col min="5900" max="5900" width="9.375" style="3038" customWidth="1"/>
    <col min="5901" max="5901" width="10.875" style="3038" customWidth="1"/>
    <col min="5902" max="5902" width="12.25" style="3038" customWidth="1"/>
    <col min="5903" max="5903" width="10.375" style="3038" customWidth="1"/>
    <col min="5904" max="5904" width="8.5" style="3038" customWidth="1"/>
    <col min="5905" max="5905" width="12" style="3038" customWidth="1"/>
    <col min="5906" max="5906" width="10.875" style="3038" bestFit="1" customWidth="1"/>
    <col min="5907" max="5907" width="10.5" style="3038" bestFit="1" customWidth="1"/>
    <col min="5908" max="5908" width="10.875" style="3038" bestFit="1" customWidth="1"/>
    <col min="5909" max="5910" width="11" style="3038" customWidth="1"/>
    <col min="5911" max="5911" width="9.375" style="3038" customWidth="1"/>
    <col min="5912" max="5912" width="7.125" style="3038" customWidth="1"/>
    <col min="5913" max="5914" width="11.75" style="3038" customWidth="1"/>
    <col min="5915" max="5915" width="13" style="3038" customWidth="1"/>
    <col min="5916" max="5916" width="10.75" style="3038" customWidth="1"/>
    <col min="5917" max="5918" width="7.375" style="3038" customWidth="1"/>
    <col min="5919" max="5919" width="10.25" style="3038" customWidth="1"/>
    <col min="5920" max="5929" width="8.625" style="3038" customWidth="1"/>
    <col min="5930" max="5931" width="14.125" style="3038" bestFit="1" customWidth="1"/>
    <col min="5932" max="5933" width="10.25" style="3038" customWidth="1"/>
    <col min="5934" max="5934" width="10.125" style="3038" customWidth="1"/>
    <col min="5935" max="5935" width="8.875" style="3038" customWidth="1"/>
    <col min="5936" max="5936" width="9.375" style="3038" customWidth="1"/>
    <col min="5937" max="5937" width="13.25" style="3038" customWidth="1"/>
    <col min="5938" max="5938" width="13" style="3038" customWidth="1"/>
    <col min="5939" max="5939" width="10.875" style="3038" customWidth="1"/>
    <col min="5940" max="5940" width="9.375" style="3038" customWidth="1"/>
    <col min="5941" max="5941" width="10.875" style="3038" customWidth="1"/>
    <col min="5942" max="5942" width="10.5" style="3038" customWidth="1"/>
    <col min="5943" max="5943" width="8.125" style="3038" customWidth="1"/>
    <col min="5944" max="5944" width="8.625" style="3038" customWidth="1"/>
    <col min="5945" max="5945" width="10.75" style="3038" customWidth="1"/>
    <col min="5946" max="5946" width="9.625" style="3038" customWidth="1"/>
    <col min="5947" max="5947" width="9.5" style="3038" customWidth="1"/>
    <col min="5948" max="5948" width="11" style="3038" customWidth="1"/>
    <col min="5949" max="5949" width="9.25" style="3038" customWidth="1"/>
    <col min="5950" max="5951" width="11" style="3038" customWidth="1"/>
    <col min="5952" max="5952" width="9.625" style="3038" customWidth="1"/>
    <col min="5953" max="5955" width="10.75" style="3038" bestFit="1" customWidth="1"/>
    <col min="5956" max="5956" width="10.25" style="3038" bestFit="1" customWidth="1"/>
    <col min="5957" max="5957" width="10.75" style="3038" bestFit="1" customWidth="1"/>
    <col min="5958" max="5958" width="10.25" style="3038" bestFit="1" customWidth="1"/>
    <col min="5959" max="5959" width="10.75" style="3038" bestFit="1" customWidth="1"/>
    <col min="5960" max="5960" width="10.25" style="3038" bestFit="1" customWidth="1"/>
    <col min="5961" max="5961" width="10.75" style="3038" bestFit="1" customWidth="1"/>
    <col min="5962" max="5962" width="10.25" style="3038" bestFit="1" customWidth="1"/>
    <col min="5963" max="5963" width="10.75" style="3038" bestFit="1" customWidth="1"/>
    <col min="5964" max="5964" width="10.25" style="3038" bestFit="1" customWidth="1"/>
    <col min="5965" max="5965" width="10.375" style="3038" customWidth="1"/>
    <col min="5966" max="5966" width="10.25" style="3038" customWidth="1"/>
    <col min="5967" max="5967" width="10.375" style="3038" customWidth="1"/>
    <col min="5968" max="5969" width="10.5" style="3038" customWidth="1"/>
    <col min="5970" max="5970" width="11.125" style="3038" customWidth="1"/>
    <col min="5971" max="5971" width="9.875" style="3038" customWidth="1"/>
    <col min="5972" max="5972" width="10.25" style="3038" customWidth="1"/>
    <col min="5973" max="5973" width="9.875" style="3038" customWidth="1"/>
    <col min="5974" max="5974" width="10" style="3038" customWidth="1"/>
    <col min="5975" max="5975" width="9.75" style="3038" customWidth="1"/>
    <col min="5976" max="6000" width="9.625" style="3038" customWidth="1"/>
    <col min="6001" max="6001" width="13.625" style="3038" bestFit="1" customWidth="1"/>
    <col min="6002" max="6002" width="12.375" style="3038" bestFit="1" customWidth="1"/>
    <col min="6003" max="6003" width="9.875" style="3038" bestFit="1" customWidth="1"/>
    <col min="6004" max="6004" width="10.375" style="3038" customWidth="1"/>
    <col min="6005" max="6005" width="9.25" style="3038" customWidth="1"/>
    <col min="6006" max="6006" width="12.625" style="3038" customWidth="1"/>
    <col min="6007" max="6007" width="9.875" style="3038" bestFit="1" customWidth="1"/>
    <col min="6008" max="6008" width="9.125" style="3038" bestFit="1" customWidth="1"/>
    <col min="6009" max="6010" width="9.875" style="3038" bestFit="1" customWidth="1"/>
    <col min="6011" max="6011" width="9.125" style="3038" bestFit="1" customWidth="1"/>
    <col min="6012" max="6013" width="9.875" style="3038" bestFit="1" customWidth="1"/>
    <col min="6014" max="6014" width="11.125" style="3038" bestFit="1" customWidth="1"/>
    <col min="6015" max="6016" width="9.875" style="3038" bestFit="1" customWidth="1"/>
    <col min="6017" max="6017" width="11.125" style="3038" bestFit="1" customWidth="1"/>
    <col min="6018" max="6019" width="9.875" style="3038" bestFit="1" customWidth="1"/>
    <col min="6020" max="6020" width="11.125" style="3038" bestFit="1" customWidth="1"/>
    <col min="6021" max="6021" width="9.125" style="3038" bestFit="1" customWidth="1"/>
    <col min="6022" max="6022" width="9.875" style="3038" bestFit="1" customWidth="1"/>
    <col min="6023" max="6023" width="11.125" style="3038" bestFit="1" customWidth="1"/>
    <col min="6024" max="6024" width="9.125" style="3038" bestFit="1" customWidth="1"/>
    <col min="6025" max="6025" width="9.875" style="3038" bestFit="1" customWidth="1"/>
    <col min="6026" max="6026" width="11.125" style="3038" bestFit="1" customWidth="1"/>
    <col min="6027" max="6027" width="9.125" style="3038" bestFit="1" customWidth="1"/>
    <col min="6028" max="6028" width="9.875" style="3038" bestFit="1" customWidth="1"/>
    <col min="6029" max="6029" width="11.125" style="3038" bestFit="1" customWidth="1"/>
    <col min="6030" max="6030" width="9.125" style="3038" bestFit="1" customWidth="1"/>
    <col min="6031" max="6031" width="9.875" style="3038" bestFit="1" customWidth="1"/>
    <col min="6032" max="6032" width="11.125" style="3038" bestFit="1" customWidth="1"/>
    <col min="6033" max="6033" width="9.125" style="3038" bestFit="1" customWidth="1"/>
    <col min="6034" max="6034" width="9.875" style="3038" bestFit="1" customWidth="1"/>
    <col min="6035" max="6035" width="11.125" style="3038" bestFit="1" customWidth="1"/>
    <col min="6036" max="6036" width="9.125" style="3038" bestFit="1" customWidth="1"/>
    <col min="6037" max="6037" width="9.875" style="3038" bestFit="1" customWidth="1"/>
    <col min="6038" max="6038" width="11.125" style="3038" bestFit="1" customWidth="1"/>
    <col min="6039" max="6039" width="9.125" style="3038" bestFit="1" customWidth="1"/>
    <col min="6040" max="6040" width="9.875" style="3038" bestFit="1" customWidth="1"/>
    <col min="6041" max="6041" width="11.125" style="3038" bestFit="1" customWidth="1"/>
    <col min="6042" max="6042" width="9.125" style="3038" bestFit="1" customWidth="1"/>
    <col min="6043" max="6043" width="9.875" style="3038" bestFit="1" customWidth="1"/>
    <col min="6044" max="6044" width="11.125" style="3038" bestFit="1" customWidth="1"/>
    <col min="6045" max="6045" width="7.875" style="3038" customWidth="1"/>
    <col min="6046" max="6047" width="9.875" style="3038" bestFit="1" customWidth="1"/>
    <col min="6048" max="6048" width="7.875" style="3038"/>
    <col min="6049" max="6050" width="9.875" style="3038" bestFit="1" customWidth="1"/>
    <col min="6051" max="6051" width="7.875" style="3038"/>
    <col min="6052" max="6053" width="9.875" style="3038" bestFit="1" customWidth="1"/>
    <col min="6054" max="6054" width="7.875" style="3038"/>
    <col min="6055" max="6056" width="9.875" style="3038" bestFit="1" customWidth="1"/>
    <col min="6057" max="6057" width="7.875" style="3038"/>
    <col min="6058" max="6058" width="9.875" style="3038" bestFit="1" customWidth="1"/>
    <col min="6059" max="6059" width="8.875" style="3038" bestFit="1" customWidth="1"/>
    <col min="6060" max="6060" width="7.875" style="3038"/>
    <col min="6061" max="6061" width="9.875" style="3038" bestFit="1" customWidth="1"/>
    <col min="6062" max="6062" width="8.875" style="3038" bestFit="1" customWidth="1"/>
    <col min="6063" max="6063" width="7.875" style="3038"/>
    <col min="6064" max="6064" width="9.875" style="3038" bestFit="1" customWidth="1"/>
    <col min="6065" max="6065" width="8.875" style="3038" bestFit="1" customWidth="1"/>
    <col min="6066" max="6066" width="7.875" style="3038"/>
    <col min="6067" max="6067" width="9.875" style="3038" bestFit="1" customWidth="1"/>
    <col min="6068" max="6068" width="8.875" style="3038" bestFit="1" customWidth="1"/>
    <col min="6069" max="6069" width="7.875" style="3038"/>
    <col min="6070" max="6070" width="9.875" style="3038" bestFit="1" customWidth="1"/>
    <col min="6071" max="6071" width="8.875" style="3038" bestFit="1" customWidth="1"/>
    <col min="6072" max="6072" width="7.875" style="3038"/>
    <col min="6073" max="6073" width="9.875" style="3038" bestFit="1" customWidth="1"/>
    <col min="6074" max="6074" width="11.125" style="3038" bestFit="1" customWidth="1"/>
    <col min="6075" max="6075" width="9.125" style="3038" bestFit="1" customWidth="1"/>
    <col min="6076" max="6076" width="9.875" style="3038" bestFit="1" customWidth="1"/>
    <col min="6077" max="6077" width="11.125" style="3038" bestFit="1" customWidth="1"/>
    <col min="6078" max="6078" width="7.875" style="3038"/>
    <col min="6079" max="6079" width="9.25" style="3038" customWidth="1"/>
    <col min="6080" max="6144" width="7.875" style="3038"/>
    <col min="6145" max="6145" width="3.875" style="3038" customWidth="1"/>
    <col min="6146" max="6146" width="10.375" style="3038" customWidth="1"/>
    <col min="6147" max="6147" width="11.375" style="3038" bestFit="1" customWidth="1"/>
    <col min="6148" max="6148" width="10.5" style="3038" customWidth="1"/>
    <col min="6149" max="6149" width="11.625" style="3038" customWidth="1"/>
    <col min="6150" max="6150" width="9.875" style="3038" customWidth="1"/>
    <col min="6151" max="6151" width="11.875" style="3038" customWidth="1"/>
    <col min="6152" max="6152" width="12.75" style="3038" customWidth="1"/>
    <col min="6153" max="6153" width="11" style="3038" customWidth="1"/>
    <col min="6154" max="6154" width="12.75" style="3038" customWidth="1"/>
    <col min="6155" max="6155" width="14" style="3038" customWidth="1"/>
    <col min="6156" max="6156" width="9.375" style="3038" customWidth="1"/>
    <col min="6157" max="6157" width="10.875" style="3038" customWidth="1"/>
    <col min="6158" max="6158" width="12.25" style="3038" customWidth="1"/>
    <col min="6159" max="6159" width="10.375" style="3038" customWidth="1"/>
    <col min="6160" max="6160" width="8.5" style="3038" customWidth="1"/>
    <col min="6161" max="6161" width="12" style="3038" customWidth="1"/>
    <col min="6162" max="6162" width="10.875" style="3038" bestFit="1" customWidth="1"/>
    <col min="6163" max="6163" width="10.5" style="3038" bestFit="1" customWidth="1"/>
    <col min="6164" max="6164" width="10.875" style="3038" bestFit="1" customWidth="1"/>
    <col min="6165" max="6166" width="11" style="3038" customWidth="1"/>
    <col min="6167" max="6167" width="9.375" style="3038" customWidth="1"/>
    <col min="6168" max="6168" width="7.125" style="3038" customWidth="1"/>
    <col min="6169" max="6170" width="11.75" style="3038" customWidth="1"/>
    <col min="6171" max="6171" width="13" style="3038" customWidth="1"/>
    <col min="6172" max="6172" width="10.75" style="3038" customWidth="1"/>
    <col min="6173" max="6174" width="7.375" style="3038" customWidth="1"/>
    <col min="6175" max="6175" width="10.25" style="3038" customWidth="1"/>
    <col min="6176" max="6185" width="8.625" style="3038" customWidth="1"/>
    <col min="6186" max="6187" width="14.125" style="3038" bestFit="1" customWidth="1"/>
    <col min="6188" max="6189" width="10.25" style="3038" customWidth="1"/>
    <col min="6190" max="6190" width="10.125" style="3038" customWidth="1"/>
    <col min="6191" max="6191" width="8.875" style="3038" customWidth="1"/>
    <col min="6192" max="6192" width="9.375" style="3038" customWidth="1"/>
    <col min="6193" max="6193" width="13.25" style="3038" customWidth="1"/>
    <col min="6194" max="6194" width="13" style="3038" customWidth="1"/>
    <col min="6195" max="6195" width="10.875" style="3038" customWidth="1"/>
    <col min="6196" max="6196" width="9.375" style="3038" customWidth="1"/>
    <col min="6197" max="6197" width="10.875" style="3038" customWidth="1"/>
    <col min="6198" max="6198" width="10.5" style="3038" customWidth="1"/>
    <col min="6199" max="6199" width="8.125" style="3038" customWidth="1"/>
    <col min="6200" max="6200" width="8.625" style="3038" customWidth="1"/>
    <col min="6201" max="6201" width="10.75" style="3038" customWidth="1"/>
    <col min="6202" max="6202" width="9.625" style="3038" customWidth="1"/>
    <col min="6203" max="6203" width="9.5" style="3038" customWidth="1"/>
    <col min="6204" max="6204" width="11" style="3038" customWidth="1"/>
    <col min="6205" max="6205" width="9.25" style="3038" customWidth="1"/>
    <col min="6206" max="6207" width="11" style="3038" customWidth="1"/>
    <col min="6208" max="6208" width="9.625" style="3038" customWidth="1"/>
    <col min="6209" max="6211" width="10.75" style="3038" bestFit="1" customWidth="1"/>
    <col min="6212" max="6212" width="10.25" style="3038" bestFit="1" customWidth="1"/>
    <col min="6213" max="6213" width="10.75" style="3038" bestFit="1" customWidth="1"/>
    <col min="6214" max="6214" width="10.25" style="3038" bestFit="1" customWidth="1"/>
    <col min="6215" max="6215" width="10.75" style="3038" bestFit="1" customWidth="1"/>
    <col min="6216" max="6216" width="10.25" style="3038" bestFit="1" customWidth="1"/>
    <col min="6217" max="6217" width="10.75" style="3038" bestFit="1" customWidth="1"/>
    <col min="6218" max="6218" width="10.25" style="3038" bestFit="1" customWidth="1"/>
    <col min="6219" max="6219" width="10.75" style="3038" bestFit="1" customWidth="1"/>
    <col min="6220" max="6220" width="10.25" style="3038" bestFit="1" customWidth="1"/>
    <col min="6221" max="6221" width="10.375" style="3038" customWidth="1"/>
    <col min="6222" max="6222" width="10.25" style="3038" customWidth="1"/>
    <col min="6223" max="6223" width="10.375" style="3038" customWidth="1"/>
    <col min="6224" max="6225" width="10.5" style="3038" customWidth="1"/>
    <col min="6226" max="6226" width="11.125" style="3038" customWidth="1"/>
    <col min="6227" max="6227" width="9.875" style="3038" customWidth="1"/>
    <col min="6228" max="6228" width="10.25" style="3038" customWidth="1"/>
    <col min="6229" max="6229" width="9.875" style="3038" customWidth="1"/>
    <col min="6230" max="6230" width="10" style="3038" customWidth="1"/>
    <col min="6231" max="6231" width="9.75" style="3038" customWidth="1"/>
    <col min="6232" max="6256" width="9.625" style="3038" customWidth="1"/>
    <col min="6257" max="6257" width="13.625" style="3038" bestFit="1" customWidth="1"/>
    <col min="6258" max="6258" width="12.375" style="3038" bestFit="1" customWidth="1"/>
    <col min="6259" max="6259" width="9.875" style="3038" bestFit="1" customWidth="1"/>
    <col min="6260" max="6260" width="10.375" style="3038" customWidth="1"/>
    <col min="6261" max="6261" width="9.25" style="3038" customWidth="1"/>
    <col min="6262" max="6262" width="12.625" style="3038" customWidth="1"/>
    <col min="6263" max="6263" width="9.875" style="3038" bestFit="1" customWidth="1"/>
    <col min="6264" max="6264" width="9.125" style="3038" bestFit="1" customWidth="1"/>
    <col min="6265" max="6266" width="9.875" style="3038" bestFit="1" customWidth="1"/>
    <col min="6267" max="6267" width="9.125" style="3038" bestFit="1" customWidth="1"/>
    <col min="6268" max="6269" width="9.875" style="3038" bestFit="1" customWidth="1"/>
    <col min="6270" max="6270" width="11.125" style="3038" bestFit="1" customWidth="1"/>
    <col min="6271" max="6272" width="9.875" style="3038" bestFit="1" customWidth="1"/>
    <col min="6273" max="6273" width="11.125" style="3038" bestFit="1" customWidth="1"/>
    <col min="6274" max="6275" width="9.875" style="3038" bestFit="1" customWidth="1"/>
    <col min="6276" max="6276" width="11.125" style="3038" bestFit="1" customWidth="1"/>
    <col min="6277" max="6277" width="9.125" style="3038" bestFit="1" customWidth="1"/>
    <col min="6278" max="6278" width="9.875" style="3038" bestFit="1" customWidth="1"/>
    <col min="6279" max="6279" width="11.125" style="3038" bestFit="1" customWidth="1"/>
    <col min="6280" max="6280" width="9.125" style="3038" bestFit="1" customWidth="1"/>
    <col min="6281" max="6281" width="9.875" style="3038" bestFit="1" customWidth="1"/>
    <col min="6282" max="6282" width="11.125" style="3038" bestFit="1" customWidth="1"/>
    <col min="6283" max="6283" width="9.125" style="3038" bestFit="1" customWidth="1"/>
    <col min="6284" max="6284" width="9.875" style="3038" bestFit="1" customWidth="1"/>
    <col min="6285" max="6285" width="11.125" style="3038" bestFit="1" customWidth="1"/>
    <col min="6286" max="6286" width="9.125" style="3038" bestFit="1" customWidth="1"/>
    <col min="6287" max="6287" width="9.875" style="3038" bestFit="1" customWidth="1"/>
    <col min="6288" max="6288" width="11.125" style="3038" bestFit="1" customWidth="1"/>
    <col min="6289" max="6289" width="9.125" style="3038" bestFit="1" customWidth="1"/>
    <col min="6290" max="6290" width="9.875" style="3038" bestFit="1" customWidth="1"/>
    <col min="6291" max="6291" width="11.125" style="3038" bestFit="1" customWidth="1"/>
    <col min="6292" max="6292" width="9.125" style="3038" bestFit="1" customWidth="1"/>
    <col min="6293" max="6293" width="9.875" style="3038" bestFit="1" customWidth="1"/>
    <col min="6294" max="6294" width="11.125" style="3038" bestFit="1" customWidth="1"/>
    <col min="6295" max="6295" width="9.125" style="3038" bestFit="1" customWidth="1"/>
    <col min="6296" max="6296" width="9.875" style="3038" bestFit="1" customWidth="1"/>
    <col min="6297" max="6297" width="11.125" style="3038" bestFit="1" customWidth="1"/>
    <col min="6298" max="6298" width="9.125" style="3038" bestFit="1" customWidth="1"/>
    <col min="6299" max="6299" width="9.875" style="3038" bestFit="1" customWidth="1"/>
    <col min="6300" max="6300" width="11.125" style="3038" bestFit="1" customWidth="1"/>
    <col min="6301" max="6301" width="7.875" style="3038" customWidth="1"/>
    <col min="6302" max="6303" width="9.875" style="3038" bestFit="1" customWidth="1"/>
    <col min="6304" max="6304" width="7.875" style="3038"/>
    <col min="6305" max="6306" width="9.875" style="3038" bestFit="1" customWidth="1"/>
    <col min="6307" max="6307" width="7.875" style="3038"/>
    <col min="6308" max="6309" width="9.875" style="3038" bestFit="1" customWidth="1"/>
    <col min="6310" max="6310" width="7.875" style="3038"/>
    <col min="6311" max="6312" width="9.875" style="3038" bestFit="1" customWidth="1"/>
    <col min="6313" max="6313" width="7.875" style="3038"/>
    <col min="6314" max="6314" width="9.875" style="3038" bestFit="1" customWidth="1"/>
    <col min="6315" max="6315" width="8.875" style="3038" bestFit="1" customWidth="1"/>
    <col min="6316" max="6316" width="7.875" style="3038"/>
    <col min="6317" max="6317" width="9.875" style="3038" bestFit="1" customWidth="1"/>
    <col min="6318" max="6318" width="8.875" style="3038" bestFit="1" customWidth="1"/>
    <col min="6319" max="6319" width="7.875" style="3038"/>
    <col min="6320" max="6320" width="9.875" style="3038" bestFit="1" customWidth="1"/>
    <col min="6321" max="6321" width="8.875" style="3038" bestFit="1" customWidth="1"/>
    <col min="6322" max="6322" width="7.875" style="3038"/>
    <col min="6323" max="6323" width="9.875" style="3038" bestFit="1" customWidth="1"/>
    <col min="6324" max="6324" width="8.875" style="3038" bestFit="1" customWidth="1"/>
    <col min="6325" max="6325" width="7.875" style="3038"/>
    <col min="6326" max="6326" width="9.875" style="3038" bestFit="1" customWidth="1"/>
    <col min="6327" max="6327" width="8.875" style="3038" bestFit="1" customWidth="1"/>
    <col min="6328" max="6328" width="7.875" style="3038"/>
    <col min="6329" max="6329" width="9.875" style="3038" bestFit="1" customWidth="1"/>
    <col min="6330" max="6330" width="11.125" style="3038" bestFit="1" customWidth="1"/>
    <col min="6331" max="6331" width="9.125" style="3038" bestFit="1" customWidth="1"/>
    <col min="6332" max="6332" width="9.875" style="3038" bestFit="1" customWidth="1"/>
    <col min="6333" max="6333" width="11.125" style="3038" bestFit="1" customWidth="1"/>
    <col min="6334" max="6334" width="7.875" style="3038"/>
    <col min="6335" max="6335" width="9.25" style="3038" customWidth="1"/>
    <col min="6336" max="6400" width="7.875" style="3038"/>
    <col min="6401" max="6401" width="3.875" style="3038" customWidth="1"/>
    <col min="6402" max="6402" width="10.375" style="3038" customWidth="1"/>
    <col min="6403" max="6403" width="11.375" style="3038" bestFit="1" customWidth="1"/>
    <col min="6404" max="6404" width="10.5" style="3038" customWidth="1"/>
    <col min="6405" max="6405" width="11.625" style="3038" customWidth="1"/>
    <col min="6406" max="6406" width="9.875" style="3038" customWidth="1"/>
    <col min="6407" max="6407" width="11.875" style="3038" customWidth="1"/>
    <col min="6408" max="6408" width="12.75" style="3038" customWidth="1"/>
    <col min="6409" max="6409" width="11" style="3038" customWidth="1"/>
    <col min="6410" max="6410" width="12.75" style="3038" customWidth="1"/>
    <col min="6411" max="6411" width="14" style="3038" customWidth="1"/>
    <col min="6412" max="6412" width="9.375" style="3038" customWidth="1"/>
    <col min="6413" max="6413" width="10.875" style="3038" customWidth="1"/>
    <col min="6414" max="6414" width="12.25" style="3038" customWidth="1"/>
    <col min="6415" max="6415" width="10.375" style="3038" customWidth="1"/>
    <col min="6416" max="6416" width="8.5" style="3038" customWidth="1"/>
    <col min="6417" max="6417" width="12" style="3038" customWidth="1"/>
    <col min="6418" max="6418" width="10.875" style="3038" bestFit="1" customWidth="1"/>
    <col min="6419" max="6419" width="10.5" style="3038" bestFit="1" customWidth="1"/>
    <col min="6420" max="6420" width="10.875" style="3038" bestFit="1" customWidth="1"/>
    <col min="6421" max="6422" width="11" style="3038" customWidth="1"/>
    <col min="6423" max="6423" width="9.375" style="3038" customWidth="1"/>
    <col min="6424" max="6424" width="7.125" style="3038" customWidth="1"/>
    <col min="6425" max="6426" width="11.75" style="3038" customWidth="1"/>
    <col min="6427" max="6427" width="13" style="3038" customWidth="1"/>
    <col min="6428" max="6428" width="10.75" style="3038" customWidth="1"/>
    <col min="6429" max="6430" width="7.375" style="3038" customWidth="1"/>
    <col min="6431" max="6431" width="10.25" style="3038" customWidth="1"/>
    <col min="6432" max="6441" width="8.625" style="3038" customWidth="1"/>
    <col min="6442" max="6443" width="14.125" style="3038" bestFit="1" customWidth="1"/>
    <col min="6444" max="6445" width="10.25" style="3038" customWidth="1"/>
    <col min="6446" max="6446" width="10.125" style="3038" customWidth="1"/>
    <col min="6447" max="6447" width="8.875" style="3038" customWidth="1"/>
    <col min="6448" max="6448" width="9.375" style="3038" customWidth="1"/>
    <col min="6449" max="6449" width="13.25" style="3038" customWidth="1"/>
    <col min="6450" max="6450" width="13" style="3038" customWidth="1"/>
    <col min="6451" max="6451" width="10.875" style="3038" customWidth="1"/>
    <col min="6452" max="6452" width="9.375" style="3038" customWidth="1"/>
    <col min="6453" max="6453" width="10.875" style="3038" customWidth="1"/>
    <col min="6454" max="6454" width="10.5" style="3038" customWidth="1"/>
    <col min="6455" max="6455" width="8.125" style="3038" customWidth="1"/>
    <col min="6456" max="6456" width="8.625" style="3038" customWidth="1"/>
    <col min="6457" max="6457" width="10.75" style="3038" customWidth="1"/>
    <col min="6458" max="6458" width="9.625" style="3038" customWidth="1"/>
    <col min="6459" max="6459" width="9.5" style="3038" customWidth="1"/>
    <col min="6460" max="6460" width="11" style="3038" customWidth="1"/>
    <col min="6461" max="6461" width="9.25" style="3038" customWidth="1"/>
    <col min="6462" max="6463" width="11" style="3038" customWidth="1"/>
    <col min="6464" max="6464" width="9.625" style="3038" customWidth="1"/>
    <col min="6465" max="6467" width="10.75" style="3038" bestFit="1" customWidth="1"/>
    <col min="6468" max="6468" width="10.25" style="3038" bestFit="1" customWidth="1"/>
    <col min="6469" max="6469" width="10.75" style="3038" bestFit="1" customWidth="1"/>
    <col min="6470" max="6470" width="10.25" style="3038" bestFit="1" customWidth="1"/>
    <col min="6471" max="6471" width="10.75" style="3038" bestFit="1" customWidth="1"/>
    <col min="6472" max="6472" width="10.25" style="3038" bestFit="1" customWidth="1"/>
    <col min="6473" max="6473" width="10.75" style="3038" bestFit="1" customWidth="1"/>
    <col min="6474" max="6474" width="10.25" style="3038" bestFit="1" customWidth="1"/>
    <col min="6475" max="6475" width="10.75" style="3038" bestFit="1" customWidth="1"/>
    <col min="6476" max="6476" width="10.25" style="3038" bestFit="1" customWidth="1"/>
    <col min="6477" max="6477" width="10.375" style="3038" customWidth="1"/>
    <col min="6478" max="6478" width="10.25" style="3038" customWidth="1"/>
    <col min="6479" max="6479" width="10.375" style="3038" customWidth="1"/>
    <col min="6480" max="6481" width="10.5" style="3038" customWidth="1"/>
    <col min="6482" max="6482" width="11.125" style="3038" customWidth="1"/>
    <col min="6483" max="6483" width="9.875" style="3038" customWidth="1"/>
    <col min="6484" max="6484" width="10.25" style="3038" customWidth="1"/>
    <col min="6485" max="6485" width="9.875" style="3038" customWidth="1"/>
    <col min="6486" max="6486" width="10" style="3038" customWidth="1"/>
    <col min="6487" max="6487" width="9.75" style="3038" customWidth="1"/>
    <col min="6488" max="6512" width="9.625" style="3038" customWidth="1"/>
    <col min="6513" max="6513" width="13.625" style="3038" bestFit="1" customWidth="1"/>
    <col min="6514" max="6514" width="12.375" style="3038" bestFit="1" customWidth="1"/>
    <col min="6515" max="6515" width="9.875" style="3038" bestFit="1" customWidth="1"/>
    <col min="6516" max="6516" width="10.375" style="3038" customWidth="1"/>
    <col min="6517" max="6517" width="9.25" style="3038" customWidth="1"/>
    <col min="6518" max="6518" width="12.625" style="3038" customWidth="1"/>
    <col min="6519" max="6519" width="9.875" style="3038" bestFit="1" customWidth="1"/>
    <col min="6520" max="6520" width="9.125" style="3038" bestFit="1" customWidth="1"/>
    <col min="6521" max="6522" width="9.875" style="3038" bestFit="1" customWidth="1"/>
    <col min="6523" max="6523" width="9.125" style="3038" bestFit="1" customWidth="1"/>
    <col min="6524" max="6525" width="9.875" style="3038" bestFit="1" customWidth="1"/>
    <col min="6526" max="6526" width="11.125" style="3038" bestFit="1" customWidth="1"/>
    <col min="6527" max="6528" width="9.875" style="3038" bestFit="1" customWidth="1"/>
    <col min="6529" max="6529" width="11.125" style="3038" bestFit="1" customWidth="1"/>
    <col min="6530" max="6531" width="9.875" style="3038" bestFit="1" customWidth="1"/>
    <col min="6532" max="6532" width="11.125" style="3038" bestFit="1" customWidth="1"/>
    <col min="6533" max="6533" width="9.125" style="3038" bestFit="1" customWidth="1"/>
    <col min="6534" max="6534" width="9.875" style="3038" bestFit="1" customWidth="1"/>
    <col min="6535" max="6535" width="11.125" style="3038" bestFit="1" customWidth="1"/>
    <col min="6536" max="6536" width="9.125" style="3038" bestFit="1" customWidth="1"/>
    <col min="6537" max="6537" width="9.875" style="3038" bestFit="1" customWidth="1"/>
    <col min="6538" max="6538" width="11.125" style="3038" bestFit="1" customWidth="1"/>
    <col min="6539" max="6539" width="9.125" style="3038" bestFit="1" customWidth="1"/>
    <col min="6540" max="6540" width="9.875" style="3038" bestFit="1" customWidth="1"/>
    <col min="6541" max="6541" width="11.125" style="3038" bestFit="1" customWidth="1"/>
    <col min="6542" max="6542" width="9.125" style="3038" bestFit="1" customWidth="1"/>
    <col min="6543" max="6543" width="9.875" style="3038" bestFit="1" customWidth="1"/>
    <col min="6544" max="6544" width="11.125" style="3038" bestFit="1" customWidth="1"/>
    <col min="6545" max="6545" width="9.125" style="3038" bestFit="1" customWidth="1"/>
    <col min="6546" max="6546" width="9.875" style="3038" bestFit="1" customWidth="1"/>
    <col min="6547" max="6547" width="11.125" style="3038" bestFit="1" customWidth="1"/>
    <col min="6548" max="6548" width="9.125" style="3038" bestFit="1" customWidth="1"/>
    <col min="6549" max="6549" width="9.875" style="3038" bestFit="1" customWidth="1"/>
    <col min="6550" max="6550" width="11.125" style="3038" bestFit="1" customWidth="1"/>
    <col min="6551" max="6551" width="9.125" style="3038" bestFit="1" customWidth="1"/>
    <col min="6552" max="6552" width="9.875" style="3038" bestFit="1" customWidth="1"/>
    <col min="6553" max="6553" width="11.125" style="3038" bestFit="1" customWidth="1"/>
    <col min="6554" max="6554" width="9.125" style="3038" bestFit="1" customWidth="1"/>
    <col min="6555" max="6555" width="9.875" style="3038" bestFit="1" customWidth="1"/>
    <col min="6556" max="6556" width="11.125" style="3038" bestFit="1" customWidth="1"/>
    <col min="6557" max="6557" width="7.875" style="3038" customWidth="1"/>
    <col min="6558" max="6559" width="9.875" style="3038" bestFit="1" customWidth="1"/>
    <col min="6560" max="6560" width="7.875" style="3038"/>
    <col min="6561" max="6562" width="9.875" style="3038" bestFit="1" customWidth="1"/>
    <col min="6563" max="6563" width="7.875" style="3038"/>
    <col min="6564" max="6565" width="9.875" style="3038" bestFit="1" customWidth="1"/>
    <col min="6566" max="6566" width="7.875" style="3038"/>
    <col min="6567" max="6568" width="9.875" style="3038" bestFit="1" customWidth="1"/>
    <col min="6569" max="6569" width="7.875" style="3038"/>
    <col min="6570" max="6570" width="9.875" style="3038" bestFit="1" customWidth="1"/>
    <col min="6571" max="6571" width="8.875" style="3038" bestFit="1" customWidth="1"/>
    <col min="6572" max="6572" width="7.875" style="3038"/>
    <col min="6573" max="6573" width="9.875" style="3038" bestFit="1" customWidth="1"/>
    <col min="6574" max="6574" width="8.875" style="3038" bestFit="1" customWidth="1"/>
    <col min="6575" max="6575" width="7.875" style="3038"/>
    <col min="6576" max="6576" width="9.875" style="3038" bestFit="1" customWidth="1"/>
    <col min="6577" max="6577" width="8.875" style="3038" bestFit="1" customWidth="1"/>
    <col min="6578" max="6578" width="7.875" style="3038"/>
    <col min="6579" max="6579" width="9.875" style="3038" bestFit="1" customWidth="1"/>
    <col min="6580" max="6580" width="8.875" style="3038" bestFit="1" customWidth="1"/>
    <col min="6581" max="6581" width="7.875" style="3038"/>
    <col min="6582" max="6582" width="9.875" style="3038" bestFit="1" customWidth="1"/>
    <col min="6583" max="6583" width="8.875" style="3038" bestFit="1" customWidth="1"/>
    <col min="6584" max="6584" width="7.875" style="3038"/>
    <col min="6585" max="6585" width="9.875" style="3038" bestFit="1" customWidth="1"/>
    <col min="6586" max="6586" width="11.125" style="3038" bestFit="1" customWidth="1"/>
    <col min="6587" max="6587" width="9.125" style="3038" bestFit="1" customWidth="1"/>
    <col min="6588" max="6588" width="9.875" style="3038" bestFit="1" customWidth="1"/>
    <col min="6589" max="6589" width="11.125" style="3038" bestFit="1" customWidth="1"/>
    <col min="6590" max="6590" width="7.875" style="3038"/>
    <col min="6591" max="6591" width="9.25" style="3038" customWidth="1"/>
    <col min="6592" max="6656" width="7.875" style="3038"/>
    <col min="6657" max="6657" width="3.875" style="3038" customWidth="1"/>
    <col min="6658" max="6658" width="10.375" style="3038" customWidth="1"/>
    <col min="6659" max="6659" width="11.375" style="3038" bestFit="1" customWidth="1"/>
    <col min="6660" max="6660" width="10.5" style="3038" customWidth="1"/>
    <col min="6661" max="6661" width="11.625" style="3038" customWidth="1"/>
    <col min="6662" max="6662" width="9.875" style="3038" customWidth="1"/>
    <col min="6663" max="6663" width="11.875" style="3038" customWidth="1"/>
    <col min="6664" max="6664" width="12.75" style="3038" customWidth="1"/>
    <col min="6665" max="6665" width="11" style="3038" customWidth="1"/>
    <col min="6666" max="6666" width="12.75" style="3038" customWidth="1"/>
    <col min="6667" max="6667" width="14" style="3038" customWidth="1"/>
    <col min="6668" max="6668" width="9.375" style="3038" customWidth="1"/>
    <col min="6669" max="6669" width="10.875" style="3038" customWidth="1"/>
    <col min="6670" max="6670" width="12.25" style="3038" customWidth="1"/>
    <col min="6671" max="6671" width="10.375" style="3038" customWidth="1"/>
    <col min="6672" max="6672" width="8.5" style="3038" customWidth="1"/>
    <col min="6673" max="6673" width="12" style="3038" customWidth="1"/>
    <col min="6674" max="6674" width="10.875" style="3038" bestFit="1" customWidth="1"/>
    <col min="6675" max="6675" width="10.5" style="3038" bestFit="1" customWidth="1"/>
    <col min="6676" max="6676" width="10.875" style="3038" bestFit="1" customWidth="1"/>
    <col min="6677" max="6678" width="11" style="3038" customWidth="1"/>
    <col min="6679" max="6679" width="9.375" style="3038" customWidth="1"/>
    <col min="6680" max="6680" width="7.125" style="3038" customWidth="1"/>
    <col min="6681" max="6682" width="11.75" style="3038" customWidth="1"/>
    <col min="6683" max="6683" width="13" style="3038" customWidth="1"/>
    <col min="6684" max="6684" width="10.75" style="3038" customWidth="1"/>
    <col min="6685" max="6686" width="7.375" style="3038" customWidth="1"/>
    <col min="6687" max="6687" width="10.25" style="3038" customWidth="1"/>
    <col min="6688" max="6697" width="8.625" style="3038" customWidth="1"/>
    <col min="6698" max="6699" width="14.125" style="3038" bestFit="1" customWidth="1"/>
    <col min="6700" max="6701" width="10.25" style="3038" customWidth="1"/>
    <col min="6702" max="6702" width="10.125" style="3038" customWidth="1"/>
    <col min="6703" max="6703" width="8.875" style="3038" customWidth="1"/>
    <col min="6704" max="6704" width="9.375" style="3038" customWidth="1"/>
    <col min="6705" max="6705" width="13.25" style="3038" customWidth="1"/>
    <col min="6706" max="6706" width="13" style="3038" customWidth="1"/>
    <col min="6707" max="6707" width="10.875" style="3038" customWidth="1"/>
    <col min="6708" max="6708" width="9.375" style="3038" customWidth="1"/>
    <col min="6709" max="6709" width="10.875" style="3038" customWidth="1"/>
    <col min="6710" max="6710" width="10.5" style="3038" customWidth="1"/>
    <col min="6711" max="6711" width="8.125" style="3038" customWidth="1"/>
    <col min="6712" max="6712" width="8.625" style="3038" customWidth="1"/>
    <col min="6713" max="6713" width="10.75" style="3038" customWidth="1"/>
    <col min="6714" max="6714" width="9.625" style="3038" customWidth="1"/>
    <col min="6715" max="6715" width="9.5" style="3038" customWidth="1"/>
    <col min="6716" max="6716" width="11" style="3038" customWidth="1"/>
    <col min="6717" max="6717" width="9.25" style="3038" customWidth="1"/>
    <col min="6718" max="6719" width="11" style="3038" customWidth="1"/>
    <col min="6720" max="6720" width="9.625" style="3038" customWidth="1"/>
    <col min="6721" max="6723" width="10.75" style="3038" bestFit="1" customWidth="1"/>
    <col min="6724" max="6724" width="10.25" style="3038" bestFit="1" customWidth="1"/>
    <col min="6725" max="6725" width="10.75" style="3038" bestFit="1" customWidth="1"/>
    <col min="6726" max="6726" width="10.25" style="3038" bestFit="1" customWidth="1"/>
    <col min="6727" max="6727" width="10.75" style="3038" bestFit="1" customWidth="1"/>
    <col min="6728" max="6728" width="10.25" style="3038" bestFit="1" customWidth="1"/>
    <col min="6729" max="6729" width="10.75" style="3038" bestFit="1" customWidth="1"/>
    <col min="6730" max="6730" width="10.25" style="3038" bestFit="1" customWidth="1"/>
    <col min="6731" max="6731" width="10.75" style="3038" bestFit="1" customWidth="1"/>
    <col min="6732" max="6732" width="10.25" style="3038" bestFit="1" customWidth="1"/>
    <col min="6733" max="6733" width="10.375" style="3038" customWidth="1"/>
    <col min="6734" max="6734" width="10.25" style="3038" customWidth="1"/>
    <col min="6735" max="6735" width="10.375" style="3038" customWidth="1"/>
    <col min="6736" max="6737" width="10.5" style="3038" customWidth="1"/>
    <col min="6738" max="6738" width="11.125" style="3038" customWidth="1"/>
    <col min="6739" max="6739" width="9.875" style="3038" customWidth="1"/>
    <col min="6740" max="6740" width="10.25" style="3038" customWidth="1"/>
    <col min="6741" max="6741" width="9.875" style="3038" customWidth="1"/>
    <col min="6742" max="6742" width="10" style="3038" customWidth="1"/>
    <col min="6743" max="6743" width="9.75" style="3038" customWidth="1"/>
    <col min="6744" max="6768" width="9.625" style="3038" customWidth="1"/>
    <col min="6769" max="6769" width="13.625" style="3038" bestFit="1" customWidth="1"/>
    <col min="6770" max="6770" width="12.375" style="3038" bestFit="1" customWidth="1"/>
    <col min="6771" max="6771" width="9.875" style="3038" bestFit="1" customWidth="1"/>
    <col min="6772" max="6772" width="10.375" style="3038" customWidth="1"/>
    <col min="6773" max="6773" width="9.25" style="3038" customWidth="1"/>
    <col min="6774" max="6774" width="12.625" style="3038" customWidth="1"/>
    <col min="6775" max="6775" width="9.875" style="3038" bestFit="1" customWidth="1"/>
    <col min="6776" max="6776" width="9.125" style="3038" bestFit="1" customWidth="1"/>
    <col min="6777" max="6778" width="9.875" style="3038" bestFit="1" customWidth="1"/>
    <col min="6779" max="6779" width="9.125" style="3038" bestFit="1" customWidth="1"/>
    <col min="6780" max="6781" width="9.875" style="3038" bestFit="1" customWidth="1"/>
    <col min="6782" max="6782" width="11.125" style="3038" bestFit="1" customWidth="1"/>
    <col min="6783" max="6784" width="9.875" style="3038" bestFit="1" customWidth="1"/>
    <col min="6785" max="6785" width="11.125" style="3038" bestFit="1" customWidth="1"/>
    <col min="6786" max="6787" width="9.875" style="3038" bestFit="1" customWidth="1"/>
    <col min="6788" max="6788" width="11.125" style="3038" bestFit="1" customWidth="1"/>
    <col min="6789" max="6789" width="9.125" style="3038" bestFit="1" customWidth="1"/>
    <col min="6790" max="6790" width="9.875" style="3038" bestFit="1" customWidth="1"/>
    <col min="6791" max="6791" width="11.125" style="3038" bestFit="1" customWidth="1"/>
    <col min="6792" max="6792" width="9.125" style="3038" bestFit="1" customWidth="1"/>
    <col min="6793" max="6793" width="9.875" style="3038" bestFit="1" customWidth="1"/>
    <col min="6794" max="6794" width="11.125" style="3038" bestFit="1" customWidth="1"/>
    <col min="6795" max="6795" width="9.125" style="3038" bestFit="1" customWidth="1"/>
    <col min="6796" max="6796" width="9.875" style="3038" bestFit="1" customWidth="1"/>
    <col min="6797" max="6797" width="11.125" style="3038" bestFit="1" customWidth="1"/>
    <col min="6798" max="6798" width="9.125" style="3038" bestFit="1" customWidth="1"/>
    <col min="6799" max="6799" width="9.875" style="3038" bestFit="1" customWidth="1"/>
    <col min="6800" max="6800" width="11.125" style="3038" bestFit="1" customWidth="1"/>
    <col min="6801" max="6801" width="9.125" style="3038" bestFit="1" customWidth="1"/>
    <col min="6802" max="6802" width="9.875" style="3038" bestFit="1" customWidth="1"/>
    <col min="6803" max="6803" width="11.125" style="3038" bestFit="1" customWidth="1"/>
    <col min="6804" max="6804" width="9.125" style="3038" bestFit="1" customWidth="1"/>
    <col min="6805" max="6805" width="9.875" style="3038" bestFit="1" customWidth="1"/>
    <col min="6806" max="6806" width="11.125" style="3038" bestFit="1" customWidth="1"/>
    <col min="6807" max="6807" width="9.125" style="3038" bestFit="1" customWidth="1"/>
    <col min="6808" max="6808" width="9.875" style="3038" bestFit="1" customWidth="1"/>
    <col min="6809" max="6809" width="11.125" style="3038" bestFit="1" customWidth="1"/>
    <col min="6810" max="6810" width="9.125" style="3038" bestFit="1" customWidth="1"/>
    <col min="6811" max="6811" width="9.875" style="3038" bestFit="1" customWidth="1"/>
    <col min="6812" max="6812" width="11.125" style="3038" bestFit="1" customWidth="1"/>
    <col min="6813" max="6813" width="7.875" style="3038" customWidth="1"/>
    <col min="6814" max="6815" width="9.875" style="3038" bestFit="1" customWidth="1"/>
    <col min="6816" max="6816" width="7.875" style="3038"/>
    <col min="6817" max="6818" width="9.875" style="3038" bestFit="1" customWidth="1"/>
    <col min="6819" max="6819" width="7.875" style="3038"/>
    <col min="6820" max="6821" width="9.875" style="3038" bestFit="1" customWidth="1"/>
    <col min="6822" max="6822" width="7.875" style="3038"/>
    <col min="6823" max="6824" width="9.875" style="3038" bestFit="1" customWidth="1"/>
    <col min="6825" max="6825" width="7.875" style="3038"/>
    <col min="6826" max="6826" width="9.875" style="3038" bestFit="1" customWidth="1"/>
    <col min="6827" max="6827" width="8.875" style="3038" bestFit="1" customWidth="1"/>
    <col min="6828" max="6828" width="7.875" style="3038"/>
    <col min="6829" max="6829" width="9.875" style="3038" bestFit="1" customWidth="1"/>
    <col min="6830" max="6830" width="8.875" style="3038" bestFit="1" customWidth="1"/>
    <col min="6831" max="6831" width="7.875" style="3038"/>
    <col min="6832" max="6832" width="9.875" style="3038" bestFit="1" customWidth="1"/>
    <col min="6833" max="6833" width="8.875" style="3038" bestFit="1" customWidth="1"/>
    <col min="6834" max="6834" width="7.875" style="3038"/>
    <col min="6835" max="6835" width="9.875" style="3038" bestFit="1" customWidth="1"/>
    <col min="6836" max="6836" width="8.875" style="3038" bestFit="1" customWidth="1"/>
    <col min="6837" max="6837" width="7.875" style="3038"/>
    <col min="6838" max="6838" width="9.875" style="3038" bestFit="1" customWidth="1"/>
    <col min="6839" max="6839" width="8.875" style="3038" bestFit="1" customWidth="1"/>
    <col min="6840" max="6840" width="7.875" style="3038"/>
    <col min="6841" max="6841" width="9.875" style="3038" bestFit="1" customWidth="1"/>
    <col min="6842" max="6842" width="11.125" style="3038" bestFit="1" customWidth="1"/>
    <col min="6843" max="6843" width="9.125" style="3038" bestFit="1" customWidth="1"/>
    <col min="6844" max="6844" width="9.875" style="3038" bestFit="1" customWidth="1"/>
    <col min="6845" max="6845" width="11.125" style="3038" bestFit="1" customWidth="1"/>
    <col min="6846" max="6846" width="7.875" style="3038"/>
    <col min="6847" max="6847" width="9.25" style="3038" customWidth="1"/>
    <col min="6848" max="6912" width="7.875" style="3038"/>
    <col min="6913" max="6913" width="3.875" style="3038" customWidth="1"/>
    <col min="6914" max="6914" width="10.375" style="3038" customWidth="1"/>
    <col min="6915" max="6915" width="11.375" style="3038" bestFit="1" customWidth="1"/>
    <col min="6916" max="6916" width="10.5" style="3038" customWidth="1"/>
    <col min="6917" max="6917" width="11.625" style="3038" customWidth="1"/>
    <col min="6918" max="6918" width="9.875" style="3038" customWidth="1"/>
    <col min="6919" max="6919" width="11.875" style="3038" customWidth="1"/>
    <col min="6920" max="6920" width="12.75" style="3038" customWidth="1"/>
    <col min="6921" max="6921" width="11" style="3038" customWidth="1"/>
    <col min="6922" max="6922" width="12.75" style="3038" customWidth="1"/>
    <col min="6923" max="6923" width="14" style="3038" customWidth="1"/>
    <col min="6924" max="6924" width="9.375" style="3038" customWidth="1"/>
    <col min="6925" max="6925" width="10.875" style="3038" customWidth="1"/>
    <col min="6926" max="6926" width="12.25" style="3038" customWidth="1"/>
    <col min="6927" max="6927" width="10.375" style="3038" customWidth="1"/>
    <col min="6928" max="6928" width="8.5" style="3038" customWidth="1"/>
    <col min="6929" max="6929" width="12" style="3038" customWidth="1"/>
    <col min="6930" max="6930" width="10.875" style="3038" bestFit="1" customWidth="1"/>
    <col min="6931" max="6931" width="10.5" style="3038" bestFit="1" customWidth="1"/>
    <col min="6932" max="6932" width="10.875" style="3038" bestFit="1" customWidth="1"/>
    <col min="6933" max="6934" width="11" style="3038" customWidth="1"/>
    <col min="6935" max="6935" width="9.375" style="3038" customWidth="1"/>
    <col min="6936" max="6936" width="7.125" style="3038" customWidth="1"/>
    <col min="6937" max="6938" width="11.75" style="3038" customWidth="1"/>
    <col min="6939" max="6939" width="13" style="3038" customWidth="1"/>
    <col min="6940" max="6940" width="10.75" style="3038" customWidth="1"/>
    <col min="6941" max="6942" width="7.375" style="3038" customWidth="1"/>
    <col min="6943" max="6943" width="10.25" style="3038" customWidth="1"/>
    <col min="6944" max="6953" width="8.625" style="3038" customWidth="1"/>
    <col min="6954" max="6955" width="14.125" style="3038" bestFit="1" customWidth="1"/>
    <col min="6956" max="6957" width="10.25" style="3038" customWidth="1"/>
    <col min="6958" max="6958" width="10.125" style="3038" customWidth="1"/>
    <col min="6959" max="6959" width="8.875" style="3038" customWidth="1"/>
    <col min="6960" max="6960" width="9.375" style="3038" customWidth="1"/>
    <col min="6961" max="6961" width="13.25" style="3038" customWidth="1"/>
    <col min="6962" max="6962" width="13" style="3038" customWidth="1"/>
    <col min="6963" max="6963" width="10.875" style="3038" customWidth="1"/>
    <col min="6964" max="6964" width="9.375" style="3038" customWidth="1"/>
    <col min="6965" max="6965" width="10.875" style="3038" customWidth="1"/>
    <col min="6966" max="6966" width="10.5" style="3038" customWidth="1"/>
    <col min="6967" max="6967" width="8.125" style="3038" customWidth="1"/>
    <col min="6968" max="6968" width="8.625" style="3038" customWidth="1"/>
    <col min="6969" max="6969" width="10.75" style="3038" customWidth="1"/>
    <col min="6970" max="6970" width="9.625" style="3038" customWidth="1"/>
    <col min="6971" max="6971" width="9.5" style="3038" customWidth="1"/>
    <col min="6972" max="6972" width="11" style="3038" customWidth="1"/>
    <col min="6973" max="6973" width="9.25" style="3038" customWidth="1"/>
    <col min="6974" max="6975" width="11" style="3038" customWidth="1"/>
    <col min="6976" max="6976" width="9.625" style="3038" customWidth="1"/>
    <col min="6977" max="6979" width="10.75" style="3038" bestFit="1" customWidth="1"/>
    <col min="6980" max="6980" width="10.25" style="3038" bestFit="1" customWidth="1"/>
    <col min="6981" max="6981" width="10.75" style="3038" bestFit="1" customWidth="1"/>
    <col min="6982" max="6982" width="10.25" style="3038" bestFit="1" customWidth="1"/>
    <col min="6983" max="6983" width="10.75" style="3038" bestFit="1" customWidth="1"/>
    <col min="6984" max="6984" width="10.25" style="3038" bestFit="1" customWidth="1"/>
    <col min="6985" max="6985" width="10.75" style="3038" bestFit="1" customWidth="1"/>
    <col min="6986" max="6986" width="10.25" style="3038" bestFit="1" customWidth="1"/>
    <col min="6987" max="6987" width="10.75" style="3038" bestFit="1" customWidth="1"/>
    <col min="6988" max="6988" width="10.25" style="3038" bestFit="1" customWidth="1"/>
    <col min="6989" max="6989" width="10.375" style="3038" customWidth="1"/>
    <col min="6990" max="6990" width="10.25" style="3038" customWidth="1"/>
    <col min="6991" max="6991" width="10.375" style="3038" customWidth="1"/>
    <col min="6992" max="6993" width="10.5" style="3038" customWidth="1"/>
    <col min="6994" max="6994" width="11.125" style="3038" customWidth="1"/>
    <col min="6995" max="6995" width="9.875" style="3038" customWidth="1"/>
    <col min="6996" max="6996" width="10.25" style="3038" customWidth="1"/>
    <col min="6997" max="6997" width="9.875" style="3038" customWidth="1"/>
    <col min="6998" max="6998" width="10" style="3038" customWidth="1"/>
    <col min="6999" max="6999" width="9.75" style="3038" customWidth="1"/>
    <col min="7000" max="7024" width="9.625" style="3038" customWidth="1"/>
    <col min="7025" max="7025" width="13.625" style="3038" bestFit="1" customWidth="1"/>
    <col min="7026" max="7026" width="12.375" style="3038" bestFit="1" customWidth="1"/>
    <col min="7027" max="7027" width="9.875" style="3038" bestFit="1" customWidth="1"/>
    <col min="7028" max="7028" width="10.375" style="3038" customWidth="1"/>
    <col min="7029" max="7029" width="9.25" style="3038" customWidth="1"/>
    <col min="7030" max="7030" width="12.625" style="3038" customWidth="1"/>
    <col min="7031" max="7031" width="9.875" style="3038" bestFit="1" customWidth="1"/>
    <col min="7032" max="7032" width="9.125" style="3038" bestFit="1" customWidth="1"/>
    <col min="7033" max="7034" width="9.875" style="3038" bestFit="1" customWidth="1"/>
    <col min="7035" max="7035" width="9.125" style="3038" bestFit="1" customWidth="1"/>
    <col min="7036" max="7037" width="9.875" style="3038" bestFit="1" customWidth="1"/>
    <col min="7038" max="7038" width="11.125" style="3038" bestFit="1" customWidth="1"/>
    <col min="7039" max="7040" width="9.875" style="3038" bestFit="1" customWidth="1"/>
    <col min="7041" max="7041" width="11.125" style="3038" bestFit="1" customWidth="1"/>
    <col min="7042" max="7043" width="9.875" style="3038" bestFit="1" customWidth="1"/>
    <col min="7044" max="7044" width="11.125" style="3038" bestFit="1" customWidth="1"/>
    <col min="7045" max="7045" width="9.125" style="3038" bestFit="1" customWidth="1"/>
    <col min="7046" max="7046" width="9.875" style="3038" bestFit="1" customWidth="1"/>
    <col min="7047" max="7047" width="11.125" style="3038" bestFit="1" customWidth="1"/>
    <col min="7048" max="7048" width="9.125" style="3038" bestFit="1" customWidth="1"/>
    <col min="7049" max="7049" width="9.875" style="3038" bestFit="1" customWidth="1"/>
    <col min="7050" max="7050" width="11.125" style="3038" bestFit="1" customWidth="1"/>
    <col min="7051" max="7051" width="9.125" style="3038" bestFit="1" customWidth="1"/>
    <col min="7052" max="7052" width="9.875" style="3038" bestFit="1" customWidth="1"/>
    <col min="7053" max="7053" width="11.125" style="3038" bestFit="1" customWidth="1"/>
    <col min="7054" max="7054" width="9.125" style="3038" bestFit="1" customWidth="1"/>
    <col min="7055" max="7055" width="9.875" style="3038" bestFit="1" customWidth="1"/>
    <col min="7056" max="7056" width="11.125" style="3038" bestFit="1" customWidth="1"/>
    <col min="7057" max="7057" width="9.125" style="3038" bestFit="1" customWidth="1"/>
    <col min="7058" max="7058" width="9.875" style="3038" bestFit="1" customWidth="1"/>
    <col min="7059" max="7059" width="11.125" style="3038" bestFit="1" customWidth="1"/>
    <col min="7060" max="7060" width="9.125" style="3038" bestFit="1" customWidth="1"/>
    <col min="7061" max="7061" width="9.875" style="3038" bestFit="1" customWidth="1"/>
    <col min="7062" max="7062" width="11.125" style="3038" bestFit="1" customWidth="1"/>
    <col min="7063" max="7063" width="9.125" style="3038" bestFit="1" customWidth="1"/>
    <col min="7064" max="7064" width="9.875" style="3038" bestFit="1" customWidth="1"/>
    <col min="7065" max="7065" width="11.125" style="3038" bestFit="1" customWidth="1"/>
    <col min="7066" max="7066" width="9.125" style="3038" bestFit="1" customWidth="1"/>
    <col min="7067" max="7067" width="9.875" style="3038" bestFit="1" customWidth="1"/>
    <col min="7068" max="7068" width="11.125" style="3038" bestFit="1" customWidth="1"/>
    <col min="7069" max="7069" width="7.875" style="3038" customWidth="1"/>
    <col min="7070" max="7071" width="9.875" style="3038" bestFit="1" customWidth="1"/>
    <col min="7072" max="7072" width="7.875" style="3038"/>
    <col min="7073" max="7074" width="9.875" style="3038" bestFit="1" customWidth="1"/>
    <col min="7075" max="7075" width="7.875" style="3038"/>
    <col min="7076" max="7077" width="9.875" style="3038" bestFit="1" customWidth="1"/>
    <col min="7078" max="7078" width="7.875" style="3038"/>
    <col min="7079" max="7080" width="9.875" style="3038" bestFit="1" customWidth="1"/>
    <col min="7081" max="7081" width="7.875" style="3038"/>
    <col min="7082" max="7082" width="9.875" style="3038" bestFit="1" customWidth="1"/>
    <col min="7083" max="7083" width="8.875" style="3038" bestFit="1" customWidth="1"/>
    <col min="7084" max="7084" width="7.875" style="3038"/>
    <col min="7085" max="7085" width="9.875" style="3038" bestFit="1" customWidth="1"/>
    <col min="7086" max="7086" width="8.875" style="3038" bestFit="1" customWidth="1"/>
    <col min="7087" max="7087" width="7.875" style="3038"/>
    <col min="7088" max="7088" width="9.875" style="3038" bestFit="1" customWidth="1"/>
    <col min="7089" max="7089" width="8.875" style="3038" bestFit="1" customWidth="1"/>
    <col min="7090" max="7090" width="7.875" style="3038"/>
    <col min="7091" max="7091" width="9.875" style="3038" bestFit="1" customWidth="1"/>
    <col min="7092" max="7092" width="8.875" style="3038" bestFit="1" customWidth="1"/>
    <col min="7093" max="7093" width="7.875" style="3038"/>
    <col min="7094" max="7094" width="9.875" style="3038" bestFit="1" customWidth="1"/>
    <col min="7095" max="7095" width="8.875" style="3038" bestFit="1" customWidth="1"/>
    <col min="7096" max="7096" width="7.875" style="3038"/>
    <col min="7097" max="7097" width="9.875" style="3038" bestFit="1" customWidth="1"/>
    <col min="7098" max="7098" width="11.125" style="3038" bestFit="1" customWidth="1"/>
    <col min="7099" max="7099" width="9.125" style="3038" bestFit="1" customWidth="1"/>
    <col min="7100" max="7100" width="9.875" style="3038" bestFit="1" customWidth="1"/>
    <col min="7101" max="7101" width="11.125" style="3038" bestFit="1" customWidth="1"/>
    <col min="7102" max="7102" width="7.875" style="3038"/>
    <col min="7103" max="7103" width="9.25" style="3038" customWidth="1"/>
    <col min="7104" max="7168" width="7.875" style="3038"/>
    <col min="7169" max="7169" width="3.875" style="3038" customWidth="1"/>
    <col min="7170" max="7170" width="10.375" style="3038" customWidth="1"/>
    <col min="7171" max="7171" width="11.375" style="3038" bestFit="1" customWidth="1"/>
    <col min="7172" max="7172" width="10.5" style="3038" customWidth="1"/>
    <col min="7173" max="7173" width="11.625" style="3038" customWidth="1"/>
    <col min="7174" max="7174" width="9.875" style="3038" customWidth="1"/>
    <col min="7175" max="7175" width="11.875" style="3038" customWidth="1"/>
    <col min="7176" max="7176" width="12.75" style="3038" customWidth="1"/>
    <col min="7177" max="7177" width="11" style="3038" customWidth="1"/>
    <col min="7178" max="7178" width="12.75" style="3038" customWidth="1"/>
    <col min="7179" max="7179" width="14" style="3038" customWidth="1"/>
    <col min="7180" max="7180" width="9.375" style="3038" customWidth="1"/>
    <col min="7181" max="7181" width="10.875" style="3038" customWidth="1"/>
    <col min="7182" max="7182" width="12.25" style="3038" customWidth="1"/>
    <col min="7183" max="7183" width="10.375" style="3038" customWidth="1"/>
    <col min="7184" max="7184" width="8.5" style="3038" customWidth="1"/>
    <col min="7185" max="7185" width="12" style="3038" customWidth="1"/>
    <col min="7186" max="7186" width="10.875" style="3038" bestFit="1" customWidth="1"/>
    <col min="7187" max="7187" width="10.5" style="3038" bestFit="1" customWidth="1"/>
    <col min="7188" max="7188" width="10.875" style="3038" bestFit="1" customWidth="1"/>
    <col min="7189" max="7190" width="11" style="3038" customWidth="1"/>
    <col min="7191" max="7191" width="9.375" style="3038" customWidth="1"/>
    <col min="7192" max="7192" width="7.125" style="3038" customWidth="1"/>
    <col min="7193" max="7194" width="11.75" style="3038" customWidth="1"/>
    <col min="7195" max="7195" width="13" style="3038" customWidth="1"/>
    <col min="7196" max="7196" width="10.75" style="3038" customWidth="1"/>
    <col min="7197" max="7198" width="7.375" style="3038" customWidth="1"/>
    <col min="7199" max="7199" width="10.25" style="3038" customWidth="1"/>
    <col min="7200" max="7209" width="8.625" style="3038" customWidth="1"/>
    <col min="7210" max="7211" width="14.125" style="3038" bestFit="1" customWidth="1"/>
    <col min="7212" max="7213" width="10.25" style="3038" customWidth="1"/>
    <col min="7214" max="7214" width="10.125" style="3038" customWidth="1"/>
    <col min="7215" max="7215" width="8.875" style="3038" customWidth="1"/>
    <col min="7216" max="7216" width="9.375" style="3038" customWidth="1"/>
    <col min="7217" max="7217" width="13.25" style="3038" customWidth="1"/>
    <col min="7218" max="7218" width="13" style="3038" customWidth="1"/>
    <col min="7219" max="7219" width="10.875" style="3038" customWidth="1"/>
    <col min="7220" max="7220" width="9.375" style="3038" customWidth="1"/>
    <col min="7221" max="7221" width="10.875" style="3038" customWidth="1"/>
    <col min="7222" max="7222" width="10.5" style="3038" customWidth="1"/>
    <col min="7223" max="7223" width="8.125" style="3038" customWidth="1"/>
    <col min="7224" max="7224" width="8.625" style="3038" customWidth="1"/>
    <col min="7225" max="7225" width="10.75" style="3038" customWidth="1"/>
    <col min="7226" max="7226" width="9.625" style="3038" customWidth="1"/>
    <col min="7227" max="7227" width="9.5" style="3038" customWidth="1"/>
    <col min="7228" max="7228" width="11" style="3038" customWidth="1"/>
    <col min="7229" max="7229" width="9.25" style="3038" customWidth="1"/>
    <col min="7230" max="7231" width="11" style="3038" customWidth="1"/>
    <col min="7232" max="7232" width="9.625" style="3038" customWidth="1"/>
    <col min="7233" max="7235" width="10.75" style="3038" bestFit="1" customWidth="1"/>
    <col min="7236" max="7236" width="10.25" style="3038" bestFit="1" customWidth="1"/>
    <col min="7237" max="7237" width="10.75" style="3038" bestFit="1" customWidth="1"/>
    <col min="7238" max="7238" width="10.25" style="3038" bestFit="1" customWidth="1"/>
    <col min="7239" max="7239" width="10.75" style="3038" bestFit="1" customWidth="1"/>
    <col min="7240" max="7240" width="10.25" style="3038" bestFit="1" customWidth="1"/>
    <col min="7241" max="7241" width="10.75" style="3038" bestFit="1" customWidth="1"/>
    <col min="7242" max="7242" width="10.25" style="3038" bestFit="1" customWidth="1"/>
    <col min="7243" max="7243" width="10.75" style="3038" bestFit="1" customWidth="1"/>
    <col min="7244" max="7244" width="10.25" style="3038" bestFit="1" customWidth="1"/>
    <col min="7245" max="7245" width="10.375" style="3038" customWidth="1"/>
    <col min="7246" max="7246" width="10.25" style="3038" customWidth="1"/>
    <col min="7247" max="7247" width="10.375" style="3038" customWidth="1"/>
    <col min="7248" max="7249" width="10.5" style="3038" customWidth="1"/>
    <col min="7250" max="7250" width="11.125" style="3038" customWidth="1"/>
    <col min="7251" max="7251" width="9.875" style="3038" customWidth="1"/>
    <col min="7252" max="7252" width="10.25" style="3038" customWidth="1"/>
    <col min="7253" max="7253" width="9.875" style="3038" customWidth="1"/>
    <col min="7254" max="7254" width="10" style="3038" customWidth="1"/>
    <col min="7255" max="7255" width="9.75" style="3038" customWidth="1"/>
    <col min="7256" max="7280" width="9.625" style="3038" customWidth="1"/>
    <col min="7281" max="7281" width="13.625" style="3038" bestFit="1" customWidth="1"/>
    <col min="7282" max="7282" width="12.375" style="3038" bestFit="1" customWidth="1"/>
    <col min="7283" max="7283" width="9.875" style="3038" bestFit="1" customWidth="1"/>
    <col min="7284" max="7284" width="10.375" style="3038" customWidth="1"/>
    <col min="7285" max="7285" width="9.25" style="3038" customWidth="1"/>
    <col min="7286" max="7286" width="12.625" style="3038" customWidth="1"/>
    <col min="7287" max="7287" width="9.875" style="3038" bestFit="1" customWidth="1"/>
    <col min="7288" max="7288" width="9.125" style="3038" bestFit="1" customWidth="1"/>
    <col min="7289" max="7290" width="9.875" style="3038" bestFit="1" customWidth="1"/>
    <col min="7291" max="7291" width="9.125" style="3038" bestFit="1" customWidth="1"/>
    <col min="7292" max="7293" width="9.875" style="3038" bestFit="1" customWidth="1"/>
    <col min="7294" max="7294" width="11.125" style="3038" bestFit="1" customWidth="1"/>
    <col min="7295" max="7296" width="9.875" style="3038" bestFit="1" customWidth="1"/>
    <col min="7297" max="7297" width="11.125" style="3038" bestFit="1" customWidth="1"/>
    <col min="7298" max="7299" width="9.875" style="3038" bestFit="1" customWidth="1"/>
    <col min="7300" max="7300" width="11.125" style="3038" bestFit="1" customWidth="1"/>
    <col min="7301" max="7301" width="9.125" style="3038" bestFit="1" customWidth="1"/>
    <col min="7302" max="7302" width="9.875" style="3038" bestFit="1" customWidth="1"/>
    <col min="7303" max="7303" width="11.125" style="3038" bestFit="1" customWidth="1"/>
    <col min="7304" max="7304" width="9.125" style="3038" bestFit="1" customWidth="1"/>
    <col min="7305" max="7305" width="9.875" style="3038" bestFit="1" customWidth="1"/>
    <col min="7306" max="7306" width="11.125" style="3038" bestFit="1" customWidth="1"/>
    <col min="7307" max="7307" width="9.125" style="3038" bestFit="1" customWidth="1"/>
    <col min="7308" max="7308" width="9.875" style="3038" bestFit="1" customWidth="1"/>
    <col min="7309" max="7309" width="11.125" style="3038" bestFit="1" customWidth="1"/>
    <col min="7310" max="7310" width="9.125" style="3038" bestFit="1" customWidth="1"/>
    <col min="7311" max="7311" width="9.875" style="3038" bestFit="1" customWidth="1"/>
    <col min="7312" max="7312" width="11.125" style="3038" bestFit="1" customWidth="1"/>
    <col min="7313" max="7313" width="9.125" style="3038" bestFit="1" customWidth="1"/>
    <col min="7314" max="7314" width="9.875" style="3038" bestFit="1" customWidth="1"/>
    <col min="7315" max="7315" width="11.125" style="3038" bestFit="1" customWidth="1"/>
    <col min="7316" max="7316" width="9.125" style="3038" bestFit="1" customWidth="1"/>
    <col min="7317" max="7317" width="9.875" style="3038" bestFit="1" customWidth="1"/>
    <col min="7318" max="7318" width="11.125" style="3038" bestFit="1" customWidth="1"/>
    <col min="7319" max="7319" width="9.125" style="3038" bestFit="1" customWidth="1"/>
    <col min="7320" max="7320" width="9.875" style="3038" bestFit="1" customWidth="1"/>
    <col min="7321" max="7321" width="11.125" style="3038" bestFit="1" customWidth="1"/>
    <col min="7322" max="7322" width="9.125" style="3038" bestFit="1" customWidth="1"/>
    <col min="7323" max="7323" width="9.875" style="3038" bestFit="1" customWidth="1"/>
    <col min="7324" max="7324" width="11.125" style="3038" bestFit="1" customWidth="1"/>
    <col min="7325" max="7325" width="7.875" style="3038" customWidth="1"/>
    <col min="7326" max="7327" width="9.875" style="3038" bestFit="1" customWidth="1"/>
    <col min="7328" max="7328" width="7.875" style="3038"/>
    <col min="7329" max="7330" width="9.875" style="3038" bestFit="1" customWidth="1"/>
    <col min="7331" max="7331" width="7.875" style="3038"/>
    <col min="7332" max="7333" width="9.875" style="3038" bestFit="1" customWidth="1"/>
    <col min="7334" max="7334" width="7.875" style="3038"/>
    <col min="7335" max="7336" width="9.875" style="3038" bestFit="1" customWidth="1"/>
    <col min="7337" max="7337" width="7.875" style="3038"/>
    <col min="7338" max="7338" width="9.875" style="3038" bestFit="1" customWidth="1"/>
    <col min="7339" max="7339" width="8.875" style="3038" bestFit="1" customWidth="1"/>
    <col min="7340" max="7340" width="7.875" style="3038"/>
    <col min="7341" max="7341" width="9.875" style="3038" bestFit="1" customWidth="1"/>
    <col min="7342" max="7342" width="8.875" style="3038" bestFit="1" customWidth="1"/>
    <col min="7343" max="7343" width="7.875" style="3038"/>
    <col min="7344" max="7344" width="9.875" style="3038" bestFit="1" customWidth="1"/>
    <col min="7345" max="7345" width="8.875" style="3038" bestFit="1" customWidth="1"/>
    <col min="7346" max="7346" width="7.875" style="3038"/>
    <col min="7347" max="7347" width="9.875" style="3038" bestFit="1" customWidth="1"/>
    <col min="7348" max="7348" width="8.875" style="3038" bestFit="1" customWidth="1"/>
    <col min="7349" max="7349" width="7.875" style="3038"/>
    <col min="7350" max="7350" width="9.875" style="3038" bestFit="1" customWidth="1"/>
    <col min="7351" max="7351" width="8.875" style="3038" bestFit="1" customWidth="1"/>
    <col min="7352" max="7352" width="7.875" style="3038"/>
    <col min="7353" max="7353" width="9.875" style="3038" bestFit="1" customWidth="1"/>
    <col min="7354" max="7354" width="11.125" style="3038" bestFit="1" customWidth="1"/>
    <col min="7355" max="7355" width="9.125" style="3038" bestFit="1" customWidth="1"/>
    <col min="7356" max="7356" width="9.875" style="3038" bestFit="1" customWidth="1"/>
    <col min="7357" max="7357" width="11.125" style="3038" bestFit="1" customWidth="1"/>
    <col min="7358" max="7358" width="7.875" style="3038"/>
    <col min="7359" max="7359" width="9.25" style="3038" customWidth="1"/>
    <col min="7360" max="7424" width="7.875" style="3038"/>
    <col min="7425" max="7425" width="3.875" style="3038" customWidth="1"/>
    <col min="7426" max="7426" width="10.375" style="3038" customWidth="1"/>
    <col min="7427" max="7427" width="11.375" style="3038" bestFit="1" customWidth="1"/>
    <col min="7428" max="7428" width="10.5" style="3038" customWidth="1"/>
    <col min="7429" max="7429" width="11.625" style="3038" customWidth="1"/>
    <col min="7430" max="7430" width="9.875" style="3038" customWidth="1"/>
    <col min="7431" max="7431" width="11.875" style="3038" customWidth="1"/>
    <col min="7432" max="7432" width="12.75" style="3038" customWidth="1"/>
    <col min="7433" max="7433" width="11" style="3038" customWidth="1"/>
    <col min="7434" max="7434" width="12.75" style="3038" customWidth="1"/>
    <col min="7435" max="7435" width="14" style="3038" customWidth="1"/>
    <col min="7436" max="7436" width="9.375" style="3038" customWidth="1"/>
    <col min="7437" max="7437" width="10.875" style="3038" customWidth="1"/>
    <col min="7438" max="7438" width="12.25" style="3038" customWidth="1"/>
    <col min="7439" max="7439" width="10.375" style="3038" customWidth="1"/>
    <col min="7440" max="7440" width="8.5" style="3038" customWidth="1"/>
    <col min="7441" max="7441" width="12" style="3038" customWidth="1"/>
    <col min="7442" max="7442" width="10.875" style="3038" bestFit="1" customWidth="1"/>
    <col min="7443" max="7443" width="10.5" style="3038" bestFit="1" customWidth="1"/>
    <col min="7444" max="7444" width="10.875" style="3038" bestFit="1" customWidth="1"/>
    <col min="7445" max="7446" width="11" style="3038" customWidth="1"/>
    <col min="7447" max="7447" width="9.375" style="3038" customWidth="1"/>
    <col min="7448" max="7448" width="7.125" style="3038" customWidth="1"/>
    <col min="7449" max="7450" width="11.75" style="3038" customWidth="1"/>
    <col min="7451" max="7451" width="13" style="3038" customWidth="1"/>
    <col min="7452" max="7452" width="10.75" style="3038" customWidth="1"/>
    <col min="7453" max="7454" width="7.375" style="3038" customWidth="1"/>
    <col min="7455" max="7455" width="10.25" style="3038" customWidth="1"/>
    <col min="7456" max="7465" width="8.625" style="3038" customWidth="1"/>
    <col min="7466" max="7467" width="14.125" style="3038" bestFit="1" customWidth="1"/>
    <col min="7468" max="7469" width="10.25" style="3038" customWidth="1"/>
    <col min="7470" max="7470" width="10.125" style="3038" customWidth="1"/>
    <col min="7471" max="7471" width="8.875" style="3038" customWidth="1"/>
    <col min="7472" max="7472" width="9.375" style="3038" customWidth="1"/>
    <col min="7473" max="7473" width="13.25" style="3038" customWidth="1"/>
    <col min="7474" max="7474" width="13" style="3038" customWidth="1"/>
    <col min="7475" max="7475" width="10.875" style="3038" customWidth="1"/>
    <col min="7476" max="7476" width="9.375" style="3038" customWidth="1"/>
    <col min="7477" max="7477" width="10.875" style="3038" customWidth="1"/>
    <col min="7478" max="7478" width="10.5" style="3038" customWidth="1"/>
    <col min="7479" max="7479" width="8.125" style="3038" customWidth="1"/>
    <col min="7480" max="7480" width="8.625" style="3038" customWidth="1"/>
    <col min="7481" max="7481" width="10.75" style="3038" customWidth="1"/>
    <col min="7482" max="7482" width="9.625" style="3038" customWidth="1"/>
    <col min="7483" max="7483" width="9.5" style="3038" customWidth="1"/>
    <col min="7484" max="7484" width="11" style="3038" customWidth="1"/>
    <col min="7485" max="7485" width="9.25" style="3038" customWidth="1"/>
    <col min="7486" max="7487" width="11" style="3038" customWidth="1"/>
    <col min="7488" max="7488" width="9.625" style="3038" customWidth="1"/>
    <col min="7489" max="7491" width="10.75" style="3038" bestFit="1" customWidth="1"/>
    <col min="7492" max="7492" width="10.25" style="3038" bestFit="1" customWidth="1"/>
    <col min="7493" max="7493" width="10.75" style="3038" bestFit="1" customWidth="1"/>
    <col min="7494" max="7494" width="10.25" style="3038" bestFit="1" customWidth="1"/>
    <col min="7495" max="7495" width="10.75" style="3038" bestFit="1" customWidth="1"/>
    <col min="7496" max="7496" width="10.25" style="3038" bestFit="1" customWidth="1"/>
    <col min="7497" max="7497" width="10.75" style="3038" bestFit="1" customWidth="1"/>
    <col min="7498" max="7498" width="10.25" style="3038" bestFit="1" customWidth="1"/>
    <col min="7499" max="7499" width="10.75" style="3038" bestFit="1" customWidth="1"/>
    <col min="7500" max="7500" width="10.25" style="3038" bestFit="1" customWidth="1"/>
    <col min="7501" max="7501" width="10.375" style="3038" customWidth="1"/>
    <col min="7502" max="7502" width="10.25" style="3038" customWidth="1"/>
    <col min="7503" max="7503" width="10.375" style="3038" customWidth="1"/>
    <col min="7504" max="7505" width="10.5" style="3038" customWidth="1"/>
    <col min="7506" max="7506" width="11.125" style="3038" customWidth="1"/>
    <col min="7507" max="7507" width="9.875" style="3038" customWidth="1"/>
    <col min="7508" max="7508" width="10.25" style="3038" customWidth="1"/>
    <col min="7509" max="7509" width="9.875" style="3038" customWidth="1"/>
    <col min="7510" max="7510" width="10" style="3038" customWidth="1"/>
    <col min="7511" max="7511" width="9.75" style="3038" customWidth="1"/>
    <col min="7512" max="7536" width="9.625" style="3038" customWidth="1"/>
    <col min="7537" max="7537" width="13.625" style="3038" bestFit="1" customWidth="1"/>
    <col min="7538" max="7538" width="12.375" style="3038" bestFit="1" customWidth="1"/>
    <col min="7539" max="7539" width="9.875" style="3038" bestFit="1" customWidth="1"/>
    <col min="7540" max="7540" width="10.375" style="3038" customWidth="1"/>
    <col min="7541" max="7541" width="9.25" style="3038" customWidth="1"/>
    <col min="7542" max="7542" width="12.625" style="3038" customWidth="1"/>
    <col min="7543" max="7543" width="9.875" style="3038" bestFit="1" customWidth="1"/>
    <col min="7544" max="7544" width="9.125" style="3038" bestFit="1" customWidth="1"/>
    <col min="7545" max="7546" width="9.875" style="3038" bestFit="1" customWidth="1"/>
    <col min="7547" max="7547" width="9.125" style="3038" bestFit="1" customWidth="1"/>
    <col min="7548" max="7549" width="9.875" style="3038" bestFit="1" customWidth="1"/>
    <col min="7550" max="7550" width="11.125" style="3038" bestFit="1" customWidth="1"/>
    <col min="7551" max="7552" width="9.875" style="3038" bestFit="1" customWidth="1"/>
    <col min="7553" max="7553" width="11.125" style="3038" bestFit="1" customWidth="1"/>
    <col min="7554" max="7555" width="9.875" style="3038" bestFit="1" customWidth="1"/>
    <col min="7556" max="7556" width="11.125" style="3038" bestFit="1" customWidth="1"/>
    <col min="7557" max="7557" width="9.125" style="3038" bestFit="1" customWidth="1"/>
    <col min="7558" max="7558" width="9.875" style="3038" bestFit="1" customWidth="1"/>
    <col min="7559" max="7559" width="11.125" style="3038" bestFit="1" customWidth="1"/>
    <col min="7560" max="7560" width="9.125" style="3038" bestFit="1" customWidth="1"/>
    <col min="7561" max="7561" width="9.875" style="3038" bestFit="1" customWidth="1"/>
    <col min="7562" max="7562" width="11.125" style="3038" bestFit="1" customWidth="1"/>
    <col min="7563" max="7563" width="9.125" style="3038" bestFit="1" customWidth="1"/>
    <col min="7564" max="7564" width="9.875" style="3038" bestFit="1" customWidth="1"/>
    <col min="7565" max="7565" width="11.125" style="3038" bestFit="1" customWidth="1"/>
    <col min="7566" max="7566" width="9.125" style="3038" bestFit="1" customWidth="1"/>
    <col min="7567" max="7567" width="9.875" style="3038" bestFit="1" customWidth="1"/>
    <col min="7568" max="7568" width="11.125" style="3038" bestFit="1" customWidth="1"/>
    <col min="7569" max="7569" width="9.125" style="3038" bestFit="1" customWidth="1"/>
    <col min="7570" max="7570" width="9.875" style="3038" bestFit="1" customWidth="1"/>
    <col min="7571" max="7571" width="11.125" style="3038" bestFit="1" customWidth="1"/>
    <col min="7572" max="7572" width="9.125" style="3038" bestFit="1" customWidth="1"/>
    <col min="7573" max="7573" width="9.875" style="3038" bestFit="1" customWidth="1"/>
    <col min="7574" max="7574" width="11.125" style="3038" bestFit="1" customWidth="1"/>
    <col min="7575" max="7575" width="9.125" style="3038" bestFit="1" customWidth="1"/>
    <col min="7576" max="7576" width="9.875" style="3038" bestFit="1" customWidth="1"/>
    <col min="7577" max="7577" width="11.125" style="3038" bestFit="1" customWidth="1"/>
    <col min="7578" max="7578" width="9.125" style="3038" bestFit="1" customWidth="1"/>
    <col min="7579" max="7579" width="9.875" style="3038" bestFit="1" customWidth="1"/>
    <col min="7580" max="7580" width="11.125" style="3038" bestFit="1" customWidth="1"/>
    <col min="7581" max="7581" width="7.875" style="3038" customWidth="1"/>
    <col min="7582" max="7583" width="9.875" style="3038" bestFit="1" customWidth="1"/>
    <col min="7584" max="7584" width="7.875" style="3038"/>
    <col min="7585" max="7586" width="9.875" style="3038" bestFit="1" customWidth="1"/>
    <col min="7587" max="7587" width="7.875" style="3038"/>
    <col min="7588" max="7589" width="9.875" style="3038" bestFit="1" customWidth="1"/>
    <col min="7590" max="7590" width="7.875" style="3038"/>
    <col min="7591" max="7592" width="9.875" style="3038" bestFit="1" customWidth="1"/>
    <col min="7593" max="7593" width="7.875" style="3038"/>
    <col min="7594" max="7594" width="9.875" style="3038" bestFit="1" customWidth="1"/>
    <col min="7595" max="7595" width="8.875" style="3038" bestFit="1" customWidth="1"/>
    <col min="7596" max="7596" width="7.875" style="3038"/>
    <col min="7597" max="7597" width="9.875" style="3038" bestFit="1" customWidth="1"/>
    <col min="7598" max="7598" width="8.875" style="3038" bestFit="1" customWidth="1"/>
    <col min="7599" max="7599" width="7.875" style="3038"/>
    <col min="7600" max="7600" width="9.875" style="3038" bestFit="1" customWidth="1"/>
    <col min="7601" max="7601" width="8.875" style="3038" bestFit="1" customWidth="1"/>
    <col min="7602" max="7602" width="7.875" style="3038"/>
    <col min="7603" max="7603" width="9.875" style="3038" bestFit="1" customWidth="1"/>
    <col min="7604" max="7604" width="8.875" style="3038" bestFit="1" customWidth="1"/>
    <col min="7605" max="7605" width="7.875" style="3038"/>
    <col min="7606" max="7606" width="9.875" style="3038" bestFit="1" customWidth="1"/>
    <col min="7607" max="7607" width="8.875" style="3038" bestFit="1" customWidth="1"/>
    <col min="7608" max="7608" width="7.875" style="3038"/>
    <col min="7609" max="7609" width="9.875" style="3038" bestFit="1" customWidth="1"/>
    <col min="7610" max="7610" width="11.125" style="3038" bestFit="1" customWidth="1"/>
    <col min="7611" max="7611" width="9.125" style="3038" bestFit="1" customWidth="1"/>
    <col min="7612" max="7612" width="9.875" style="3038" bestFit="1" customWidth="1"/>
    <col min="7613" max="7613" width="11.125" style="3038" bestFit="1" customWidth="1"/>
    <col min="7614" max="7614" width="7.875" style="3038"/>
    <col min="7615" max="7615" width="9.25" style="3038" customWidth="1"/>
    <col min="7616" max="7680" width="7.875" style="3038"/>
    <col min="7681" max="7681" width="3.875" style="3038" customWidth="1"/>
    <col min="7682" max="7682" width="10.375" style="3038" customWidth="1"/>
    <col min="7683" max="7683" width="11.375" style="3038" bestFit="1" customWidth="1"/>
    <col min="7684" max="7684" width="10.5" style="3038" customWidth="1"/>
    <col min="7685" max="7685" width="11.625" style="3038" customWidth="1"/>
    <col min="7686" max="7686" width="9.875" style="3038" customWidth="1"/>
    <col min="7687" max="7687" width="11.875" style="3038" customWidth="1"/>
    <col min="7688" max="7688" width="12.75" style="3038" customWidth="1"/>
    <col min="7689" max="7689" width="11" style="3038" customWidth="1"/>
    <col min="7690" max="7690" width="12.75" style="3038" customWidth="1"/>
    <col min="7691" max="7691" width="14" style="3038" customWidth="1"/>
    <col min="7692" max="7692" width="9.375" style="3038" customWidth="1"/>
    <col min="7693" max="7693" width="10.875" style="3038" customWidth="1"/>
    <col min="7694" max="7694" width="12.25" style="3038" customWidth="1"/>
    <col min="7695" max="7695" width="10.375" style="3038" customWidth="1"/>
    <col min="7696" max="7696" width="8.5" style="3038" customWidth="1"/>
    <col min="7697" max="7697" width="12" style="3038" customWidth="1"/>
    <col min="7698" max="7698" width="10.875" style="3038" bestFit="1" customWidth="1"/>
    <col min="7699" max="7699" width="10.5" style="3038" bestFit="1" customWidth="1"/>
    <col min="7700" max="7700" width="10.875" style="3038" bestFit="1" customWidth="1"/>
    <col min="7701" max="7702" width="11" style="3038" customWidth="1"/>
    <col min="7703" max="7703" width="9.375" style="3038" customWidth="1"/>
    <col min="7704" max="7704" width="7.125" style="3038" customWidth="1"/>
    <col min="7705" max="7706" width="11.75" style="3038" customWidth="1"/>
    <col min="7707" max="7707" width="13" style="3038" customWidth="1"/>
    <col min="7708" max="7708" width="10.75" style="3038" customWidth="1"/>
    <col min="7709" max="7710" width="7.375" style="3038" customWidth="1"/>
    <col min="7711" max="7711" width="10.25" style="3038" customWidth="1"/>
    <col min="7712" max="7721" width="8.625" style="3038" customWidth="1"/>
    <col min="7722" max="7723" width="14.125" style="3038" bestFit="1" customWidth="1"/>
    <col min="7724" max="7725" width="10.25" style="3038" customWidth="1"/>
    <col min="7726" max="7726" width="10.125" style="3038" customWidth="1"/>
    <col min="7727" max="7727" width="8.875" style="3038" customWidth="1"/>
    <col min="7728" max="7728" width="9.375" style="3038" customWidth="1"/>
    <col min="7729" max="7729" width="13.25" style="3038" customWidth="1"/>
    <col min="7730" max="7730" width="13" style="3038" customWidth="1"/>
    <col min="7731" max="7731" width="10.875" style="3038" customWidth="1"/>
    <col min="7732" max="7732" width="9.375" style="3038" customWidth="1"/>
    <col min="7733" max="7733" width="10.875" style="3038" customWidth="1"/>
    <col min="7734" max="7734" width="10.5" style="3038" customWidth="1"/>
    <col min="7735" max="7735" width="8.125" style="3038" customWidth="1"/>
    <col min="7736" max="7736" width="8.625" style="3038" customWidth="1"/>
    <col min="7737" max="7737" width="10.75" style="3038" customWidth="1"/>
    <col min="7738" max="7738" width="9.625" style="3038" customWidth="1"/>
    <col min="7739" max="7739" width="9.5" style="3038" customWidth="1"/>
    <col min="7740" max="7740" width="11" style="3038" customWidth="1"/>
    <col min="7741" max="7741" width="9.25" style="3038" customWidth="1"/>
    <col min="7742" max="7743" width="11" style="3038" customWidth="1"/>
    <col min="7744" max="7744" width="9.625" style="3038" customWidth="1"/>
    <col min="7745" max="7747" width="10.75" style="3038" bestFit="1" customWidth="1"/>
    <col min="7748" max="7748" width="10.25" style="3038" bestFit="1" customWidth="1"/>
    <col min="7749" max="7749" width="10.75" style="3038" bestFit="1" customWidth="1"/>
    <col min="7750" max="7750" width="10.25" style="3038" bestFit="1" customWidth="1"/>
    <col min="7751" max="7751" width="10.75" style="3038" bestFit="1" customWidth="1"/>
    <col min="7752" max="7752" width="10.25" style="3038" bestFit="1" customWidth="1"/>
    <col min="7753" max="7753" width="10.75" style="3038" bestFit="1" customWidth="1"/>
    <col min="7754" max="7754" width="10.25" style="3038" bestFit="1" customWidth="1"/>
    <col min="7755" max="7755" width="10.75" style="3038" bestFit="1" customWidth="1"/>
    <col min="7756" max="7756" width="10.25" style="3038" bestFit="1" customWidth="1"/>
    <col min="7757" max="7757" width="10.375" style="3038" customWidth="1"/>
    <col min="7758" max="7758" width="10.25" style="3038" customWidth="1"/>
    <col min="7759" max="7759" width="10.375" style="3038" customWidth="1"/>
    <col min="7760" max="7761" width="10.5" style="3038" customWidth="1"/>
    <col min="7762" max="7762" width="11.125" style="3038" customWidth="1"/>
    <col min="7763" max="7763" width="9.875" style="3038" customWidth="1"/>
    <col min="7764" max="7764" width="10.25" style="3038" customWidth="1"/>
    <col min="7765" max="7765" width="9.875" style="3038" customWidth="1"/>
    <col min="7766" max="7766" width="10" style="3038" customWidth="1"/>
    <col min="7767" max="7767" width="9.75" style="3038" customWidth="1"/>
    <col min="7768" max="7792" width="9.625" style="3038" customWidth="1"/>
    <col min="7793" max="7793" width="13.625" style="3038" bestFit="1" customWidth="1"/>
    <col min="7794" max="7794" width="12.375" style="3038" bestFit="1" customWidth="1"/>
    <col min="7795" max="7795" width="9.875" style="3038" bestFit="1" customWidth="1"/>
    <col min="7796" max="7796" width="10.375" style="3038" customWidth="1"/>
    <col min="7797" max="7797" width="9.25" style="3038" customWidth="1"/>
    <col min="7798" max="7798" width="12.625" style="3038" customWidth="1"/>
    <col min="7799" max="7799" width="9.875" style="3038" bestFit="1" customWidth="1"/>
    <col min="7800" max="7800" width="9.125" style="3038" bestFit="1" customWidth="1"/>
    <col min="7801" max="7802" width="9.875" style="3038" bestFit="1" customWidth="1"/>
    <col min="7803" max="7803" width="9.125" style="3038" bestFit="1" customWidth="1"/>
    <col min="7804" max="7805" width="9.875" style="3038" bestFit="1" customWidth="1"/>
    <col min="7806" max="7806" width="11.125" style="3038" bestFit="1" customWidth="1"/>
    <col min="7807" max="7808" width="9.875" style="3038" bestFit="1" customWidth="1"/>
    <col min="7809" max="7809" width="11.125" style="3038" bestFit="1" customWidth="1"/>
    <col min="7810" max="7811" width="9.875" style="3038" bestFit="1" customWidth="1"/>
    <col min="7812" max="7812" width="11.125" style="3038" bestFit="1" customWidth="1"/>
    <col min="7813" max="7813" width="9.125" style="3038" bestFit="1" customWidth="1"/>
    <col min="7814" max="7814" width="9.875" style="3038" bestFit="1" customWidth="1"/>
    <col min="7815" max="7815" width="11.125" style="3038" bestFit="1" customWidth="1"/>
    <col min="7816" max="7816" width="9.125" style="3038" bestFit="1" customWidth="1"/>
    <col min="7817" max="7817" width="9.875" style="3038" bestFit="1" customWidth="1"/>
    <col min="7818" max="7818" width="11.125" style="3038" bestFit="1" customWidth="1"/>
    <col min="7819" max="7819" width="9.125" style="3038" bestFit="1" customWidth="1"/>
    <col min="7820" max="7820" width="9.875" style="3038" bestFit="1" customWidth="1"/>
    <col min="7821" max="7821" width="11.125" style="3038" bestFit="1" customWidth="1"/>
    <col min="7822" max="7822" width="9.125" style="3038" bestFit="1" customWidth="1"/>
    <col min="7823" max="7823" width="9.875" style="3038" bestFit="1" customWidth="1"/>
    <col min="7824" max="7824" width="11.125" style="3038" bestFit="1" customWidth="1"/>
    <col min="7825" max="7825" width="9.125" style="3038" bestFit="1" customWidth="1"/>
    <col min="7826" max="7826" width="9.875" style="3038" bestFit="1" customWidth="1"/>
    <col min="7827" max="7827" width="11.125" style="3038" bestFit="1" customWidth="1"/>
    <col min="7828" max="7828" width="9.125" style="3038" bestFit="1" customWidth="1"/>
    <col min="7829" max="7829" width="9.875" style="3038" bestFit="1" customWidth="1"/>
    <col min="7830" max="7830" width="11.125" style="3038" bestFit="1" customWidth="1"/>
    <col min="7831" max="7831" width="9.125" style="3038" bestFit="1" customWidth="1"/>
    <col min="7832" max="7832" width="9.875" style="3038" bestFit="1" customWidth="1"/>
    <col min="7833" max="7833" width="11.125" style="3038" bestFit="1" customWidth="1"/>
    <col min="7834" max="7834" width="9.125" style="3038" bestFit="1" customWidth="1"/>
    <col min="7835" max="7835" width="9.875" style="3038" bestFit="1" customWidth="1"/>
    <col min="7836" max="7836" width="11.125" style="3038" bestFit="1" customWidth="1"/>
    <col min="7837" max="7837" width="7.875" style="3038" customWidth="1"/>
    <col min="7838" max="7839" width="9.875" style="3038" bestFit="1" customWidth="1"/>
    <col min="7840" max="7840" width="7.875" style="3038"/>
    <col min="7841" max="7842" width="9.875" style="3038" bestFit="1" customWidth="1"/>
    <col min="7843" max="7843" width="7.875" style="3038"/>
    <col min="7844" max="7845" width="9.875" style="3038" bestFit="1" customWidth="1"/>
    <col min="7846" max="7846" width="7.875" style="3038"/>
    <col min="7847" max="7848" width="9.875" style="3038" bestFit="1" customWidth="1"/>
    <col min="7849" max="7849" width="7.875" style="3038"/>
    <col min="7850" max="7850" width="9.875" style="3038" bestFit="1" customWidth="1"/>
    <col min="7851" max="7851" width="8.875" style="3038" bestFit="1" customWidth="1"/>
    <col min="7852" max="7852" width="7.875" style="3038"/>
    <col min="7853" max="7853" width="9.875" style="3038" bestFit="1" customWidth="1"/>
    <col min="7854" max="7854" width="8.875" style="3038" bestFit="1" customWidth="1"/>
    <col min="7855" max="7855" width="7.875" style="3038"/>
    <col min="7856" max="7856" width="9.875" style="3038" bestFit="1" customWidth="1"/>
    <col min="7857" max="7857" width="8.875" style="3038" bestFit="1" customWidth="1"/>
    <col min="7858" max="7858" width="7.875" style="3038"/>
    <col min="7859" max="7859" width="9.875" style="3038" bestFit="1" customWidth="1"/>
    <col min="7860" max="7860" width="8.875" style="3038" bestFit="1" customWidth="1"/>
    <col min="7861" max="7861" width="7.875" style="3038"/>
    <col min="7862" max="7862" width="9.875" style="3038" bestFit="1" customWidth="1"/>
    <col min="7863" max="7863" width="8.875" style="3038" bestFit="1" customWidth="1"/>
    <col min="7864" max="7864" width="7.875" style="3038"/>
    <col min="7865" max="7865" width="9.875" style="3038" bestFit="1" customWidth="1"/>
    <col min="7866" max="7866" width="11.125" style="3038" bestFit="1" customWidth="1"/>
    <col min="7867" max="7867" width="9.125" style="3038" bestFit="1" customWidth="1"/>
    <col min="7868" max="7868" width="9.875" style="3038" bestFit="1" customWidth="1"/>
    <col min="7869" max="7869" width="11.125" style="3038" bestFit="1" customWidth="1"/>
    <col min="7870" max="7870" width="7.875" style="3038"/>
    <col min="7871" max="7871" width="9.25" style="3038" customWidth="1"/>
    <col min="7872" max="7936" width="7.875" style="3038"/>
    <col min="7937" max="7937" width="3.875" style="3038" customWidth="1"/>
    <col min="7938" max="7938" width="10.375" style="3038" customWidth="1"/>
    <col min="7939" max="7939" width="11.375" style="3038" bestFit="1" customWidth="1"/>
    <col min="7940" max="7940" width="10.5" style="3038" customWidth="1"/>
    <col min="7941" max="7941" width="11.625" style="3038" customWidth="1"/>
    <col min="7942" max="7942" width="9.875" style="3038" customWidth="1"/>
    <col min="7943" max="7943" width="11.875" style="3038" customWidth="1"/>
    <col min="7944" max="7944" width="12.75" style="3038" customWidth="1"/>
    <col min="7945" max="7945" width="11" style="3038" customWidth="1"/>
    <col min="7946" max="7946" width="12.75" style="3038" customWidth="1"/>
    <col min="7947" max="7947" width="14" style="3038" customWidth="1"/>
    <col min="7948" max="7948" width="9.375" style="3038" customWidth="1"/>
    <col min="7949" max="7949" width="10.875" style="3038" customWidth="1"/>
    <col min="7950" max="7950" width="12.25" style="3038" customWidth="1"/>
    <col min="7951" max="7951" width="10.375" style="3038" customWidth="1"/>
    <col min="7952" max="7952" width="8.5" style="3038" customWidth="1"/>
    <col min="7953" max="7953" width="12" style="3038" customWidth="1"/>
    <col min="7954" max="7954" width="10.875" style="3038" bestFit="1" customWidth="1"/>
    <col min="7955" max="7955" width="10.5" style="3038" bestFit="1" customWidth="1"/>
    <col min="7956" max="7956" width="10.875" style="3038" bestFit="1" customWidth="1"/>
    <col min="7957" max="7958" width="11" style="3038" customWidth="1"/>
    <col min="7959" max="7959" width="9.375" style="3038" customWidth="1"/>
    <col min="7960" max="7960" width="7.125" style="3038" customWidth="1"/>
    <col min="7961" max="7962" width="11.75" style="3038" customWidth="1"/>
    <col min="7963" max="7963" width="13" style="3038" customWidth="1"/>
    <col min="7964" max="7964" width="10.75" style="3038" customWidth="1"/>
    <col min="7965" max="7966" width="7.375" style="3038" customWidth="1"/>
    <col min="7967" max="7967" width="10.25" style="3038" customWidth="1"/>
    <col min="7968" max="7977" width="8.625" style="3038" customWidth="1"/>
    <col min="7978" max="7979" width="14.125" style="3038" bestFit="1" customWidth="1"/>
    <col min="7980" max="7981" width="10.25" style="3038" customWidth="1"/>
    <col min="7982" max="7982" width="10.125" style="3038" customWidth="1"/>
    <col min="7983" max="7983" width="8.875" style="3038" customWidth="1"/>
    <col min="7984" max="7984" width="9.375" style="3038" customWidth="1"/>
    <col min="7985" max="7985" width="13.25" style="3038" customWidth="1"/>
    <col min="7986" max="7986" width="13" style="3038" customWidth="1"/>
    <col min="7987" max="7987" width="10.875" style="3038" customWidth="1"/>
    <col min="7988" max="7988" width="9.375" style="3038" customWidth="1"/>
    <col min="7989" max="7989" width="10.875" style="3038" customWidth="1"/>
    <col min="7990" max="7990" width="10.5" style="3038" customWidth="1"/>
    <col min="7991" max="7991" width="8.125" style="3038" customWidth="1"/>
    <col min="7992" max="7992" width="8.625" style="3038" customWidth="1"/>
    <col min="7993" max="7993" width="10.75" style="3038" customWidth="1"/>
    <col min="7994" max="7994" width="9.625" style="3038" customWidth="1"/>
    <col min="7995" max="7995" width="9.5" style="3038" customWidth="1"/>
    <col min="7996" max="7996" width="11" style="3038" customWidth="1"/>
    <col min="7997" max="7997" width="9.25" style="3038" customWidth="1"/>
    <col min="7998" max="7999" width="11" style="3038" customWidth="1"/>
    <col min="8000" max="8000" width="9.625" style="3038" customWidth="1"/>
    <col min="8001" max="8003" width="10.75" style="3038" bestFit="1" customWidth="1"/>
    <col min="8004" max="8004" width="10.25" style="3038" bestFit="1" customWidth="1"/>
    <col min="8005" max="8005" width="10.75" style="3038" bestFit="1" customWidth="1"/>
    <col min="8006" max="8006" width="10.25" style="3038" bestFit="1" customWidth="1"/>
    <col min="8007" max="8007" width="10.75" style="3038" bestFit="1" customWidth="1"/>
    <col min="8008" max="8008" width="10.25" style="3038" bestFit="1" customWidth="1"/>
    <col min="8009" max="8009" width="10.75" style="3038" bestFit="1" customWidth="1"/>
    <col min="8010" max="8010" width="10.25" style="3038" bestFit="1" customWidth="1"/>
    <col min="8011" max="8011" width="10.75" style="3038" bestFit="1" customWidth="1"/>
    <col min="8012" max="8012" width="10.25" style="3038" bestFit="1" customWidth="1"/>
    <col min="8013" max="8013" width="10.375" style="3038" customWidth="1"/>
    <col min="8014" max="8014" width="10.25" style="3038" customWidth="1"/>
    <col min="8015" max="8015" width="10.375" style="3038" customWidth="1"/>
    <col min="8016" max="8017" width="10.5" style="3038" customWidth="1"/>
    <col min="8018" max="8018" width="11.125" style="3038" customWidth="1"/>
    <col min="8019" max="8019" width="9.875" style="3038" customWidth="1"/>
    <col min="8020" max="8020" width="10.25" style="3038" customWidth="1"/>
    <col min="8021" max="8021" width="9.875" style="3038" customWidth="1"/>
    <col min="8022" max="8022" width="10" style="3038" customWidth="1"/>
    <col min="8023" max="8023" width="9.75" style="3038" customWidth="1"/>
    <col min="8024" max="8048" width="9.625" style="3038" customWidth="1"/>
    <col min="8049" max="8049" width="13.625" style="3038" bestFit="1" customWidth="1"/>
    <col min="8050" max="8050" width="12.375" style="3038" bestFit="1" customWidth="1"/>
    <col min="8051" max="8051" width="9.875" style="3038" bestFit="1" customWidth="1"/>
    <col min="8052" max="8052" width="10.375" style="3038" customWidth="1"/>
    <col min="8053" max="8053" width="9.25" style="3038" customWidth="1"/>
    <col min="8054" max="8054" width="12.625" style="3038" customWidth="1"/>
    <col min="8055" max="8055" width="9.875" style="3038" bestFit="1" customWidth="1"/>
    <col min="8056" max="8056" width="9.125" style="3038" bestFit="1" customWidth="1"/>
    <col min="8057" max="8058" width="9.875" style="3038" bestFit="1" customWidth="1"/>
    <col min="8059" max="8059" width="9.125" style="3038" bestFit="1" customWidth="1"/>
    <col min="8060" max="8061" width="9.875" style="3038" bestFit="1" customWidth="1"/>
    <col min="8062" max="8062" width="11.125" style="3038" bestFit="1" customWidth="1"/>
    <col min="8063" max="8064" width="9.875" style="3038" bestFit="1" customWidth="1"/>
    <col min="8065" max="8065" width="11.125" style="3038" bestFit="1" customWidth="1"/>
    <col min="8066" max="8067" width="9.875" style="3038" bestFit="1" customWidth="1"/>
    <col min="8068" max="8068" width="11.125" style="3038" bestFit="1" customWidth="1"/>
    <col min="8069" max="8069" width="9.125" style="3038" bestFit="1" customWidth="1"/>
    <col min="8070" max="8070" width="9.875" style="3038" bestFit="1" customWidth="1"/>
    <col min="8071" max="8071" width="11.125" style="3038" bestFit="1" customWidth="1"/>
    <col min="8072" max="8072" width="9.125" style="3038" bestFit="1" customWidth="1"/>
    <col min="8073" max="8073" width="9.875" style="3038" bestFit="1" customWidth="1"/>
    <col min="8074" max="8074" width="11.125" style="3038" bestFit="1" customWidth="1"/>
    <col min="8075" max="8075" width="9.125" style="3038" bestFit="1" customWidth="1"/>
    <col min="8076" max="8076" width="9.875" style="3038" bestFit="1" customWidth="1"/>
    <col min="8077" max="8077" width="11.125" style="3038" bestFit="1" customWidth="1"/>
    <col min="8078" max="8078" width="9.125" style="3038" bestFit="1" customWidth="1"/>
    <col min="8079" max="8079" width="9.875" style="3038" bestFit="1" customWidth="1"/>
    <col min="8080" max="8080" width="11.125" style="3038" bestFit="1" customWidth="1"/>
    <col min="8081" max="8081" width="9.125" style="3038" bestFit="1" customWidth="1"/>
    <col min="8082" max="8082" width="9.875" style="3038" bestFit="1" customWidth="1"/>
    <col min="8083" max="8083" width="11.125" style="3038" bestFit="1" customWidth="1"/>
    <col min="8084" max="8084" width="9.125" style="3038" bestFit="1" customWidth="1"/>
    <col min="8085" max="8085" width="9.875" style="3038" bestFit="1" customWidth="1"/>
    <col min="8086" max="8086" width="11.125" style="3038" bestFit="1" customWidth="1"/>
    <col min="8087" max="8087" width="9.125" style="3038" bestFit="1" customWidth="1"/>
    <col min="8088" max="8088" width="9.875" style="3038" bestFit="1" customWidth="1"/>
    <col min="8089" max="8089" width="11.125" style="3038" bestFit="1" customWidth="1"/>
    <col min="8090" max="8090" width="9.125" style="3038" bestFit="1" customWidth="1"/>
    <col min="8091" max="8091" width="9.875" style="3038" bestFit="1" customWidth="1"/>
    <col min="8092" max="8092" width="11.125" style="3038" bestFit="1" customWidth="1"/>
    <col min="8093" max="8093" width="7.875" style="3038" customWidth="1"/>
    <col min="8094" max="8095" width="9.875" style="3038" bestFit="1" customWidth="1"/>
    <col min="8096" max="8096" width="7.875" style="3038"/>
    <col min="8097" max="8098" width="9.875" style="3038" bestFit="1" customWidth="1"/>
    <col min="8099" max="8099" width="7.875" style="3038"/>
    <col min="8100" max="8101" width="9.875" style="3038" bestFit="1" customWidth="1"/>
    <col min="8102" max="8102" width="7.875" style="3038"/>
    <col min="8103" max="8104" width="9.875" style="3038" bestFit="1" customWidth="1"/>
    <col min="8105" max="8105" width="7.875" style="3038"/>
    <col min="8106" max="8106" width="9.875" style="3038" bestFit="1" customWidth="1"/>
    <col min="8107" max="8107" width="8.875" style="3038" bestFit="1" customWidth="1"/>
    <col min="8108" max="8108" width="7.875" style="3038"/>
    <col min="8109" max="8109" width="9.875" style="3038" bestFit="1" customWidth="1"/>
    <col min="8110" max="8110" width="8.875" style="3038" bestFit="1" customWidth="1"/>
    <col min="8111" max="8111" width="7.875" style="3038"/>
    <col min="8112" max="8112" width="9.875" style="3038" bestFit="1" customWidth="1"/>
    <col min="8113" max="8113" width="8.875" style="3038" bestFit="1" customWidth="1"/>
    <col min="8114" max="8114" width="7.875" style="3038"/>
    <col min="8115" max="8115" width="9.875" style="3038" bestFit="1" customWidth="1"/>
    <col min="8116" max="8116" width="8.875" style="3038" bestFit="1" customWidth="1"/>
    <col min="8117" max="8117" width="7.875" style="3038"/>
    <col min="8118" max="8118" width="9.875" style="3038" bestFit="1" customWidth="1"/>
    <col min="8119" max="8119" width="8.875" style="3038" bestFit="1" customWidth="1"/>
    <col min="8120" max="8120" width="7.875" style="3038"/>
    <col min="8121" max="8121" width="9.875" style="3038" bestFit="1" customWidth="1"/>
    <col min="8122" max="8122" width="11.125" style="3038" bestFit="1" customWidth="1"/>
    <col min="8123" max="8123" width="9.125" style="3038" bestFit="1" customWidth="1"/>
    <col min="8124" max="8124" width="9.875" style="3038" bestFit="1" customWidth="1"/>
    <col min="8125" max="8125" width="11.125" style="3038" bestFit="1" customWidth="1"/>
    <col min="8126" max="8126" width="7.875" style="3038"/>
    <col min="8127" max="8127" width="9.25" style="3038" customWidth="1"/>
    <col min="8128" max="8192" width="7.875" style="3038"/>
    <col min="8193" max="8193" width="3.875" style="3038" customWidth="1"/>
    <col min="8194" max="8194" width="10.375" style="3038" customWidth="1"/>
    <col min="8195" max="8195" width="11.375" style="3038" bestFit="1" customWidth="1"/>
    <col min="8196" max="8196" width="10.5" style="3038" customWidth="1"/>
    <col min="8197" max="8197" width="11.625" style="3038" customWidth="1"/>
    <col min="8198" max="8198" width="9.875" style="3038" customWidth="1"/>
    <col min="8199" max="8199" width="11.875" style="3038" customWidth="1"/>
    <col min="8200" max="8200" width="12.75" style="3038" customWidth="1"/>
    <col min="8201" max="8201" width="11" style="3038" customWidth="1"/>
    <col min="8202" max="8202" width="12.75" style="3038" customWidth="1"/>
    <col min="8203" max="8203" width="14" style="3038" customWidth="1"/>
    <col min="8204" max="8204" width="9.375" style="3038" customWidth="1"/>
    <col min="8205" max="8205" width="10.875" style="3038" customWidth="1"/>
    <col min="8206" max="8206" width="12.25" style="3038" customWidth="1"/>
    <col min="8207" max="8207" width="10.375" style="3038" customWidth="1"/>
    <col min="8208" max="8208" width="8.5" style="3038" customWidth="1"/>
    <col min="8209" max="8209" width="12" style="3038" customWidth="1"/>
    <col min="8210" max="8210" width="10.875" style="3038" bestFit="1" customWidth="1"/>
    <col min="8211" max="8211" width="10.5" style="3038" bestFit="1" customWidth="1"/>
    <col min="8212" max="8212" width="10.875" style="3038" bestFit="1" customWidth="1"/>
    <col min="8213" max="8214" width="11" style="3038" customWidth="1"/>
    <col min="8215" max="8215" width="9.375" style="3038" customWidth="1"/>
    <col min="8216" max="8216" width="7.125" style="3038" customWidth="1"/>
    <col min="8217" max="8218" width="11.75" style="3038" customWidth="1"/>
    <col min="8219" max="8219" width="13" style="3038" customWidth="1"/>
    <col min="8220" max="8220" width="10.75" style="3038" customWidth="1"/>
    <col min="8221" max="8222" width="7.375" style="3038" customWidth="1"/>
    <col min="8223" max="8223" width="10.25" style="3038" customWidth="1"/>
    <col min="8224" max="8233" width="8.625" style="3038" customWidth="1"/>
    <col min="8234" max="8235" width="14.125" style="3038" bestFit="1" customWidth="1"/>
    <col min="8236" max="8237" width="10.25" style="3038" customWidth="1"/>
    <col min="8238" max="8238" width="10.125" style="3038" customWidth="1"/>
    <col min="8239" max="8239" width="8.875" style="3038" customWidth="1"/>
    <col min="8240" max="8240" width="9.375" style="3038" customWidth="1"/>
    <col min="8241" max="8241" width="13.25" style="3038" customWidth="1"/>
    <col min="8242" max="8242" width="13" style="3038" customWidth="1"/>
    <col min="8243" max="8243" width="10.875" style="3038" customWidth="1"/>
    <col min="8244" max="8244" width="9.375" style="3038" customWidth="1"/>
    <col min="8245" max="8245" width="10.875" style="3038" customWidth="1"/>
    <col min="8246" max="8246" width="10.5" style="3038" customWidth="1"/>
    <col min="8247" max="8247" width="8.125" style="3038" customWidth="1"/>
    <col min="8248" max="8248" width="8.625" style="3038" customWidth="1"/>
    <col min="8249" max="8249" width="10.75" style="3038" customWidth="1"/>
    <col min="8250" max="8250" width="9.625" style="3038" customWidth="1"/>
    <col min="8251" max="8251" width="9.5" style="3038" customWidth="1"/>
    <col min="8252" max="8252" width="11" style="3038" customWidth="1"/>
    <col min="8253" max="8253" width="9.25" style="3038" customWidth="1"/>
    <col min="8254" max="8255" width="11" style="3038" customWidth="1"/>
    <col min="8256" max="8256" width="9.625" style="3038" customWidth="1"/>
    <col min="8257" max="8259" width="10.75" style="3038" bestFit="1" customWidth="1"/>
    <col min="8260" max="8260" width="10.25" style="3038" bestFit="1" customWidth="1"/>
    <col min="8261" max="8261" width="10.75" style="3038" bestFit="1" customWidth="1"/>
    <col min="8262" max="8262" width="10.25" style="3038" bestFit="1" customWidth="1"/>
    <col min="8263" max="8263" width="10.75" style="3038" bestFit="1" customWidth="1"/>
    <col min="8264" max="8264" width="10.25" style="3038" bestFit="1" customWidth="1"/>
    <col min="8265" max="8265" width="10.75" style="3038" bestFit="1" customWidth="1"/>
    <col min="8266" max="8266" width="10.25" style="3038" bestFit="1" customWidth="1"/>
    <col min="8267" max="8267" width="10.75" style="3038" bestFit="1" customWidth="1"/>
    <col min="8268" max="8268" width="10.25" style="3038" bestFit="1" customWidth="1"/>
    <col min="8269" max="8269" width="10.375" style="3038" customWidth="1"/>
    <col min="8270" max="8270" width="10.25" style="3038" customWidth="1"/>
    <col min="8271" max="8271" width="10.375" style="3038" customWidth="1"/>
    <col min="8272" max="8273" width="10.5" style="3038" customWidth="1"/>
    <col min="8274" max="8274" width="11.125" style="3038" customWidth="1"/>
    <col min="8275" max="8275" width="9.875" style="3038" customWidth="1"/>
    <col min="8276" max="8276" width="10.25" style="3038" customWidth="1"/>
    <col min="8277" max="8277" width="9.875" style="3038" customWidth="1"/>
    <col min="8278" max="8278" width="10" style="3038" customWidth="1"/>
    <col min="8279" max="8279" width="9.75" style="3038" customWidth="1"/>
    <col min="8280" max="8304" width="9.625" style="3038" customWidth="1"/>
    <col min="8305" max="8305" width="13.625" style="3038" bestFit="1" customWidth="1"/>
    <col min="8306" max="8306" width="12.375" style="3038" bestFit="1" customWidth="1"/>
    <col min="8307" max="8307" width="9.875" style="3038" bestFit="1" customWidth="1"/>
    <col min="8308" max="8308" width="10.375" style="3038" customWidth="1"/>
    <col min="8309" max="8309" width="9.25" style="3038" customWidth="1"/>
    <col min="8310" max="8310" width="12.625" style="3038" customWidth="1"/>
    <col min="8311" max="8311" width="9.875" style="3038" bestFit="1" customWidth="1"/>
    <col min="8312" max="8312" width="9.125" style="3038" bestFit="1" customWidth="1"/>
    <col min="8313" max="8314" width="9.875" style="3038" bestFit="1" customWidth="1"/>
    <col min="8315" max="8315" width="9.125" style="3038" bestFit="1" customWidth="1"/>
    <col min="8316" max="8317" width="9.875" style="3038" bestFit="1" customWidth="1"/>
    <col min="8318" max="8318" width="11.125" style="3038" bestFit="1" customWidth="1"/>
    <col min="8319" max="8320" width="9.875" style="3038" bestFit="1" customWidth="1"/>
    <col min="8321" max="8321" width="11.125" style="3038" bestFit="1" customWidth="1"/>
    <col min="8322" max="8323" width="9.875" style="3038" bestFit="1" customWidth="1"/>
    <col min="8324" max="8324" width="11.125" style="3038" bestFit="1" customWidth="1"/>
    <col min="8325" max="8325" width="9.125" style="3038" bestFit="1" customWidth="1"/>
    <col min="8326" max="8326" width="9.875" style="3038" bestFit="1" customWidth="1"/>
    <col min="8327" max="8327" width="11.125" style="3038" bestFit="1" customWidth="1"/>
    <col min="8328" max="8328" width="9.125" style="3038" bestFit="1" customWidth="1"/>
    <col min="8329" max="8329" width="9.875" style="3038" bestFit="1" customWidth="1"/>
    <col min="8330" max="8330" width="11.125" style="3038" bestFit="1" customWidth="1"/>
    <col min="8331" max="8331" width="9.125" style="3038" bestFit="1" customWidth="1"/>
    <col min="8332" max="8332" width="9.875" style="3038" bestFit="1" customWidth="1"/>
    <col min="8333" max="8333" width="11.125" style="3038" bestFit="1" customWidth="1"/>
    <col min="8334" max="8334" width="9.125" style="3038" bestFit="1" customWidth="1"/>
    <col min="8335" max="8335" width="9.875" style="3038" bestFit="1" customWidth="1"/>
    <col min="8336" max="8336" width="11.125" style="3038" bestFit="1" customWidth="1"/>
    <col min="8337" max="8337" width="9.125" style="3038" bestFit="1" customWidth="1"/>
    <col min="8338" max="8338" width="9.875" style="3038" bestFit="1" customWidth="1"/>
    <col min="8339" max="8339" width="11.125" style="3038" bestFit="1" customWidth="1"/>
    <col min="8340" max="8340" width="9.125" style="3038" bestFit="1" customWidth="1"/>
    <col min="8341" max="8341" width="9.875" style="3038" bestFit="1" customWidth="1"/>
    <col min="8342" max="8342" width="11.125" style="3038" bestFit="1" customWidth="1"/>
    <col min="8343" max="8343" width="9.125" style="3038" bestFit="1" customWidth="1"/>
    <col min="8344" max="8344" width="9.875" style="3038" bestFit="1" customWidth="1"/>
    <col min="8345" max="8345" width="11.125" style="3038" bestFit="1" customWidth="1"/>
    <col min="8346" max="8346" width="9.125" style="3038" bestFit="1" customWidth="1"/>
    <col min="8347" max="8347" width="9.875" style="3038" bestFit="1" customWidth="1"/>
    <col min="8348" max="8348" width="11.125" style="3038" bestFit="1" customWidth="1"/>
    <col min="8349" max="8349" width="7.875" style="3038" customWidth="1"/>
    <col min="8350" max="8351" width="9.875" style="3038" bestFit="1" customWidth="1"/>
    <col min="8352" max="8352" width="7.875" style="3038"/>
    <col min="8353" max="8354" width="9.875" style="3038" bestFit="1" customWidth="1"/>
    <col min="8355" max="8355" width="7.875" style="3038"/>
    <col min="8356" max="8357" width="9.875" style="3038" bestFit="1" customWidth="1"/>
    <col min="8358" max="8358" width="7.875" style="3038"/>
    <col min="8359" max="8360" width="9.875" style="3038" bestFit="1" customWidth="1"/>
    <col min="8361" max="8361" width="7.875" style="3038"/>
    <col min="8362" max="8362" width="9.875" style="3038" bestFit="1" customWidth="1"/>
    <col min="8363" max="8363" width="8.875" style="3038" bestFit="1" customWidth="1"/>
    <col min="8364" max="8364" width="7.875" style="3038"/>
    <col min="8365" max="8365" width="9.875" style="3038" bestFit="1" customWidth="1"/>
    <col min="8366" max="8366" width="8.875" style="3038" bestFit="1" customWidth="1"/>
    <col min="8367" max="8367" width="7.875" style="3038"/>
    <col min="8368" max="8368" width="9.875" style="3038" bestFit="1" customWidth="1"/>
    <col min="8369" max="8369" width="8.875" style="3038" bestFit="1" customWidth="1"/>
    <col min="8370" max="8370" width="7.875" style="3038"/>
    <col min="8371" max="8371" width="9.875" style="3038" bestFit="1" customWidth="1"/>
    <col min="8372" max="8372" width="8.875" style="3038" bestFit="1" customWidth="1"/>
    <col min="8373" max="8373" width="7.875" style="3038"/>
    <col min="8374" max="8374" width="9.875" style="3038" bestFit="1" customWidth="1"/>
    <col min="8375" max="8375" width="8.875" style="3038" bestFit="1" customWidth="1"/>
    <col min="8376" max="8376" width="7.875" style="3038"/>
    <col min="8377" max="8377" width="9.875" style="3038" bestFit="1" customWidth="1"/>
    <col min="8378" max="8378" width="11.125" style="3038" bestFit="1" customWidth="1"/>
    <col min="8379" max="8379" width="9.125" style="3038" bestFit="1" customWidth="1"/>
    <col min="8380" max="8380" width="9.875" style="3038" bestFit="1" customWidth="1"/>
    <col min="8381" max="8381" width="11.125" style="3038" bestFit="1" customWidth="1"/>
    <col min="8382" max="8382" width="7.875" style="3038"/>
    <col min="8383" max="8383" width="9.25" style="3038" customWidth="1"/>
    <col min="8384" max="8448" width="7.875" style="3038"/>
    <col min="8449" max="8449" width="3.875" style="3038" customWidth="1"/>
    <col min="8450" max="8450" width="10.375" style="3038" customWidth="1"/>
    <col min="8451" max="8451" width="11.375" style="3038" bestFit="1" customWidth="1"/>
    <col min="8452" max="8452" width="10.5" style="3038" customWidth="1"/>
    <col min="8453" max="8453" width="11.625" style="3038" customWidth="1"/>
    <col min="8454" max="8454" width="9.875" style="3038" customWidth="1"/>
    <col min="8455" max="8455" width="11.875" style="3038" customWidth="1"/>
    <col min="8456" max="8456" width="12.75" style="3038" customWidth="1"/>
    <col min="8457" max="8457" width="11" style="3038" customWidth="1"/>
    <col min="8458" max="8458" width="12.75" style="3038" customWidth="1"/>
    <col min="8459" max="8459" width="14" style="3038" customWidth="1"/>
    <col min="8460" max="8460" width="9.375" style="3038" customWidth="1"/>
    <col min="8461" max="8461" width="10.875" style="3038" customWidth="1"/>
    <col min="8462" max="8462" width="12.25" style="3038" customWidth="1"/>
    <col min="8463" max="8463" width="10.375" style="3038" customWidth="1"/>
    <col min="8464" max="8464" width="8.5" style="3038" customWidth="1"/>
    <col min="8465" max="8465" width="12" style="3038" customWidth="1"/>
    <col min="8466" max="8466" width="10.875" style="3038" bestFit="1" customWidth="1"/>
    <col min="8467" max="8467" width="10.5" style="3038" bestFit="1" customWidth="1"/>
    <col min="8468" max="8468" width="10.875" style="3038" bestFit="1" customWidth="1"/>
    <col min="8469" max="8470" width="11" style="3038" customWidth="1"/>
    <col min="8471" max="8471" width="9.375" style="3038" customWidth="1"/>
    <col min="8472" max="8472" width="7.125" style="3038" customWidth="1"/>
    <col min="8473" max="8474" width="11.75" style="3038" customWidth="1"/>
    <col min="8475" max="8475" width="13" style="3038" customWidth="1"/>
    <col min="8476" max="8476" width="10.75" style="3038" customWidth="1"/>
    <col min="8477" max="8478" width="7.375" style="3038" customWidth="1"/>
    <col min="8479" max="8479" width="10.25" style="3038" customWidth="1"/>
    <col min="8480" max="8489" width="8.625" style="3038" customWidth="1"/>
    <col min="8490" max="8491" width="14.125" style="3038" bestFit="1" customWidth="1"/>
    <col min="8492" max="8493" width="10.25" style="3038" customWidth="1"/>
    <col min="8494" max="8494" width="10.125" style="3038" customWidth="1"/>
    <col min="8495" max="8495" width="8.875" style="3038" customWidth="1"/>
    <col min="8496" max="8496" width="9.375" style="3038" customWidth="1"/>
    <col min="8497" max="8497" width="13.25" style="3038" customWidth="1"/>
    <col min="8498" max="8498" width="13" style="3038" customWidth="1"/>
    <col min="8499" max="8499" width="10.875" style="3038" customWidth="1"/>
    <col min="8500" max="8500" width="9.375" style="3038" customWidth="1"/>
    <col min="8501" max="8501" width="10.875" style="3038" customWidth="1"/>
    <col min="8502" max="8502" width="10.5" style="3038" customWidth="1"/>
    <col min="8503" max="8503" width="8.125" style="3038" customWidth="1"/>
    <col min="8504" max="8504" width="8.625" style="3038" customWidth="1"/>
    <col min="8505" max="8505" width="10.75" style="3038" customWidth="1"/>
    <col min="8506" max="8506" width="9.625" style="3038" customWidth="1"/>
    <col min="8507" max="8507" width="9.5" style="3038" customWidth="1"/>
    <col min="8508" max="8508" width="11" style="3038" customWidth="1"/>
    <col min="8509" max="8509" width="9.25" style="3038" customWidth="1"/>
    <col min="8510" max="8511" width="11" style="3038" customWidth="1"/>
    <col min="8512" max="8512" width="9.625" style="3038" customWidth="1"/>
    <col min="8513" max="8515" width="10.75" style="3038" bestFit="1" customWidth="1"/>
    <col min="8516" max="8516" width="10.25" style="3038" bestFit="1" customWidth="1"/>
    <col min="8517" max="8517" width="10.75" style="3038" bestFit="1" customWidth="1"/>
    <col min="8518" max="8518" width="10.25" style="3038" bestFit="1" customWidth="1"/>
    <col min="8519" max="8519" width="10.75" style="3038" bestFit="1" customWidth="1"/>
    <col min="8520" max="8520" width="10.25" style="3038" bestFit="1" customWidth="1"/>
    <col min="8521" max="8521" width="10.75" style="3038" bestFit="1" customWidth="1"/>
    <col min="8522" max="8522" width="10.25" style="3038" bestFit="1" customWidth="1"/>
    <col min="8523" max="8523" width="10.75" style="3038" bestFit="1" customWidth="1"/>
    <col min="8524" max="8524" width="10.25" style="3038" bestFit="1" customWidth="1"/>
    <col min="8525" max="8525" width="10.375" style="3038" customWidth="1"/>
    <col min="8526" max="8526" width="10.25" style="3038" customWidth="1"/>
    <col min="8527" max="8527" width="10.375" style="3038" customWidth="1"/>
    <col min="8528" max="8529" width="10.5" style="3038" customWidth="1"/>
    <col min="8530" max="8530" width="11.125" style="3038" customWidth="1"/>
    <col min="8531" max="8531" width="9.875" style="3038" customWidth="1"/>
    <col min="8532" max="8532" width="10.25" style="3038" customWidth="1"/>
    <col min="8533" max="8533" width="9.875" style="3038" customWidth="1"/>
    <col min="8534" max="8534" width="10" style="3038" customWidth="1"/>
    <col min="8535" max="8535" width="9.75" style="3038" customWidth="1"/>
    <col min="8536" max="8560" width="9.625" style="3038" customWidth="1"/>
    <col min="8561" max="8561" width="13.625" style="3038" bestFit="1" customWidth="1"/>
    <col min="8562" max="8562" width="12.375" style="3038" bestFit="1" customWidth="1"/>
    <col min="8563" max="8563" width="9.875" style="3038" bestFit="1" customWidth="1"/>
    <col min="8564" max="8564" width="10.375" style="3038" customWidth="1"/>
    <col min="8565" max="8565" width="9.25" style="3038" customWidth="1"/>
    <col min="8566" max="8566" width="12.625" style="3038" customWidth="1"/>
    <col min="8567" max="8567" width="9.875" style="3038" bestFit="1" customWidth="1"/>
    <col min="8568" max="8568" width="9.125" style="3038" bestFit="1" customWidth="1"/>
    <col min="8569" max="8570" width="9.875" style="3038" bestFit="1" customWidth="1"/>
    <col min="8571" max="8571" width="9.125" style="3038" bestFit="1" customWidth="1"/>
    <col min="8572" max="8573" width="9.875" style="3038" bestFit="1" customWidth="1"/>
    <col min="8574" max="8574" width="11.125" style="3038" bestFit="1" customWidth="1"/>
    <col min="8575" max="8576" width="9.875" style="3038" bestFit="1" customWidth="1"/>
    <col min="8577" max="8577" width="11.125" style="3038" bestFit="1" customWidth="1"/>
    <col min="8578" max="8579" width="9.875" style="3038" bestFit="1" customWidth="1"/>
    <col min="8580" max="8580" width="11.125" style="3038" bestFit="1" customWidth="1"/>
    <col min="8581" max="8581" width="9.125" style="3038" bestFit="1" customWidth="1"/>
    <col min="8582" max="8582" width="9.875" style="3038" bestFit="1" customWidth="1"/>
    <col min="8583" max="8583" width="11.125" style="3038" bestFit="1" customWidth="1"/>
    <col min="8584" max="8584" width="9.125" style="3038" bestFit="1" customWidth="1"/>
    <col min="8585" max="8585" width="9.875" style="3038" bestFit="1" customWidth="1"/>
    <col min="8586" max="8586" width="11.125" style="3038" bestFit="1" customWidth="1"/>
    <col min="8587" max="8587" width="9.125" style="3038" bestFit="1" customWidth="1"/>
    <col min="8588" max="8588" width="9.875" style="3038" bestFit="1" customWidth="1"/>
    <col min="8589" max="8589" width="11.125" style="3038" bestFit="1" customWidth="1"/>
    <col min="8590" max="8590" width="9.125" style="3038" bestFit="1" customWidth="1"/>
    <col min="8591" max="8591" width="9.875" style="3038" bestFit="1" customWidth="1"/>
    <col min="8592" max="8592" width="11.125" style="3038" bestFit="1" customWidth="1"/>
    <col min="8593" max="8593" width="9.125" style="3038" bestFit="1" customWidth="1"/>
    <col min="8594" max="8594" width="9.875" style="3038" bestFit="1" customWidth="1"/>
    <col min="8595" max="8595" width="11.125" style="3038" bestFit="1" customWidth="1"/>
    <col min="8596" max="8596" width="9.125" style="3038" bestFit="1" customWidth="1"/>
    <col min="8597" max="8597" width="9.875" style="3038" bestFit="1" customWidth="1"/>
    <col min="8598" max="8598" width="11.125" style="3038" bestFit="1" customWidth="1"/>
    <col min="8599" max="8599" width="9.125" style="3038" bestFit="1" customWidth="1"/>
    <col min="8600" max="8600" width="9.875" style="3038" bestFit="1" customWidth="1"/>
    <col min="8601" max="8601" width="11.125" style="3038" bestFit="1" customWidth="1"/>
    <col min="8602" max="8602" width="9.125" style="3038" bestFit="1" customWidth="1"/>
    <col min="8603" max="8603" width="9.875" style="3038" bestFit="1" customWidth="1"/>
    <col min="8604" max="8604" width="11.125" style="3038" bestFit="1" customWidth="1"/>
    <col min="8605" max="8605" width="7.875" style="3038" customWidth="1"/>
    <col min="8606" max="8607" width="9.875" style="3038" bestFit="1" customWidth="1"/>
    <col min="8608" max="8608" width="7.875" style="3038"/>
    <col min="8609" max="8610" width="9.875" style="3038" bestFit="1" customWidth="1"/>
    <col min="8611" max="8611" width="7.875" style="3038"/>
    <col min="8612" max="8613" width="9.875" style="3038" bestFit="1" customWidth="1"/>
    <col min="8614" max="8614" width="7.875" style="3038"/>
    <col min="8615" max="8616" width="9.875" style="3038" bestFit="1" customWidth="1"/>
    <col min="8617" max="8617" width="7.875" style="3038"/>
    <col min="8618" max="8618" width="9.875" style="3038" bestFit="1" customWidth="1"/>
    <col min="8619" max="8619" width="8.875" style="3038" bestFit="1" customWidth="1"/>
    <col min="8620" max="8620" width="7.875" style="3038"/>
    <col min="8621" max="8621" width="9.875" style="3038" bestFit="1" customWidth="1"/>
    <col min="8622" max="8622" width="8.875" style="3038" bestFit="1" customWidth="1"/>
    <col min="8623" max="8623" width="7.875" style="3038"/>
    <col min="8624" max="8624" width="9.875" style="3038" bestFit="1" customWidth="1"/>
    <col min="8625" max="8625" width="8.875" style="3038" bestFit="1" customWidth="1"/>
    <col min="8626" max="8626" width="7.875" style="3038"/>
    <col min="8627" max="8627" width="9.875" style="3038" bestFit="1" customWidth="1"/>
    <col min="8628" max="8628" width="8.875" style="3038" bestFit="1" customWidth="1"/>
    <col min="8629" max="8629" width="7.875" style="3038"/>
    <col min="8630" max="8630" width="9.875" style="3038" bestFit="1" customWidth="1"/>
    <col min="8631" max="8631" width="8.875" style="3038" bestFit="1" customWidth="1"/>
    <col min="8632" max="8632" width="7.875" style="3038"/>
    <col min="8633" max="8633" width="9.875" style="3038" bestFit="1" customWidth="1"/>
    <col min="8634" max="8634" width="11.125" style="3038" bestFit="1" customWidth="1"/>
    <col min="8635" max="8635" width="9.125" style="3038" bestFit="1" customWidth="1"/>
    <col min="8636" max="8636" width="9.875" style="3038" bestFit="1" customWidth="1"/>
    <col min="8637" max="8637" width="11.125" style="3038" bestFit="1" customWidth="1"/>
    <col min="8638" max="8638" width="7.875" style="3038"/>
    <col min="8639" max="8639" width="9.25" style="3038" customWidth="1"/>
    <col min="8640" max="8704" width="7.875" style="3038"/>
    <col min="8705" max="8705" width="3.875" style="3038" customWidth="1"/>
    <col min="8706" max="8706" width="10.375" style="3038" customWidth="1"/>
    <col min="8707" max="8707" width="11.375" style="3038" bestFit="1" customWidth="1"/>
    <col min="8708" max="8708" width="10.5" style="3038" customWidth="1"/>
    <col min="8709" max="8709" width="11.625" style="3038" customWidth="1"/>
    <col min="8710" max="8710" width="9.875" style="3038" customWidth="1"/>
    <col min="8711" max="8711" width="11.875" style="3038" customWidth="1"/>
    <col min="8712" max="8712" width="12.75" style="3038" customWidth="1"/>
    <col min="8713" max="8713" width="11" style="3038" customWidth="1"/>
    <col min="8714" max="8714" width="12.75" style="3038" customWidth="1"/>
    <col min="8715" max="8715" width="14" style="3038" customWidth="1"/>
    <col min="8716" max="8716" width="9.375" style="3038" customWidth="1"/>
    <col min="8717" max="8717" width="10.875" style="3038" customWidth="1"/>
    <col min="8718" max="8718" width="12.25" style="3038" customWidth="1"/>
    <col min="8719" max="8719" width="10.375" style="3038" customWidth="1"/>
    <col min="8720" max="8720" width="8.5" style="3038" customWidth="1"/>
    <col min="8721" max="8721" width="12" style="3038" customWidth="1"/>
    <col min="8722" max="8722" width="10.875" style="3038" bestFit="1" customWidth="1"/>
    <col min="8723" max="8723" width="10.5" style="3038" bestFit="1" customWidth="1"/>
    <col min="8724" max="8724" width="10.875" style="3038" bestFit="1" customWidth="1"/>
    <col min="8725" max="8726" width="11" style="3038" customWidth="1"/>
    <col min="8727" max="8727" width="9.375" style="3038" customWidth="1"/>
    <col min="8728" max="8728" width="7.125" style="3038" customWidth="1"/>
    <col min="8729" max="8730" width="11.75" style="3038" customWidth="1"/>
    <col min="8731" max="8731" width="13" style="3038" customWidth="1"/>
    <col min="8732" max="8732" width="10.75" style="3038" customWidth="1"/>
    <col min="8733" max="8734" width="7.375" style="3038" customWidth="1"/>
    <col min="8735" max="8735" width="10.25" style="3038" customWidth="1"/>
    <col min="8736" max="8745" width="8.625" style="3038" customWidth="1"/>
    <col min="8746" max="8747" width="14.125" style="3038" bestFit="1" customWidth="1"/>
    <col min="8748" max="8749" width="10.25" style="3038" customWidth="1"/>
    <col min="8750" max="8750" width="10.125" style="3038" customWidth="1"/>
    <col min="8751" max="8751" width="8.875" style="3038" customWidth="1"/>
    <col min="8752" max="8752" width="9.375" style="3038" customWidth="1"/>
    <col min="8753" max="8753" width="13.25" style="3038" customWidth="1"/>
    <col min="8754" max="8754" width="13" style="3038" customWidth="1"/>
    <col min="8755" max="8755" width="10.875" style="3038" customWidth="1"/>
    <col min="8756" max="8756" width="9.375" style="3038" customWidth="1"/>
    <col min="8757" max="8757" width="10.875" style="3038" customWidth="1"/>
    <col min="8758" max="8758" width="10.5" style="3038" customWidth="1"/>
    <col min="8759" max="8759" width="8.125" style="3038" customWidth="1"/>
    <col min="8760" max="8760" width="8.625" style="3038" customWidth="1"/>
    <col min="8761" max="8761" width="10.75" style="3038" customWidth="1"/>
    <col min="8762" max="8762" width="9.625" style="3038" customWidth="1"/>
    <col min="8763" max="8763" width="9.5" style="3038" customWidth="1"/>
    <col min="8764" max="8764" width="11" style="3038" customWidth="1"/>
    <col min="8765" max="8765" width="9.25" style="3038" customWidth="1"/>
    <col min="8766" max="8767" width="11" style="3038" customWidth="1"/>
    <col min="8768" max="8768" width="9.625" style="3038" customWidth="1"/>
    <col min="8769" max="8771" width="10.75" style="3038" bestFit="1" customWidth="1"/>
    <col min="8772" max="8772" width="10.25" style="3038" bestFit="1" customWidth="1"/>
    <col min="8773" max="8773" width="10.75" style="3038" bestFit="1" customWidth="1"/>
    <col min="8774" max="8774" width="10.25" style="3038" bestFit="1" customWidth="1"/>
    <col min="8775" max="8775" width="10.75" style="3038" bestFit="1" customWidth="1"/>
    <col min="8776" max="8776" width="10.25" style="3038" bestFit="1" customWidth="1"/>
    <col min="8777" max="8777" width="10.75" style="3038" bestFit="1" customWidth="1"/>
    <col min="8778" max="8778" width="10.25" style="3038" bestFit="1" customWidth="1"/>
    <col min="8779" max="8779" width="10.75" style="3038" bestFit="1" customWidth="1"/>
    <col min="8780" max="8780" width="10.25" style="3038" bestFit="1" customWidth="1"/>
    <col min="8781" max="8781" width="10.375" style="3038" customWidth="1"/>
    <col min="8782" max="8782" width="10.25" style="3038" customWidth="1"/>
    <col min="8783" max="8783" width="10.375" style="3038" customWidth="1"/>
    <col min="8784" max="8785" width="10.5" style="3038" customWidth="1"/>
    <col min="8786" max="8786" width="11.125" style="3038" customWidth="1"/>
    <col min="8787" max="8787" width="9.875" style="3038" customWidth="1"/>
    <col min="8788" max="8788" width="10.25" style="3038" customWidth="1"/>
    <col min="8789" max="8789" width="9.875" style="3038" customWidth="1"/>
    <col min="8790" max="8790" width="10" style="3038" customWidth="1"/>
    <col min="8791" max="8791" width="9.75" style="3038" customWidth="1"/>
    <col min="8792" max="8816" width="9.625" style="3038" customWidth="1"/>
    <col min="8817" max="8817" width="13.625" style="3038" bestFit="1" customWidth="1"/>
    <col min="8818" max="8818" width="12.375" style="3038" bestFit="1" customWidth="1"/>
    <col min="8819" max="8819" width="9.875" style="3038" bestFit="1" customWidth="1"/>
    <col min="8820" max="8820" width="10.375" style="3038" customWidth="1"/>
    <col min="8821" max="8821" width="9.25" style="3038" customWidth="1"/>
    <col min="8822" max="8822" width="12.625" style="3038" customWidth="1"/>
    <col min="8823" max="8823" width="9.875" style="3038" bestFit="1" customWidth="1"/>
    <col min="8824" max="8824" width="9.125" style="3038" bestFit="1" customWidth="1"/>
    <col min="8825" max="8826" width="9.875" style="3038" bestFit="1" customWidth="1"/>
    <col min="8827" max="8827" width="9.125" style="3038" bestFit="1" customWidth="1"/>
    <col min="8828" max="8829" width="9.875" style="3038" bestFit="1" customWidth="1"/>
    <col min="8830" max="8830" width="11.125" style="3038" bestFit="1" customWidth="1"/>
    <col min="8831" max="8832" width="9.875" style="3038" bestFit="1" customWidth="1"/>
    <col min="8833" max="8833" width="11.125" style="3038" bestFit="1" customWidth="1"/>
    <col min="8834" max="8835" width="9.875" style="3038" bestFit="1" customWidth="1"/>
    <col min="8836" max="8836" width="11.125" style="3038" bestFit="1" customWidth="1"/>
    <col min="8837" max="8837" width="9.125" style="3038" bestFit="1" customWidth="1"/>
    <col min="8838" max="8838" width="9.875" style="3038" bestFit="1" customWidth="1"/>
    <col min="8839" max="8839" width="11.125" style="3038" bestFit="1" customWidth="1"/>
    <col min="8840" max="8840" width="9.125" style="3038" bestFit="1" customWidth="1"/>
    <col min="8841" max="8841" width="9.875" style="3038" bestFit="1" customWidth="1"/>
    <col min="8842" max="8842" width="11.125" style="3038" bestFit="1" customWidth="1"/>
    <col min="8843" max="8843" width="9.125" style="3038" bestFit="1" customWidth="1"/>
    <col min="8844" max="8844" width="9.875" style="3038" bestFit="1" customWidth="1"/>
    <col min="8845" max="8845" width="11.125" style="3038" bestFit="1" customWidth="1"/>
    <col min="8846" max="8846" width="9.125" style="3038" bestFit="1" customWidth="1"/>
    <col min="8847" max="8847" width="9.875" style="3038" bestFit="1" customWidth="1"/>
    <col min="8848" max="8848" width="11.125" style="3038" bestFit="1" customWidth="1"/>
    <col min="8849" max="8849" width="9.125" style="3038" bestFit="1" customWidth="1"/>
    <col min="8850" max="8850" width="9.875" style="3038" bestFit="1" customWidth="1"/>
    <col min="8851" max="8851" width="11.125" style="3038" bestFit="1" customWidth="1"/>
    <col min="8852" max="8852" width="9.125" style="3038" bestFit="1" customWidth="1"/>
    <col min="8853" max="8853" width="9.875" style="3038" bestFit="1" customWidth="1"/>
    <col min="8854" max="8854" width="11.125" style="3038" bestFit="1" customWidth="1"/>
    <col min="8855" max="8855" width="9.125" style="3038" bestFit="1" customWidth="1"/>
    <col min="8856" max="8856" width="9.875" style="3038" bestFit="1" customWidth="1"/>
    <col min="8857" max="8857" width="11.125" style="3038" bestFit="1" customWidth="1"/>
    <col min="8858" max="8858" width="9.125" style="3038" bestFit="1" customWidth="1"/>
    <col min="8859" max="8859" width="9.875" style="3038" bestFit="1" customWidth="1"/>
    <col min="8860" max="8860" width="11.125" style="3038" bestFit="1" customWidth="1"/>
    <col min="8861" max="8861" width="7.875" style="3038" customWidth="1"/>
    <col min="8862" max="8863" width="9.875" style="3038" bestFit="1" customWidth="1"/>
    <col min="8864" max="8864" width="7.875" style="3038"/>
    <col min="8865" max="8866" width="9.875" style="3038" bestFit="1" customWidth="1"/>
    <col min="8867" max="8867" width="7.875" style="3038"/>
    <col min="8868" max="8869" width="9.875" style="3038" bestFit="1" customWidth="1"/>
    <col min="8870" max="8870" width="7.875" style="3038"/>
    <col min="8871" max="8872" width="9.875" style="3038" bestFit="1" customWidth="1"/>
    <col min="8873" max="8873" width="7.875" style="3038"/>
    <col min="8874" max="8874" width="9.875" style="3038" bestFit="1" customWidth="1"/>
    <col min="8875" max="8875" width="8.875" style="3038" bestFit="1" customWidth="1"/>
    <col min="8876" max="8876" width="7.875" style="3038"/>
    <col min="8877" max="8877" width="9.875" style="3038" bestFit="1" customWidth="1"/>
    <col min="8878" max="8878" width="8.875" style="3038" bestFit="1" customWidth="1"/>
    <col min="8879" max="8879" width="7.875" style="3038"/>
    <col min="8880" max="8880" width="9.875" style="3038" bestFit="1" customWidth="1"/>
    <col min="8881" max="8881" width="8.875" style="3038" bestFit="1" customWidth="1"/>
    <col min="8882" max="8882" width="7.875" style="3038"/>
    <col min="8883" max="8883" width="9.875" style="3038" bestFit="1" customWidth="1"/>
    <col min="8884" max="8884" width="8.875" style="3038" bestFit="1" customWidth="1"/>
    <col min="8885" max="8885" width="7.875" style="3038"/>
    <col min="8886" max="8886" width="9.875" style="3038" bestFit="1" customWidth="1"/>
    <col min="8887" max="8887" width="8.875" style="3038" bestFit="1" customWidth="1"/>
    <col min="8888" max="8888" width="7.875" style="3038"/>
    <col min="8889" max="8889" width="9.875" style="3038" bestFit="1" customWidth="1"/>
    <col min="8890" max="8890" width="11.125" style="3038" bestFit="1" customWidth="1"/>
    <col min="8891" max="8891" width="9.125" style="3038" bestFit="1" customWidth="1"/>
    <col min="8892" max="8892" width="9.875" style="3038" bestFit="1" customWidth="1"/>
    <col min="8893" max="8893" width="11.125" style="3038" bestFit="1" customWidth="1"/>
    <col min="8894" max="8894" width="7.875" style="3038"/>
    <col min="8895" max="8895" width="9.25" style="3038" customWidth="1"/>
    <col min="8896" max="8960" width="7.875" style="3038"/>
    <col min="8961" max="8961" width="3.875" style="3038" customWidth="1"/>
    <col min="8962" max="8962" width="10.375" style="3038" customWidth="1"/>
    <col min="8963" max="8963" width="11.375" style="3038" bestFit="1" customWidth="1"/>
    <col min="8964" max="8964" width="10.5" style="3038" customWidth="1"/>
    <col min="8965" max="8965" width="11.625" style="3038" customWidth="1"/>
    <col min="8966" max="8966" width="9.875" style="3038" customWidth="1"/>
    <col min="8967" max="8967" width="11.875" style="3038" customWidth="1"/>
    <col min="8968" max="8968" width="12.75" style="3038" customWidth="1"/>
    <col min="8969" max="8969" width="11" style="3038" customWidth="1"/>
    <col min="8970" max="8970" width="12.75" style="3038" customWidth="1"/>
    <col min="8971" max="8971" width="14" style="3038" customWidth="1"/>
    <col min="8972" max="8972" width="9.375" style="3038" customWidth="1"/>
    <col min="8973" max="8973" width="10.875" style="3038" customWidth="1"/>
    <col min="8974" max="8974" width="12.25" style="3038" customWidth="1"/>
    <col min="8975" max="8975" width="10.375" style="3038" customWidth="1"/>
    <col min="8976" max="8976" width="8.5" style="3038" customWidth="1"/>
    <col min="8977" max="8977" width="12" style="3038" customWidth="1"/>
    <col min="8978" max="8978" width="10.875" style="3038" bestFit="1" customWidth="1"/>
    <col min="8979" max="8979" width="10.5" style="3038" bestFit="1" customWidth="1"/>
    <col min="8980" max="8980" width="10.875" style="3038" bestFit="1" customWidth="1"/>
    <col min="8981" max="8982" width="11" style="3038" customWidth="1"/>
    <col min="8983" max="8983" width="9.375" style="3038" customWidth="1"/>
    <col min="8984" max="8984" width="7.125" style="3038" customWidth="1"/>
    <col min="8985" max="8986" width="11.75" style="3038" customWidth="1"/>
    <col min="8987" max="8987" width="13" style="3038" customWidth="1"/>
    <col min="8988" max="8988" width="10.75" style="3038" customWidth="1"/>
    <col min="8989" max="8990" width="7.375" style="3038" customWidth="1"/>
    <col min="8991" max="8991" width="10.25" style="3038" customWidth="1"/>
    <col min="8992" max="9001" width="8.625" style="3038" customWidth="1"/>
    <col min="9002" max="9003" width="14.125" style="3038" bestFit="1" customWidth="1"/>
    <col min="9004" max="9005" width="10.25" style="3038" customWidth="1"/>
    <col min="9006" max="9006" width="10.125" style="3038" customWidth="1"/>
    <col min="9007" max="9007" width="8.875" style="3038" customWidth="1"/>
    <col min="9008" max="9008" width="9.375" style="3038" customWidth="1"/>
    <col min="9009" max="9009" width="13.25" style="3038" customWidth="1"/>
    <col min="9010" max="9010" width="13" style="3038" customWidth="1"/>
    <col min="9011" max="9011" width="10.875" style="3038" customWidth="1"/>
    <col min="9012" max="9012" width="9.375" style="3038" customWidth="1"/>
    <col min="9013" max="9013" width="10.875" style="3038" customWidth="1"/>
    <col min="9014" max="9014" width="10.5" style="3038" customWidth="1"/>
    <col min="9015" max="9015" width="8.125" style="3038" customWidth="1"/>
    <col min="9016" max="9016" width="8.625" style="3038" customWidth="1"/>
    <col min="9017" max="9017" width="10.75" style="3038" customWidth="1"/>
    <col min="9018" max="9018" width="9.625" style="3038" customWidth="1"/>
    <col min="9019" max="9019" width="9.5" style="3038" customWidth="1"/>
    <col min="9020" max="9020" width="11" style="3038" customWidth="1"/>
    <col min="9021" max="9021" width="9.25" style="3038" customWidth="1"/>
    <col min="9022" max="9023" width="11" style="3038" customWidth="1"/>
    <col min="9024" max="9024" width="9.625" style="3038" customWidth="1"/>
    <col min="9025" max="9027" width="10.75" style="3038" bestFit="1" customWidth="1"/>
    <col min="9028" max="9028" width="10.25" style="3038" bestFit="1" customWidth="1"/>
    <col min="9029" max="9029" width="10.75" style="3038" bestFit="1" customWidth="1"/>
    <col min="9030" max="9030" width="10.25" style="3038" bestFit="1" customWidth="1"/>
    <col min="9031" max="9031" width="10.75" style="3038" bestFit="1" customWidth="1"/>
    <col min="9032" max="9032" width="10.25" style="3038" bestFit="1" customWidth="1"/>
    <col min="9033" max="9033" width="10.75" style="3038" bestFit="1" customWidth="1"/>
    <col min="9034" max="9034" width="10.25" style="3038" bestFit="1" customWidth="1"/>
    <col min="9035" max="9035" width="10.75" style="3038" bestFit="1" customWidth="1"/>
    <col min="9036" max="9036" width="10.25" style="3038" bestFit="1" customWidth="1"/>
    <col min="9037" max="9037" width="10.375" style="3038" customWidth="1"/>
    <col min="9038" max="9038" width="10.25" style="3038" customWidth="1"/>
    <col min="9039" max="9039" width="10.375" style="3038" customWidth="1"/>
    <col min="9040" max="9041" width="10.5" style="3038" customWidth="1"/>
    <col min="9042" max="9042" width="11.125" style="3038" customWidth="1"/>
    <col min="9043" max="9043" width="9.875" style="3038" customWidth="1"/>
    <col min="9044" max="9044" width="10.25" style="3038" customWidth="1"/>
    <col min="9045" max="9045" width="9.875" style="3038" customWidth="1"/>
    <col min="9046" max="9046" width="10" style="3038" customWidth="1"/>
    <col min="9047" max="9047" width="9.75" style="3038" customWidth="1"/>
    <col min="9048" max="9072" width="9.625" style="3038" customWidth="1"/>
    <col min="9073" max="9073" width="13.625" style="3038" bestFit="1" customWidth="1"/>
    <col min="9074" max="9074" width="12.375" style="3038" bestFit="1" customWidth="1"/>
    <col min="9075" max="9075" width="9.875" style="3038" bestFit="1" customWidth="1"/>
    <col min="9076" max="9076" width="10.375" style="3038" customWidth="1"/>
    <col min="9077" max="9077" width="9.25" style="3038" customWidth="1"/>
    <col min="9078" max="9078" width="12.625" style="3038" customWidth="1"/>
    <col min="9079" max="9079" width="9.875" style="3038" bestFit="1" customWidth="1"/>
    <col min="9080" max="9080" width="9.125" style="3038" bestFit="1" customWidth="1"/>
    <col min="9081" max="9082" width="9.875" style="3038" bestFit="1" customWidth="1"/>
    <col min="9083" max="9083" width="9.125" style="3038" bestFit="1" customWidth="1"/>
    <col min="9084" max="9085" width="9.875" style="3038" bestFit="1" customWidth="1"/>
    <col min="9086" max="9086" width="11.125" style="3038" bestFit="1" customWidth="1"/>
    <col min="9087" max="9088" width="9.875" style="3038" bestFit="1" customWidth="1"/>
    <col min="9089" max="9089" width="11.125" style="3038" bestFit="1" customWidth="1"/>
    <col min="9090" max="9091" width="9.875" style="3038" bestFit="1" customWidth="1"/>
    <col min="9092" max="9092" width="11.125" style="3038" bestFit="1" customWidth="1"/>
    <col min="9093" max="9093" width="9.125" style="3038" bestFit="1" customWidth="1"/>
    <col min="9094" max="9094" width="9.875" style="3038" bestFit="1" customWidth="1"/>
    <col min="9095" max="9095" width="11.125" style="3038" bestFit="1" customWidth="1"/>
    <col min="9096" max="9096" width="9.125" style="3038" bestFit="1" customWidth="1"/>
    <col min="9097" max="9097" width="9.875" style="3038" bestFit="1" customWidth="1"/>
    <col min="9098" max="9098" width="11.125" style="3038" bestFit="1" customWidth="1"/>
    <col min="9099" max="9099" width="9.125" style="3038" bestFit="1" customWidth="1"/>
    <col min="9100" max="9100" width="9.875" style="3038" bestFit="1" customWidth="1"/>
    <col min="9101" max="9101" width="11.125" style="3038" bestFit="1" customWidth="1"/>
    <col min="9102" max="9102" width="9.125" style="3038" bestFit="1" customWidth="1"/>
    <col min="9103" max="9103" width="9.875" style="3038" bestFit="1" customWidth="1"/>
    <col min="9104" max="9104" width="11.125" style="3038" bestFit="1" customWidth="1"/>
    <col min="9105" max="9105" width="9.125" style="3038" bestFit="1" customWidth="1"/>
    <col min="9106" max="9106" width="9.875" style="3038" bestFit="1" customWidth="1"/>
    <col min="9107" max="9107" width="11.125" style="3038" bestFit="1" customWidth="1"/>
    <col min="9108" max="9108" width="9.125" style="3038" bestFit="1" customWidth="1"/>
    <col min="9109" max="9109" width="9.875" style="3038" bestFit="1" customWidth="1"/>
    <col min="9110" max="9110" width="11.125" style="3038" bestFit="1" customWidth="1"/>
    <col min="9111" max="9111" width="9.125" style="3038" bestFit="1" customWidth="1"/>
    <col min="9112" max="9112" width="9.875" style="3038" bestFit="1" customWidth="1"/>
    <col min="9113" max="9113" width="11.125" style="3038" bestFit="1" customWidth="1"/>
    <col min="9114" max="9114" width="9.125" style="3038" bestFit="1" customWidth="1"/>
    <col min="9115" max="9115" width="9.875" style="3038" bestFit="1" customWidth="1"/>
    <col min="9116" max="9116" width="11.125" style="3038" bestFit="1" customWidth="1"/>
    <col min="9117" max="9117" width="7.875" style="3038" customWidth="1"/>
    <col min="9118" max="9119" width="9.875" style="3038" bestFit="1" customWidth="1"/>
    <col min="9120" max="9120" width="7.875" style="3038"/>
    <col min="9121" max="9122" width="9.875" style="3038" bestFit="1" customWidth="1"/>
    <col min="9123" max="9123" width="7.875" style="3038"/>
    <col min="9124" max="9125" width="9.875" style="3038" bestFit="1" customWidth="1"/>
    <col min="9126" max="9126" width="7.875" style="3038"/>
    <col min="9127" max="9128" width="9.875" style="3038" bestFit="1" customWidth="1"/>
    <col min="9129" max="9129" width="7.875" style="3038"/>
    <col min="9130" max="9130" width="9.875" style="3038" bestFit="1" customWidth="1"/>
    <col min="9131" max="9131" width="8.875" style="3038" bestFit="1" customWidth="1"/>
    <col min="9132" max="9132" width="7.875" style="3038"/>
    <col min="9133" max="9133" width="9.875" style="3038" bestFit="1" customWidth="1"/>
    <col min="9134" max="9134" width="8.875" style="3038" bestFit="1" customWidth="1"/>
    <col min="9135" max="9135" width="7.875" style="3038"/>
    <col min="9136" max="9136" width="9.875" style="3038" bestFit="1" customWidth="1"/>
    <col min="9137" max="9137" width="8.875" style="3038" bestFit="1" customWidth="1"/>
    <col min="9138" max="9138" width="7.875" style="3038"/>
    <col min="9139" max="9139" width="9.875" style="3038" bestFit="1" customWidth="1"/>
    <col min="9140" max="9140" width="8.875" style="3038" bestFit="1" customWidth="1"/>
    <col min="9141" max="9141" width="7.875" style="3038"/>
    <col min="9142" max="9142" width="9.875" style="3038" bestFit="1" customWidth="1"/>
    <col min="9143" max="9143" width="8.875" style="3038" bestFit="1" customWidth="1"/>
    <col min="9144" max="9144" width="7.875" style="3038"/>
    <col min="9145" max="9145" width="9.875" style="3038" bestFit="1" customWidth="1"/>
    <col min="9146" max="9146" width="11.125" style="3038" bestFit="1" customWidth="1"/>
    <col min="9147" max="9147" width="9.125" style="3038" bestFit="1" customWidth="1"/>
    <col min="9148" max="9148" width="9.875" style="3038" bestFit="1" customWidth="1"/>
    <col min="9149" max="9149" width="11.125" style="3038" bestFit="1" customWidth="1"/>
    <col min="9150" max="9150" width="7.875" style="3038"/>
    <col min="9151" max="9151" width="9.25" style="3038" customWidth="1"/>
    <col min="9152" max="9216" width="7.875" style="3038"/>
    <col min="9217" max="9217" width="3.875" style="3038" customWidth="1"/>
    <col min="9218" max="9218" width="10.375" style="3038" customWidth="1"/>
    <col min="9219" max="9219" width="11.375" style="3038" bestFit="1" customWidth="1"/>
    <col min="9220" max="9220" width="10.5" style="3038" customWidth="1"/>
    <col min="9221" max="9221" width="11.625" style="3038" customWidth="1"/>
    <col min="9222" max="9222" width="9.875" style="3038" customWidth="1"/>
    <col min="9223" max="9223" width="11.875" style="3038" customWidth="1"/>
    <col min="9224" max="9224" width="12.75" style="3038" customWidth="1"/>
    <col min="9225" max="9225" width="11" style="3038" customWidth="1"/>
    <col min="9226" max="9226" width="12.75" style="3038" customWidth="1"/>
    <col min="9227" max="9227" width="14" style="3038" customWidth="1"/>
    <col min="9228" max="9228" width="9.375" style="3038" customWidth="1"/>
    <col min="9229" max="9229" width="10.875" style="3038" customWidth="1"/>
    <col min="9230" max="9230" width="12.25" style="3038" customWidth="1"/>
    <col min="9231" max="9231" width="10.375" style="3038" customWidth="1"/>
    <col min="9232" max="9232" width="8.5" style="3038" customWidth="1"/>
    <col min="9233" max="9233" width="12" style="3038" customWidth="1"/>
    <col min="9234" max="9234" width="10.875" style="3038" bestFit="1" customWidth="1"/>
    <col min="9235" max="9235" width="10.5" style="3038" bestFit="1" customWidth="1"/>
    <col min="9236" max="9236" width="10.875" style="3038" bestFit="1" customWidth="1"/>
    <col min="9237" max="9238" width="11" style="3038" customWidth="1"/>
    <col min="9239" max="9239" width="9.375" style="3038" customWidth="1"/>
    <col min="9240" max="9240" width="7.125" style="3038" customWidth="1"/>
    <col min="9241" max="9242" width="11.75" style="3038" customWidth="1"/>
    <col min="9243" max="9243" width="13" style="3038" customWidth="1"/>
    <col min="9244" max="9244" width="10.75" style="3038" customWidth="1"/>
    <col min="9245" max="9246" width="7.375" style="3038" customWidth="1"/>
    <col min="9247" max="9247" width="10.25" style="3038" customWidth="1"/>
    <col min="9248" max="9257" width="8.625" style="3038" customWidth="1"/>
    <col min="9258" max="9259" width="14.125" style="3038" bestFit="1" customWidth="1"/>
    <col min="9260" max="9261" width="10.25" style="3038" customWidth="1"/>
    <col min="9262" max="9262" width="10.125" style="3038" customWidth="1"/>
    <col min="9263" max="9263" width="8.875" style="3038" customWidth="1"/>
    <col min="9264" max="9264" width="9.375" style="3038" customWidth="1"/>
    <col min="9265" max="9265" width="13.25" style="3038" customWidth="1"/>
    <col min="9266" max="9266" width="13" style="3038" customWidth="1"/>
    <col min="9267" max="9267" width="10.875" style="3038" customWidth="1"/>
    <col min="9268" max="9268" width="9.375" style="3038" customWidth="1"/>
    <col min="9269" max="9269" width="10.875" style="3038" customWidth="1"/>
    <col min="9270" max="9270" width="10.5" style="3038" customWidth="1"/>
    <col min="9271" max="9271" width="8.125" style="3038" customWidth="1"/>
    <col min="9272" max="9272" width="8.625" style="3038" customWidth="1"/>
    <col min="9273" max="9273" width="10.75" style="3038" customWidth="1"/>
    <col min="9274" max="9274" width="9.625" style="3038" customWidth="1"/>
    <col min="9275" max="9275" width="9.5" style="3038" customWidth="1"/>
    <col min="9276" max="9276" width="11" style="3038" customWidth="1"/>
    <col min="9277" max="9277" width="9.25" style="3038" customWidth="1"/>
    <col min="9278" max="9279" width="11" style="3038" customWidth="1"/>
    <col min="9280" max="9280" width="9.625" style="3038" customWidth="1"/>
    <col min="9281" max="9283" width="10.75" style="3038" bestFit="1" customWidth="1"/>
    <col min="9284" max="9284" width="10.25" style="3038" bestFit="1" customWidth="1"/>
    <col min="9285" max="9285" width="10.75" style="3038" bestFit="1" customWidth="1"/>
    <col min="9286" max="9286" width="10.25" style="3038" bestFit="1" customWidth="1"/>
    <col min="9287" max="9287" width="10.75" style="3038" bestFit="1" customWidth="1"/>
    <col min="9288" max="9288" width="10.25" style="3038" bestFit="1" customWidth="1"/>
    <col min="9289" max="9289" width="10.75" style="3038" bestFit="1" customWidth="1"/>
    <col min="9290" max="9290" width="10.25" style="3038" bestFit="1" customWidth="1"/>
    <col min="9291" max="9291" width="10.75" style="3038" bestFit="1" customWidth="1"/>
    <col min="9292" max="9292" width="10.25" style="3038" bestFit="1" customWidth="1"/>
    <col min="9293" max="9293" width="10.375" style="3038" customWidth="1"/>
    <col min="9294" max="9294" width="10.25" style="3038" customWidth="1"/>
    <col min="9295" max="9295" width="10.375" style="3038" customWidth="1"/>
    <col min="9296" max="9297" width="10.5" style="3038" customWidth="1"/>
    <col min="9298" max="9298" width="11.125" style="3038" customWidth="1"/>
    <col min="9299" max="9299" width="9.875" style="3038" customWidth="1"/>
    <col min="9300" max="9300" width="10.25" style="3038" customWidth="1"/>
    <col min="9301" max="9301" width="9.875" style="3038" customWidth="1"/>
    <col min="9302" max="9302" width="10" style="3038" customWidth="1"/>
    <col min="9303" max="9303" width="9.75" style="3038" customWidth="1"/>
    <col min="9304" max="9328" width="9.625" style="3038" customWidth="1"/>
    <col min="9329" max="9329" width="13.625" style="3038" bestFit="1" customWidth="1"/>
    <col min="9330" max="9330" width="12.375" style="3038" bestFit="1" customWidth="1"/>
    <col min="9331" max="9331" width="9.875" style="3038" bestFit="1" customWidth="1"/>
    <col min="9332" max="9332" width="10.375" style="3038" customWidth="1"/>
    <col min="9333" max="9333" width="9.25" style="3038" customWidth="1"/>
    <col min="9334" max="9334" width="12.625" style="3038" customWidth="1"/>
    <col min="9335" max="9335" width="9.875" style="3038" bestFit="1" customWidth="1"/>
    <col min="9336" max="9336" width="9.125" style="3038" bestFit="1" customWidth="1"/>
    <col min="9337" max="9338" width="9.875" style="3038" bestFit="1" customWidth="1"/>
    <col min="9339" max="9339" width="9.125" style="3038" bestFit="1" customWidth="1"/>
    <col min="9340" max="9341" width="9.875" style="3038" bestFit="1" customWidth="1"/>
    <col min="9342" max="9342" width="11.125" style="3038" bestFit="1" customWidth="1"/>
    <col min="9343" max="9344" width="9.875" style="3038" bestFit="1" customWidth="1"/>
    <col min="9345" max="9345" width="11.125" style="3038" bestFit="1" customWidth="1"/>
    <col min="9346" max="9347" width="9.875" style="3038" bestFit="1" customWidth="1"/>
    <col min="9348" max="9348" width="11.125" style="3038" bestFit="1" customWidth="1"/>
    <col min="9349" max="9349" width="9.125" style="3038" bestFit="1" customWidth="1"/>
    <col min="9350" max="9350" width="9.875" style="3038" bestFit="1" customWidth="1"/>
    <col min="9351" max="9351" width="11.125" style="3038" bestFit="1" customWidth="1"/>
    <col min="9352" max="9352" width="9.125" style="3038" bestFit="1" customWidth="1"/>
    <col min="9353" max="9353" width="9.875" style="3038" bestFit="1" customWidth="1"/>
    <col min="9354" max="9354" width="11.125" style="3038" bestFit="1" customWidth="1"/>
    <col min="9355" max="9355" width="9.125" style="3038" bestFit="1" customWidth="1"/>
    <col min="9356" max="9356" width="9.875" style="3038" bestFit="1" customWidth="1"/>
    <col min="9357" max="9357" width="11.125" style="3038" bestFit="1" customWidth="1"/>
    <col min="9358" max="9358" width="9.125" style="3038" bestFit="1" customWidth="1"/>
    <col min="9359" max="9359" width="9.875" style="3038" bestFit="1" customWidth="1"/>
    <col min="9360" max="9360" width="11.125" style="3038" bestFit="1" customWidth="1"/>
    <col min="9361" max="9361" width="9.125" style="3038" bestFit="1" customWidth="1"/>
    <col min="9362" max="9362" width="9.875" style="3038" bestFit="1" customWidth="1"/>
    <col min="9363" max="9363" width="11.125" style="3038" bestFit="1" customWidth="1"/>
    <col min="9364" max="9364" width="9.125" style="3038" bestFit="1" customWidth="1"/>
    <col min="9365" max="9365" width="9.875" style="3038" bestFit="1" customWidth="1"/>
    <col min="9366" max="9366" width="11.125" style="3038" bestFit="1" customWidth="1"/>
    <col min="9367" max="9367" width="9.125" style="3038" bestFit="1" customWidth="1"/>
    <col min="9368" max="9368" width="9.875" style="3038" bestFit="1" customWidth="1"/>
    <col min="9369" max="9369" width="11.125" style="3038" bestFit="1" customWidth="1"/>
    <col min="9370" max="9370" width="9.125" style="3038" bestFit="1" customWidth="1"/>
    <col min="9371" max="9371" width="9.875" style="3038" bestFit="1" customWidth="1"/>
    <col min="9372" max="9372" width="11.125" style="3038" bestFit="1" customWidth="1"/>
    <col min="9373" max="9373" width="7.875" style="3038" customWidth="1"/>
    <col min="9374" max="9375" width="9.875" style="3038" bestFit="1" customWidth="1"/>
    <col min="9376" max="9376" width="7.875" style="3038"/>
    <col min="9377" max="9378" width="9.875" style="3038" bestFit="1" customWidth="1"/>
    <col min="9379" max="9379" width="7.875" style="3038"/>
    <col min="9380" max="9381" width="9.875" style="3038" bestFit="1" customWidth="1"/>
    <col min="9382" max="9382" width="7.875" style="3038"/>
    <col min="9383" max="9384" width="9.875" style="3038" bestFit="1" customWidth="1"/>
    <col min="9385" max="9385" width="7.875" style="3038"/>
    <col min="9386" max="9386" width="9.875" style="3038" bestFit="1" customWidth="1"/>
    <col min="9387" max="9387" width="8.875" style="3038" bestFit="1" customWidth="1"/>
    <col min="9388" max="9388" width="7.875" style="3038"/>
    <col min="9389" max="9389" width="9.875" style="3038" bestFit="1" customWidth="1"/>
    <col min="9390" max="9390" width="8.875" style="3038" bestFit="1" customWidth="1"/>
    <col min="9391" max="9391" width="7.875" style="3038"/>
    <col min="9392" max="9392" width="9.875" style="3038" bestFit="1" customWidth="1"/>
    <col min="9393" max="9393" width="8.875" style="3038" bestFit="1" customWidth="1"/>
    <col min="9394" max="9394" width="7.875" style="3038"/>
    <col min="9395" max="9395" width="9.875" style="3038" bestFit="1" customWidth="1"/>
    <col min="9396" max="9396" width="8.875" style="3038" bestFit="1" customWidth="1"/>
    <col min="9397" max="9397" width="7.875" style="3038"/>
    <col min="9398" max="9398" width="9.875" style="3038" bestFit="1" customWidth="1"/>
    <col min="9399" max="9399" width="8.875" style="3038" bestFit="1" customWidth="1"/>
    <col min="9400" max="9400" width="7.875" style="3038"/>
    <col min="9401" max="9401" width="9.875" style="3038" bestFit="1" customWidth="1"/>
    <col min="9402" max="9402" width="11.125" style="3038" bestFit="1" customWidth="1"/>
    <col min="9403" max="9403" width="9.125" style="3038" bestFit="1" customWidth="1"/>
    <col min="9404" max="9404" width="9.875" style="3038" bestFit="1" customWidth="1"/>
    <col min="9405" max="9405" width="11.125" style="3038" bestFit="1" customWidth="1"/>
    <col min="9406" max="9406" width="7.875" style="3038"/>
    <col min="9407" max="9407" width="9.25" style="3038" customWidth="1"/>
    <col min="9408" max="9472" width="7.875" style="3038"/>
    <col min="9473" max="9473" width="3.875" style="3038" customWidth="1"/>
    <col min="9474" max="9474" width="10.375" style="3038" customWidth="1"/>
    <col min="9475" max="9475" width="11.375" style="3038" bestFit="1" customWidth="1"/>
    <col min="9476" max="9476" width="10.5" style="3038" customWidth="1"/>
    <col min="9477" max="9477" width="11.625" style="3038" customWidth="1"/>
    <col min="9478" max="9478" width="9.875" style="3038" customWidth="1"/>
    <col min="9479" max="9479" width="11.875" style="3038" customWidth="1"/>
    <col min="9480" max="9480" width="12.75" style="3038" customWidth="1"/>
    <col min="9481" max="9481" width="11" style="3038" customWidth="1"/>
    <col min="9482" max="9482" width="12.75" style="3038" customWidth="1"/>
    <col min="9483" max="9483" width="14" style="3038" customWidth="1"/>
    <col min="9484" max="9484" width="9.375" style="3038" customWidth="1"/>
    <col min="9485" max="9485" width="10.875" style="3038" customWidth="1"/>
    <col min="9486" max="9486" width="12.25" style="3038" customWidth="1"/>
    <col min="9487" max="9487" width="10.375" style="3038" customWidth="1"/>
    <col min="9488" max="9488" width="8.5" style="3038" customWidth="1"/>
    <col min="9489" max="9489" width="12" style="3038" customWidth="1"/>
    <col min="9490" max="9490" width="10.875" style="3038" bestFit="1" customWidth="1"/>
    <col min="9491" max="9491" width="10.5" style="3038" bestFit="1" customWidth="1"/>
    <col min="9492" max="9492" width="10.875" style="3038" bestFit="1" customWidth="1"/>
    <col min="9493" max="9494" width="11" style="3038" customWidth="1"/>
    <col min="9495" max="9495" width="9.375" style="3038" customWidth="1"/>
    <col min="9496" max="9496" width="7.125" style="3038" customWidth="1"/>
    <col min="9497" max="9498" width="11.75" style="3038" customWidth="1"/>
    <col min="9499" max="9499" width="13" style="3038" customWidth="1"/>
    <col min="9500" max="9500" width="10.75" style="3038" customWidth="1"/>
    <col min="9501" max="9502" width="7.375" style="3038" customWidth="1"/>
    <col min="9503" max="9503" width="10.25" style="3038" customWidth="1"/>
    <col min="9504" max="9513" width="8.625" style="3038" customWidth="1"/>
    <col min="9514" max="9515" width="14.125" style="3038" bestFit="1" customWidth="1"/>
    <col min="9516" max="9517" width="10.25" style="3038" customWidth="1"/>
    <col min="9518" max="9518" width="10.125" style="3038" customWidth="1"/>
    <col min="9519" max="9519" width="8.875" style="3038" customWidth="1"/>
    <col min="9520" max="9520" width="9.375" style="3038" customWidth="1"/>
    <col min="9521" max="9521" width="13.25" style="3038" customWidth="1"/>
    <col min="9522" max="9522" width="13" style="3038" customWidth="1"/>
    <col min="9523" max="9523" width="10.875" style="3038" customWidth="1"/>
    <col min="9524" max="9524" width="9.375" style="3038" customWidth="1"/>
    <col min="9525" max="9525" width="10.875" style="3038" customWidth="1"/>
    <col min="9526" max="9526" width="10.5" style="3038" customWidth="1"/>
    <col min="9527" max="9527" width="8.125" style="3038" customWidth="1"/>
    <col min="9528" max="9528" width="8.625" style="3038" customWidth="1"/>
    <col min="9529" max="9529" width="10.75" style="3038" customWidth="1"/>
    <col min="9530" max="9530" width="9.625" style="3038" customWidth="1"/>
    <col min="9531" max="9531" width="9.5" style="3038" customWidth="1"/>
    <col min="9532" max="9532" width="11" style="3038" customWidth="1"/>
    <col min="9533" max="9533" width="9.25" style="3038" customWidth="1"/>
    <col min="9534" max="9535" width="11" style="3038" customWidth="1"/>
    <col min="9536" max="9536" width="9.625" style="3038" customWidth="1"/>
    <col min="9537" max="9539" width="10.75" style="3038" bestFit="1" customWidth="1"/>
    <col min="9540" max="9540" width="10.25" style="3038" bestFit="1" customWidth="1"/>
    <col min="9541" max="9541" width="10.75" style="3038" bestFit="1" customWidth="1"/>
    <col min="9542" max="9542" width="10.25" style="3038" bestFit="1" customWidth="1"/>
    <col min="9543" max="9543" width="10.75" style="3038" bestFit="1" customWidth="1"/>
    <col min="9544" max="9544" width="10.25" style="3038" bestFit="1" customWidth="1"/>
    <col min="9545" max="9545" width="10.75" style="3038" bestFit="1" customWidth="1"/>
    <col min="9546" max="9546" width="10.25" style="3038" bestFit="1" customWidth="1"/>
    <col min="9547" max="9547" width="10.75" style="3038" bestFit="1" customWidth="1"/>
    <col min="9548" max="9548" width="10.25" style="3038" bestFit="1" customWidth="1"/>
    <col min="9549" max="9549" width="10.375" style="3038" customWidth="1"/>
    <col min="9550" max="9550" width="10.25" style="3038" customWidth="1"/>
    <col min="9551" max="9551" width="10.375" style="3038" customWidth="1"/>
    <col min="9552" max="9553" width="10.5" style="3038" customWidth="1"/>
    <col min="9554" max="9554" width="11.125" style="3038" customWidth="1"/>
    <col min="9555" max="9555" width="9.875" style="3038" customWidth="1"/>
    <col min="9556" max="9556" width="10.25" style="3038" customWidth="1"/>
    <col min="9557" max="9557" width="9.875" style="3038" customWidth="1"/>
    <col min="9558" max="9558" width="10" style="3038" customWidth="1"/>
    <col min="9559" max="9559" width="9.75" style="3038" customWidth="1"/>
    <col min="9560" max="9584" width="9.625" style="3038" customWidth="1"/>
    <col min="9585" max="9585" width="13.625" style="3038" bestFit="1" customWidth="1"/>
    <col min="9586" max="9586" width="12.375" style="3038" bestFit="1" customWidth="1"/>
    <col min="9587" max="9587" width="9.875" style="3038" bestFit="1" customWidth="1"/>
    <col min="9588" max="9588" width="10.375" style="3038" customWidth="1"/>
    <col min="9589" max="9589" width="9.25" style="3038" customWidth="1"/>
    <col min="9590" max="9590" width="12.625" style="3038" customWidth="1"/>
    <col min="9591" max="9591" width="9.875" style="3038" bestFit="1" customWidth="1"/>
    <col min="9592" max="9592" width="9.125" style="3038" bestFit="1" customWidth="1"/>
    <col min="9593" max="9594" width="9.875" style="3038" bestFit="1" customWidth="1"/>
    <col min="9595" max="9595" width="9.125" style="3038" bestFit="1" customWidth="1"/>
    <col min="9596" max="9597" width="9.875" style="3038" bestFit="1" customWidth="1"/>
    <col min="9598" max="9598" width="11.125" style="3038" bestFit="1" customWidth="1"/>
    <col min="9599" max="9600" width="9.875" style="3038" bestFit="1" customWidth="1"/>
    <col min="9601" max="9601" width="11.125" style="3038" bestFit="1" customWidth="1"/>
    <col min="9602" max="9603" width="9.875" style="3038" bestFit="1" customWidth="1"/>
    <col min="9604" max="9604" width="11.125" style="3038" bestFit="1" customWidth="1"/>
    <col min="9605" max="9605" width="9.125" style="3038" bestFit="1" customWidth="1"/>
    <col min="9606" max="9606" width="9.875" style="3038" bestFit="1" customWidth="1"/>
    <col min="9607" max="9607" width="11.125" style="3038" bestFit="1" customWidth="1"/>
    <col min="9608" max="9608" width="9.125" style="3038" bestFit="1" customWidth="1"/>
    <col min="9609" max="9609" width="9.875" style="3038" bestFit="1" customWidth="1"/>
    <col min="9610" max="9610" width="11.125" style="3038" bestFit="1" customWidth="1"/>
    <col min="9611" max="9611" width="9.125" style="3038" bestFit="1" customWidth="1"/>
    <col min="9612" max="9612" width="9.875" style="3038" bestFit="1" customWidth="1"/>
    <col min="9613" max="9613" width="11.125" style="3038" bestFit="1" customWidth="1"/>
    <col min="9614" max="9614" width="9.125" style="3038" bestFit="1" customWidth="1"/>
    <col min="9615" max="9615" width="9.875" style="3038" bestFit="1" customWidth="1"/>
    <col min="9616" max="9616" width="11.125" style="3038" bestFit="1" customWidth="1"/>
    <col min="9617" max="9617" width="9.125" style="3038" bestFit="1" customWidth="1"/>
    <col min="9618" max="9618" width="9.875" style="3038" bestFit="1" customWidth="1"/>
    <col min="9619" max="9619" width="11.125" style="3038" bestFit="1" customWidth="1"/>
    <col min="9620" max="9620" width="9.125" style="3038" bestFit="1" customWidth="1"/>
    <col min="9621" max="9621" width="9.875" style="3038" bestFit="1" customWidth="1"/>
    <col min="9622" max="9622" width="11.125" style="3038" bestFit="1" customWidth="1"/>
    <col min="9623" max="9623" width="9.125" style="3038" bestFit="1" customWidth="1"/>
    <col min="9624" max="9624" width="9.875" style="3038" bestFit="1" customWidth="1"/>
    <col min="9625" max="9625" width="11.125" style="3038" bestFit="1" customWidth="1"/>
    <col min="9626" max="9626" width="9.125" style="3038" bestFit="1" customWidth="1"/>
    <col min="9627" max="9627" width="9.875" style="3038" bestFit="1" customWidth="1"/>
    <col min="9628" max="9628" width="11.125" style="3038" bestFit="1" customWidth="1"/>
    <col min="9629" max="9629" width="7.875" style="3038" customWidth="1"/>
    <col min="9630" max="9631" width="9.875" style="3038" bestFit="1" customWidth="1"/>
    <col min="9632" max="9632" width="7.875" style="3038"/>
    <col min="9633" max="9634" width="9.875" style="3038" bestFit="1" customWidth="1"/>
    <col min="9635" max="9635" width="7.875" style="3038"/>
    <col min="9636" max="9637" width="9.875" style="3038" bestFit="1" customWidth="1"/>
    <col min="9638" max="9638" width="7.875" style="3038"/>
    <col min="9639" max="9640" width="9.875" style="3038" bestFit="1" customWidth="1"/>
    <col min="9641" max="9641" width="7.875" style="3038"/>
    <col min="9642" max="9642" width="9.875" style="3038" bestFit="1" customWidth="1"/>
    <col min="9643" max="9643" width="8.875" style="3038" bestFit="1" customWidth="1"/>
    <col min="9644" max="9644" width="7.875" style="3038"/>
    <col min="9645" max="9645" width="9.875" style="3038" bestFit="1" customWidth="1"/>
    <col min="9646" max="9646" width="8.875" style="3038" bestFit="1" customWidth="1"/>
    <col min="9647" max="9647" width="7.875" style="3038"/>
    <col min="9648" max="9648" width="9.875" style="3038" bestFit="1" customWidth="1"/>
    <col min="9649" max="9649" width="8.875" style="3038" bestFit="1" customWidth="1"/>
    <col min="9650" max="9650" width="7.875" style="3038"/>
    <col min="9651" max="9651" width="9.875" style="3038" bestFit="1" customWidth="1"/>
    <col min="9652" max="9652" width="8.875" style="3038" bestFit="1" customWidth="1"/>
    <col min="9653" max="9653" width="7.875" style="3038"/>
    <col min="9654" max="9654" width="9.875" style="3038" bestFit="1" customWidth="1"/>
    <col min="9655" max="9655" width="8.875" style="3038" bestFit="1" customWidth="1"/>
    <col min="9656" max="9656" width="7.875" style="3038"/>
    <col min="9657" max="9657" width="9.875" style="3038" bestFit="1" customWidth="1"/>
    <col min="9658" max="9658" width="11.125" style="3038" bestFit="1" customWidth="1"/>
    <col min="9659" max="9659" width="9.125" style="3038" bestFit="1" customWidth="1"/>
    <col min="9660" max="9660" width="9.875" style="3038" bestFit="1" customWidth="1"/>
    <col min="9661" max="9661" width="11.125" style="3038" bestFit="1" customWidth="1"/>
    <col min="9662" max="9662" width="7.875" style="3038"/>
    <col min="9663" max="9663" width="9.25" style="3038" customWidth="1"/>
    <col min="9664" max="9728" width="7.875" style="3038"/>
    <col min="9729" max="9729" width="3.875" style="3038" customWidth="1"/>
    <col min="9730" max="9730" width="10.375" style="3038" customWidth="1"/>
    <col min="9731" max="9731" width="11.375" style="3038" bestFit="1" customWidth="1"/>
    <col min="9732" max="9732" width="10.5" style="3038" customWidth="1"/>
    <col min="9733" max="9733" width="11.625" style="3038" customWidth="1"/>
    <col min="9734" max="9734" width="9.875" style="3038" customWidth="1"/>
    <col min="9735" max="9735" width="11.875" style="3038" customWidth="1"/>
    <col min="9736" max="9736" width="12.75" style="3038" customWidth="1"/>
    <col min="9737" max="9737" width="11" style="3038" customWidth="1"/>
    <col min="9738" max="9738" width="12.75" style="3038" customWidth="1"/>
    <col min="9739" max="9739" width="14" style="3038" customWidth="1"/>
    <col min="9740" max="9740" width="9.375" style="3038" customWidth="1"/>
    <col min="9741" max="9741" width="10.875" style="3038" customWidth="1"/>
    <col min="9742" max="9742" width="12.25" style="3038" customWidth="1"/>
    <col min="9743" max="9743" width="10.375" style="3038" customWidth="1"/>
    <col min="9744" max="9744" width="8.5" style="3038" customWidth="1"/>
    <col min="9745" max="9745" width="12" style="3038" customWidth="1"/>
    <col min="9746" max="9746" width="10.875" style="3038" bestFit="1" customWidth="1"/>
    <col min="9747" max="9747" width="10.5" style="3038" bestFit="1" customWidth="1"/>
    <col min="9748" max="9748" width="10.875" style="3038" bestFit="1" customWidth="1"/>
    <col min="9749" max="9750" width="11" style="3038" customWidth="1"/>
    <col min="9751" max="9751" width="9.375" style="3038" customWidth="1"/>
    <col min="9752" max="9752" width="7.125" style="3038" customWidth="1"/>
    <col min="9753" max="9754" width="11.75" style="3038" customWidth="1"/>
    <col min="9755" max="9755" width="13" style="3038" customWidth="1"/>
    <col min="9756" max="9756" width="10.75" style="3038" customWidth="1"/>
    <col min="9757" max="9758" width="7.375" style="3038" customWidth="1"/>
    <col min="9759" max="9759" width="10.25" style="3038" customWidth="1"/>
    <col min="9760" max="9769" width="8.625" style="3038" customWidth="1"/>
    <col min="9770" max="9771" width="14.125" style="3038" bestFit="1" customWidth="1"/>
    <col min="9772" max="9773" width="10.25" style="3038" customWidth="1"/>
    <col min="9774" max="9774" width="10.125" style="3038" customWidth="1"/>
    <col min="9775" max="9775" width="8.875" style="3038" customWidth="1"/>
    <col min="9776" max="9776" width="9.375" style="3038" customWidth="1"/>
    <col min="9777" max="9777" width="13.25" style="3038" customWidth="1"/>
    <col min="9778" max="9778" width="13" style="3038" customWidth="1"/>
    <col min="9779" max="9779" width="10.875" style="3038" customWidth="1"/>
    <col min="9780" max="9780" width="9.375" style="3038" customWidth="1"/>
    <col min="9781" max="9781" width="10.875" style="3038" customWidth="1"/>
    <col min="9782" max="9782" width="10.5" style="3038" customWidth="1"/>
    <col min="9783" max="9783" width="8.125" style="3038" customWidth="1"/>
    <col min="9784" max="9784" width="8.625" style="3038" customWidth="1"/>
    <col min="9785" max="9785" width="10.75" style="3038" customWidth="1"/>
    <col min="9786" max="9786" width="9.625" style="3038" customWidth="1"/>
    <col min="9787" max="9787" width="9.5" style="3038" customWidth="1"/>
    <col min="9788" max="9788" width="11" style="3038" customWidth="1"/>
    <col min="9789" max="9789" width="9.25" style="3038" customWidth="1"/>
    <col min="9790" max="9791" width="11" style="3038" customWidth="1"/>
    <col min="9792" max="9792" width="9.625" style="3038" customWidth="1"/>
    <col min="9793" max="9795" width="10.75" style="3038" bestFit="1" customWidth="1"/>
    <col min="9796" max="9796" width="10.25" style="3038" bestFit="1" customWidth="1"/>
    <col min="9797" max="9797" width="10.75" style="3038" bestFit="1" customWidth="1"/>
    <col min="9798" max="9798" width="10.25" style="3038" bestFit="1" customWidth="1"/>
    <col min="9799" max="9799" width="10.75" style="3038" bestFit="1" customWidth="1"/>
    <col min="9800" max="9800" width="10.25" style="3038" bestFit="1" customWidth="1"/>
    <col min="9801" max="9801" width="10.75" style="3038" bestFit="1" customWidth="1"/>
    <col min="9802" max="9802" width="10.25" style="3038" bestFit="1" customWidth="1"/>
    <col min="9803" max="9803" width="10.75" style="3038" bestFit="1" customWidth="1"/>
    <col min="9804" max="9804" width="10.25" style="3038" bestFit="1" customWidth="1"/>
    <col min="9805" max="9805" width="10.375" style="3038" customWidth="1"/>
    <col min="9806" max="9806" width="10.25" style="3038" customWidth="1"/>
    <col min="9807" max="9807" width="10.375" style="3038" customWidth="1"/>
    <col min="9808" max="9809" width="10.5" style="3038" customWidth="1"/>
    <col min="9810" max="9810" width="11.125" style="3038" customWidth="1"/>
    <col min="9811" max="9811" width="9.875" style="3038" customWidth="1"/>
    <col min="9812" max="9812" width="10.25" style="3038" customWidth="1"/>
    <col min="9813" max="9813" width="9.875" style="3038" customWidth="1"/>
    <col min="9814" max="9814" width="10" style="3038" customWidth="1"/>
    <col min="9815" max="9815" width="9.75" style="3038" customWidth="1"/>
    <col min="9816" max="9840" width="9.625" style="3038" customWidth="1"/>
    <col min="9841" max="9841" width="13.625" style="3038" bestFit="1" customWidth="1"/>
    <col min="9842" max="9842" width="12.375" style="3038" bestFit="1" customWidth="1"/>
    <col min="9843" max="9843" width="9.875" style="3038" bestFit="1" customWidth="1"/>
    <col min="9844" max="9844" width="10.375" style="3038" customWidth="1"/>
    <col min="9845" max="9845" width="9.25" style="3038" customWidth="1"/>
    <col min="9846" max="9846" width="12.625" style="3038" customWidth="1"/>
    <col min="9847" max="9847" width="9.875" style="3038" bestFit="1" customWidth="1"/>
    <col min="9848" max="9848" width="9.125" style="3038" bestFit="1" customWidth="1"/>
    <col min="9849" max="9850" width="9.875" style="3038" bestFit="1" customWidth="1"/>
    <col min="9851" max="9851" width="9.125" style="3038" bestFit="1" customWidth="1"/>
    <col min="9852" max="9853" width="9.875" style="3038" bestFit="1" customWidth="1"/>
    <col min="9854" max="9854" width="11.125" style="3038" bestFit="1" customWidth="1"/>
    <col min="9855" max="9856" width="9.875" style="3038" bestFit="1" customWidth="1"/>
    <col min="9857" max="9857" width="11.125" style="3038" bestFit="1" customWidth="1"/>
    <col min="9858" max="9859" width="9.875" style="3038" bestFit="1" customWidth="1"/>
    <col min="9860" max="9860" width="11.125" style="3038" bestFit="1" customWidth="1"/>
    <col min="9861" max="9861" width="9.125" style="3038" bestFit="1" customWidth="1"/>
    <col min="9862" max="9862" width="9.875" style="3038" bestFit="1" customWidth="1"/>
    <col min="9863" max="9863" width="11.125" style="3038" bestFit="1" customWidth="1"/>
    <col min="9864" max="9864" width="9.125" style="3038" bestFit="1" customWidth="1"/>
    <col min="9865" max="9865" width="9.875" style="3038" bestFit="1" customWidth="1"/>
    <col min="9866" max="9866" width="11.125" style="3038" bestFit="1" customWidth="1"/>
    <col min="9867" max="9867" width="9.125" style="3038" bestFit="1" customWidth="1"/>
    <col min="9868" max="9868" width="9.875" style="3038" bestFit="1" customWidth="1"/>
    <col min="9869" max="9869" width="11.125" style="3038" bestFit="1" customWidth="1"/>
    <col min="9870" max="9870" width="9.125" style="3038" bestFit="1" customWidth="1"/>
    <col min="9871" max="9871" width="9.875" style="3038" bestFit="1" customWidth="1"/>
    <col min="9872" max="9872" width="11.125" style="3038" bestFit="1" customWidth="1"/>
    <col min="9873" max="9873" width="9.125" style="3038" bestFit="1" customWidth="1"/>
    <col min="9874" max="9874" width="9.875" style="3038" bestFit="1" customWidth="1"/>
    <col min="9875" max="9875" width="11.125" style="3038" bestFit="1" customWidth="1"/>
    <col min="9876" max="9876" width="9.125" style="3038" bestFit="1" customWidth="1"/>
    <col min="9877" max="9877" width="9.875" style="3038" bestFit="1" customWidth="1"/>
    <col min="9878" max="9878" width="11.125" style="3038" bestFit="1" customWidth="1"/>
    <col min="9879" max="9879" width="9.125" style="3038" bestFit="1" customWidth="1"/>
    <col min="9880" max="9880" width="9.875" style="3038" bestFit="1" customWidth="1"/>
    <col min="9881" max="9881" width="11.125" style="3038" bestFit="1" customWidth="1"/>
    <col min="9882" max="9882" width="9.125" style="3038" bestFit="1" customWidth="1"/>
    <col min="9883" max="9883" width="9.875" style="3038" bestFit="1" customWidth="1"/>
    <col min="9884" max="9884" width="11.125" style="3038" bestFit="1" customWidth="1"/>
    <col min="9885" max="9885" width="7.875" style="3038" customWidth="1"/>
    <col min="9886" max="9887" width="9.875" style="3038" bestFit="1" customWidth="1"/>
    <col min="9888" max="9888" width="7.875" style="3038"/>
    <col min="9889" max="9890" width="9.875" style="3038" bestFit="1" customWidth="1"/>
    <col min="9891" max="9891" width="7.875" style="3038"/>
    <col min="9892" max="9893" width="9.875" style="3038" bestFit="1" customWidth="1"/>
    <col min="9894" max="9894" width="7.875" style="3038"/>
    <col min="9895" max="9896" width="9.875" style="3038" bestFit="1" customWidth="1"/>
    <col min="9897" max="9897" width="7.875" style="3038"/>
    <col min="9898" max="9898" width="9.875" style="3038" bestFit="1" customWidth="1"/>
    <col min="9899" max="9899" width="8.875" style="3038" bestFit="1" customWidth="1"/>
    <col min="9900" max="9900" width="7.875" style="3038"/>
    <col min="9901" max="9901" width="9.875" style="3038" bestFit="1" customWidth="1"/>
    <col min="9902" max="9902" width="8.875" style="3038" bestFit="1" customWidth="1"/>
    <col min="9903" max="9903" width="7.875" style="3038"/>
    <col min="9904" max="9904" width="9.875" style="3038" bestFit="1" customWidth="1"/>
    <col min="9905" max="9905" width="8.875" style="3038" bestFit="1" customWidth="1"/>
    <col min="9906" max="9906" width="7.875" style="3038"/>
    <col min="9907" max="9907" width="9.875" style="3038" bestFit="1" customWidth="1"/>
    <col min="9908" max="9908" width="8.875" style="3038" bestFit="1" customWidth="1"/>
    <col min="9909" max="9909" width="7.875" style="3038"/>
    <col min="9910" max="9910" width="9.875" style="3038" bestFit="1" customWidth="1"/>
    <col min="9911" max="9911" width="8.875" style="3038" bestFit="1" customWidth="1"/>
    <col min="9912" max="9912" width="7.875" style="3038"/>
    <col min="9913" max="9913" width="9.875" style="3038" bestFit="1" customWidth="1"/>
    <col min="9914" max="9914" width="11.125" style="3038" bestFit="1" customWidth="1"/>
    <col min="9915" max="9915" width="9.125" style="3038" bestFit="1" customWidth="1"/>
    <col min="9916" max="9916" width="9.875" style="3038" bestFit="1" customWidth="1"/>
    <col min="9917" max="9917" width="11.125" style="3038" bestFit="1" customWidth="1"/>
    <col min="9918" max="9918" width="7.875" style="3038"/>
    <col min="9919" max="9919" width="9.25" style="3038" customWidth="1"/>
    <col min="9920" max="9984" width="7.875" style="3038"/>
    <col min="9985" max="9985" width="3.875" style="3038" customWidth="1"/>
    <col min="9986" max="9986" width="10.375" style="3038" customWidth="1"/>
    <col min="9987" max="9987" width="11.375" style="3038" bestFit="1" customWidth="1"/>
    <col min="9988" max="9988" width="10.5" style="3038" customWidth="1"/>
    <col min="9989" max="9989" width="11.625" style="3038" customWidth="1"/>
    <col min="9990" max="9990" width="9.875" style="3038" customWidth="1"/>
    <col min="9991" max="9991" width="11.875" style="3038" customWidth="1"/>
    <col min="9992" max="9992" width="12.75" style="3038" customWidth="1"/>
    <col min="9993" max="9993" width="11" style="3038" customWidth="1"/>
    <col min="9994" max="9994" width="12.75" style="3038" customWidth="1"/>
    <col min="9995" max="9995" width="14" style="3038" customWidth="1"/>
    <col min="9996" max="9996" width="9.375" style="3038" customWidth="1"/>
    <col min="9997" max="9997" width="10.875" style="3038" customWidth="1"/>
    <col min="9998" max="9998" width="12.25" style="3038" customWidth="1"/>
    <col min="9999" max="9999" width="10.375" style="3038" customWidth="1"/>
    <col min="10000" max="10000" width="8.5" style="3038" customWidth="1"/>
    <col min="10001" max="10001" width="12" style="3038" customWidth="1"/>
    <col min="10002" max="10002" width="10.875" style="3038" bestFit="1" customWidth="1"/>
    <col min="10003" max="10003" width="10.5" style="3038" bestFit="1" customWidth="1"/>
    <col min="10004" max="10004" width="10.875" style="3038" bestFit="1" customWidth="1"/>
    <col min="10005" max="10006" width="11" style="3038" customWidth="1"/>
    <col min="10007" max="10007" width="9.375" style="3038" customWidth="1"/>
    <col min="10008" max="10008" width="7.125" style="3038" customWidth="1"/>
    <col min="10009" max="10010" width="11.75" style="3038" customWidth="1"/>
    <col min="10011" max="10011" width="13" style="3038" customWidth="1"/>
    <col min="10012" max="10012" width="10.75" style="3038" customWidth="1"/>
    <col min="10013" max="10014" width="7.375" style="3038" customWidth="1"/>
    <col min="10015" max="10015" width="10.25" style="3038" customWidth="1"/>
    <col min="10016" max="10025" width="8.625" style="3038" customWidth="1"/>
    <col min="10026" max="10027" width="14.125" style="3038" bestFit="1" customWidth="1"/>
    <col min="10028" max="10029" width="10.25" style="3038" customWidth="1"/>
    <col min="10030" max="10030" width="10.125" style="3038" customWidth="1"/>
    <col min="10031" max="10031" width="8.875" style="3038" customWidth="1"/>
    <col min="10032" max="10032" width="9.375" style="3038" customWidth="1"/>
    <col min="10033" max="10033" width="13.25" style="3038" customWidth="1"/>
    <col min="10034" max="10034" width="13" style="3038" customWidth="1"/>
    <col min="10035" max="10035" width="10.875" style="3038" customWidth="1"/>
    <col min="10036" max="10036" width="9.375" style="3038" customWidth="1"/>
    <col min="10037" max="10037" width="10.875" style="3038" customWidth="1"/>
    <col min="10038" max="10038" width="10.5" style="3038" customWidth="1"/>
    <col min="10039" max="10039" width="8.125" style="3038" customWidth="1"/>
    <col min="10040" max="10040" width="8.625" style="3038" customWidth="1"/>
    <col min="10041" max="10041" width="10.75" style="3038" customWidth="1"/>
    <col min="10042" max="10042" width="9.625" style="3038" customWidth="1"/>
    <col min="10043" max="10043" width="9.5" style="3038" customWidth="1"/>
    <col min="10044" max="10044" width="11" style="3038" customWidth="1"/>
    <col min="10045" max="10045" width="9.25" style="3038" customWidth="1"/>
    <col min="10046" max="10047" width="11" style="3038" customWidth="1"/>
    <col min="10048" max="10048" width="9.625" style="3038" customWidth="1"/>
    <col min="10049" max="10051" width="10.75" style="3038" bestFit="1" customWidth="1"/>
    <col min="10052" max="10052" width="10.25" style="3038" bestFit="1" customWidth="1"/>
    <col min="10053" max="10053" width="10.75" style="3038" bestFit="1" customWidth="1"/>
    <col min="10054" max="10054" width="10.25" style="3038" bestFit="1" customWidth="1"/>
    <col min="10055" max="10055" width="10.75" style="3038" bestFit="1" customWidth="1"/>
    <col min="10056" max="10056" width="10.25" style="3038" bestFit="1" customWidth="1"/>
    <col min="10057" max="10057" width="10.75" style="3038" bestFit="1" customWidth="1"/>
    <col min="10058" max="10058" width="10.25" style="3038" bestFit="1" customWidth="1"/>
    <col min="10059" max="10059" width="10.75" style="3038" bestFit="1" customWidth="1"/>
    <col min="10060" max="10060" width="10.25" style="3038" bestFit="1" customWidth="1"/>
    <col min="10061" max="10061" width="10.375" style="3038" customWidth="1"/>
    <col min="10062" max="10062" width="10.25" style="3038" customWidth="1"/>
    <col min="10063" max="10063" width="10.375" style="3038" customWidth="1"/>
    <col min="10064" max="10065" width="10.5" style="3038" customWidth="1"/>
    <col min="10066" max="10066" width="11.125" style="3038" customWidth="1"/>
    <col min="10067" max="10067" width="9.875" style="3038" customWidth="1"/>
    <col min="10068" max="10068" width="10.25" style="3038" customWidth="1"/>
    <col min="10069" max="10069" width="9.875" style="3038" customWidth="1"/>
    <col min="10070" max="10070" width="10" style="3038" customWidth="1"/>
    <col min="10071" max="10071" width="9.75" style="3038" customWidth="1"/>
    <col min="10072" max="10096" width="9.625" style="3038" customWidth="1"/>
    <col min="10097" max="10097" width="13.625" style="3038" bestFit="1" customWidth="1"/>
    <col min="10098" max="10098" width="12.375" style="3038" bestFit="1" customWidth="1"/>
    <col min="10099" max="10099" width="9.875" style="3038" bestFit="1" customWidth="1"/>
    <col min="10100" max="10100" width="10.375" style="3038" customWidth="1"/>
    <col min="10101" max="10101" width="9.25" style="3038" customWidth="1"/>
    <col min="10102" max="10102" width="12.625" style="3038" customWidth="1"/>
    <col min="10103" max="10103" width="9.875" style="3038" bestFit="1" customWidth="1"/>
    <col min="10104" max="10104" width="9.125" style="3038" bestFit="1" customWidth="1"/>
    <col min="10105" max="10106" width="9.875" style="3038" bestFit="1" customWidth="1"/>
    <col min="10107" max="10107" width="9.125" style="3038" bestFit="1" customWidth="1"/>
    <col min="10108" max="10109" width="9.875" style="3038" bestFit="1" customWidth="1"/>
    <col min="10110" max="10110" width="11.125" style="3038" bestFit="1" customWidth="1"/>
    <col min="10111" max="10112" width="9.875" style="3038" bestFit="1" customWidth="1"/>
    <col min="10113" max="10113" width="11.125" style="3038" bestFit="1" customWidth="1"/>
    <col min="10114" max="10115" width="9.875" style="3038" bestFit="1" customWidth="1"/>
    <col min="10116" max="10116" width="11.125" style="3038" bestFit="1" customWidth="1"/>
    <col min="10117" max="10117" width="9.125" style="3038" bestFit="1" customWidth="1"/>
    <col min="10118" max="10118" width="9.875" style="3038" bestFit="1" customWidth="1"/>
    <col min="10119" max="10119" width="11.125" style="3038" bestFit="1" customWidth="1"/>
    <col min="10120" max="10120" width="9.125" style="3038" bestFit="1" customWidth="1"/>
    <col min="10121" max="10121" width="9.875" style="3038" bestFit="1" customWidth="1"/>
    <col min="10122" max="10122" width="11.125" style="3038" bestFit="1" customWidth="1"/>
    <col min="10123" max="10123" width="9.125" style="3038" bestFit="1" customWidth="1"/>
    <col min="10124" max="10124" width="9.875" style="3038" bestFit="1" customWidth="1"/>
    <col min="10125" max="10125" width="11.125" style="3038" bestFit="1" customWidth="1"/>
    <col min="10126" max="10126" width="9.125" style="3038" bestFit="1" customWidth="1"/>
    <col min="10127" max="10127" width="9.875" style="3038" bestFit="1" customWidth="1"/>
    <col min="10128" max="10128" width="11.125" style="3038" bestFit="1" customWidth="1"/>
    <col min="10129" max="10129" width="9.125" style="3038" bestFit="1" customWidth="1"/>
    <col min="10130" max="10130" width="9.875" style="3038" bestFit="1" customWidth="1"/>
    <col min="10131" max="10131" width="11.125" style="3038" bestFit="1" customWidth="1"/>
    <col min="10132" max="10132" width="9.125" style="3038" bestFit="1" customWidth="1"/>
    <col min="10133" max="10133" width="9.875" style="3038" bestFit="1" customWidth="1"/>
    <col min="10134" max="10134" width="11.125" style="3038" bestFit="1" customWidth="1"/>
    <col min="10135" max="10135" width="9.125" style="3038" bestFit="1" customWidth="1"/>
    <col min="10136" max="10136" width="9.875" style="3038" bestFit="1" customWidth="1"/>
    <col min="10137" max="10137" width="11.125" style="3038" bestFit="1" customWidth="1"/>
    <col min="10138" max="10138" width="9.125" style="3038" bestFit="1" customWidth="1"/>
    <col min="10139" max="10139" width="9.875" style="3038" bestFit="1" customWidth="1"/>
    <col min="10140" max="10140" width="11.125" style="3038" bestFit="1" customWidth="1"/>
    <col min="10141" max="10141" width="7.875" style="3038" customWidth="1"/>
    <col min="10142" max="10143" width="9.875" style="3038" bestFit="1" customWidth="1"/>
    <col min="10144" max="10144" width="7.875" style="3038"/>
    <col min="10145" max="10146" width="9.875" style="3038" bestFit="1" customWidth="1"/>
    <col min="10147" max="10147" width="7.875" style="3038"/>
    <col min="10148" max="10149" width="9.875" style="3038" bestFit="1" customWidth="1"/>
    <col min="10150" max="10150" width="7.875" style="3038"/>
    <col min="10151" max="10152" width="9.875" style="3038" bestFit="1" customWidth="1"/>
    <col min="10153" max="10153" width="7.875" style="3038"/>
    <col min="10154" max="10154" width="9.875" style="3038" bestFit="1" customWidth="1"/>
    <col min="10155" max="10155" width="8.875" style="3038" bestFit="1" customWidth="1"/>
    <col min="10156" max="10156" width="7.875" style="3038"/>
    <col min="10157" max="10157" width="9.875" style="3038" bestFit="1" customWidth="1"/>
    <col min="10158" max="10158" width="8.875" style="3038" bestFit="1" customWidth="1"/>
    <col min="10159" max="10159" width="7.875" style="3038"/>
    <col min="10160" max="10160" width="9.875" style="3038" bestFit="1" customWidth="1"/>
    <col min="10161" max="10161" width="8.875" style="3038" bestFit="1" customWidth="1"/>
    <col min="10162" max="10162" width="7.875" style="3038"/>
    <col min="10163" max="10163" width="9.875" style="3038" bestFit="1" customWidth="1"/>
    <col min="10164" max="10164" width="8.875" style="3038" bestFit="1" customWidth="1"/>
    <col min="10165" max="10165" width="7.875" style="3038"/>
    <col min="10166" max="10166" width="9.875" style="3038" bestFit="1" customWidth="1"/>
    <col min="10167" max="10167" width="8.875" style="3038" bestFit="1" customWidth="1"/>
    <col min="10168" max="10168" width="7.875" style="3038"/>
    <col min="10169" max="10169" width="9.875" style="3038" bestFit="1" customWidth="1"/>
    <col min="10170" max="10170" width="11.125" style="3038" bestFit="1" customWidth="1"/>
    <col min="10171" max="10171" width="9.125" style="3038" bestFit="1" customWidth="1"/>
    <col min="10172" max="10172" width="9.875" style="3038" bestFit="1" customWidth="1"/>
    <col min="10173" max="10173" width="11.125" style="3038" bestFit="1" customWidth="1"/>
    <col min="10174" max="10174" width="7.875" style="3038"/>
    <col min="10175" max="10175" width="9.25" style="3038" customWidth="1"/>
    <col min="10176" max="10240" width="7.875" style="3038"/>
    <col min="10241" max="10241" width="3.875" style="3038" customWidth="1"/>
    <col min="10242" max="10242" width="10.375" style="3038" customWidth="1"/>
    <col min="10243" max="10243" width="11.375" style="3038" bestFit="1" customWidth="1"/>
    <col min="10244" max="10244" width="10.5" style="3038" customWidth="1"/>
    <col min="10245" max="10245" width="11.625" style="3038" customWidth="1"/>
    <col min="10246" max="10246" width="9.875" style="3038" customWidth="1"/>
    <col min="10247" max="10247" width="11.875" style="3038" customWidth="1"/>
    <col min="10248" max="10248" width="12.75" style="3038" customWidth="1"/>
    <col min="10249" max="10249" width="11" style="3038" customWidth="1"/>
    <col min="10250" max="10250" width="12.75" style="3038" customWidth="1"/>
    <col min="10251" max="10251" width="14" style="3038" customWidth="1"/>
    <col min="10252" max="10252" width="9.375" style="3038" customWidth="1"/>
    <col min="10253" max="10253" width="10.875" style="3038" customWidth="1"/>
    <col min="10254" max="10254" width="12.25" style="3038" customWidth="1"/>
    <col min="10255" max="10255" width="10.375" style="3038" customWidth="1"/>
    <col min="10256" max="10256" width="8.5" style="3038" customWidth="1"/>
    <col min="10257" max="10257" width="12" style="3038" customWidth="1"/>
    <col min="10258" max="10258" width="10.875" style="3038" bestFit="1" customWidth="1"/>
    <col min="10259" max="10259" width="10.5" style="3038" bestFit="1" customWidth="1"/>
    <col min="10260" max="10260" width="10.875" style="3038" bestFit="1" customWidth="1"/>
    <col min="10261" max="10262" width="11" style="3038" customWidth="1"/>
    <col min="10263" max="10263" width="9.375" style="3038" customWidth="1"/>
    <col min="10264" max="10264" width="7.125" style="3038" customWidth="1"/>
    <col min="10265" max="10266" width="11.75" style="3038" customWidth="1"/>
    <col min="10267" max="10267" width="13" style="3038" customWidth="1"/>
    <col min="10268" max="10268" width="10.75" style="3038" customWidth="1"/>
    <col min="10269" max="10270" width="7.375" style="3038" customWidth="1"/>
    <col min="10271" max="10271" width="10.25" style="3038" customWidth="1"/>
    <col min="10272" max="10281" width="8.625" style="3038" customWidth="1"/>
    <col min="10282" max="10283" width="14.125" style="3038" bestFit="1" customWidth="1"/>
    <col min="10284" max="10285" width="10.25" style="3038" customWidth="1"/>
    <col min="10286" max="10286" width="10.125" style="3038" customWidth="1"/>
    <col min="10287" max="10287" width="8.875" style="3038" customWidth="1"/>
    <col min="10288" max="10288" width="9.375" style="3038" customWidth="1"/>
    <col min="10289" max="10289" width="13.25" style="3038" customWidth="1"/>
    <col min="10290" max="10290" width="13" style="3038" customWidth="1"/>
    <col min="10291" max="10291" width="10.875" style="3038" customWidth="1"/>
    <col min="10292" max="10292" width="9.375" style="3038" customWidth="1"/>
    <col min="10293" max="10293" width="10.875" style="3038" customWidth="1"/>
    <col min="10294" max="10294" width="10.5" style="3038" customWidth="1"/>
    <col min="10295" max="10295" width="8.125" style="3038" customWidth="1"/>
    <col min="10296" max="10296" width="8.625" style="3038" customWidth="1"/>
    <col min="10297" max="10297" width="10.75" style="3038" customWidth="1"/>
    <col min="10298" max="10298" width="9.625" style="3038" customWidth="1"/>
    <col min="10299" max="10299" width="9.5" style="3038" customWidth="1"/>
    <col min="10300" max="10300" width="11" style="3038" customWidth="1"/>
    <col min="10301" max="10301" width="9.25" style="3038" customWidth="1"/>
    <col min="10302" max="10303" width="11" style="3038" customWidth="1"/>
    <col min="10304" max="10304" width="9.625" style="3038" customWidth="1"/>
    <col min="10305" max="10307" width="10.75" style="3038" bestFit="1" customWidth="1"/>
    <col min="10308" max="10308" width="10.25" style="3038" bestFit="1" customWidth="1"/>
    <col min="10309" max="10309" width="10.75" style="3038" bestFit="1" customWidth="1"/>
    <col min="10310" max="10310" width="10.25" style="3038" bestFit="1" customWidth="1"/>
    <col min="10311" max="10311" width="10.75" style="3038" bestFit="1" customWidth="1"/>
    <col min="10312" max="10312" width="10.25" style="3038" bestFit="1" customWidth="1"/>
    <col min="10313" max="10313" width="10.75" style="3038" bestFit="1" customWidth="1"/>
    <col min="10314" max="10314" width="10.25" style="3038" bestFit="1" customWidth="1"/>
    <col min="10315" max="10315" width="10.75" style="3038" bestFit="1" customWidth="1"/>
    <col min="10316" max="10316" width="10.25" style="3038" bestFit="1" customWidth="1"/>
    <col min="10317" max="10317" width="10.375" style="3038" customWidth="1"/>
    <col min="10318" max="10318" width="10.25" style="3038" customWidth="1"/>
    <col min="10319" max="10319" width="10.375" style="3038" customWidth="1"/>
    <col min="10320" max="10321" width="10.5" style="3038" customWidth="1"/>
    <col min="10322" max="10322" width="11.125" style="3038" customWidth="1"/>
    <col min="10323" max="10323" width="9.875" style="3038" customWidth="1"/>
    <col min="10324" max="10324" width="10.25" style="3038" customWidth="1"/>
    <col min="10325" max="10325" width="9.875" style="3038" customWidth="1"/>
    <col min="10326" max="10326" width="10" style="3038" customWidth="1"/>
    <col min="10327" max="10327" width="9.75" style="3038" customWidth="1"/>
    <col min="10328" max="10352" width="9.625" style="3038" customWidth="1"/>
    <col min="10353" max="10353" width="13.625" style="3038" bestFit="1" customWidth="1"/>
    <col min="10354" max="10354" width="12.375" style="3038" bestFit="1" customWidth="1"/>
    <col min="10355" max="10355" width="9.875" style="3038" bestFit="1" customWidth="1"/>
    <col min="10356" max="10356" width="10.375" style="3038" customWidth="1"/>
    <col min="10357" max="10357" width="9.25" style="3038" customWidth="1"/>
    <col min="10358" max="10358" width="12.625" style="3038" customWidth="1"/>
    <col min="10359" max="10359" width="9.875" style="3038" bestFit="1" customWidth="1"/>
    <col min="10360" max="10360" width="9.125" style="3038" bestFit="1" customWidth="1"/>
    <col min="10361" max="10362" width="9.875" style="3038" bestFit="1" customWidth="1"/>
    <col min="10363" max="10363" width="9.125" style="3038" bestFit="1" customWidth="1"/>
    <col min="10364" max="10365" width="9.875" style="3038" bestFit="1" customWidth="1"/>
    <col min="10366" max="10366" width="11.125" style="3038" bestFit="1" customWidth="1"/>
    <col min="10367" max="10368" width="9.875" style="3038" bestFit="1" customWidth="1"/>
    <col min="10369" max="10369" width="11.125" style="3038" bestFit="1" customWidth="1"/>
    <col min="10370" max="10371" width="9.875" style="3038" bestFit="1" customWidth="1"/>
    <col min="10372" max="10372" width="11.125" style="3038" bestFit="1" customWidth="1"/>
    <col min="10373" max="10373" width="9.125" style="3038" bestFit="1" customWidth="1"/>
    <col min="10374" max="10374" width="9.875" style="3038" bestFit="1" customWidth="1"/>
    <col min="10375" max="10375" width="11.125" style="3038" bestFit="1" customWidth="1"/>
    <col min="10376" max="10376" width="9.125" style="3038" bestFit="1" customWidth="1"/>
    <col min="10377" max="10377" width="9.875" style="3038" bestFit="1" customWidth="1"/>
    <col min="10378" max="10378" width="11.125" style="3038" bestFit="1" customWidth="1"/>
    <col min="10379" max="10379" width="9.125" style="3038" bestFit="1" customWidth="1"/>
    <col min="10380" max="10380" width="9.875" style="3038" bestFit="1" customWidth="1"/>
    <col min="10381" max="10381" width="11.125" style="3038" bestFit="1" customWidth="1"/>
    <col min="10382" max="10382" width="9.125" style="3038" bestFit="1" customWidth="1"/>
    <col min="10383" max="10383" width="9.875" style="3038" bestFit="1" customWidth="1"/>
    <col min="10384" max="10384" width="11.125" style="3038" bestFit="1" customWidth="1"/>
    <col min="10385" max="10385" width="9.125" style="3038" bestFit="1" customWidth="1"/>
    <col min="10386" max="10386" width="9.875" style="3038" bestFit="1" customWidth="1"/>
    <col min="10387" max="10387" width="11.125" style="3038" bestFit="1" customWidth="1"/>
    <col min="10388" max="10388" width="9.125" style="3038" bestFit="1" customWidth="1"/>
    <col min="10389" max="10389" width="9.875" style="3038" bestFit="1" customWidth="1"/>
    <col min="10390" max="10390" width="11.125" style="3038" bestFit="1" customWidth="1"/>
    <col min="10391" max="10391" width="9.125" style="3038" bestFit="1" customWidth="1"/>
    <col min="10392" max="10392" width="9.875" style="3038" bestFit="1" customWidth="1"/>
    <col min="10393" max="10393" width="11.125" style="3038" bestFit="1" customWidth="1"/>
    <col min="10394" max="10394" width="9.125" style="3038" bestFit="1" customWidth="1"/>
    <col min="10395" max="10395" width="9.875" style="3038" bestFit="1" customWidth="1"/>
    <col min="10396" max="10396" width="11.125" style="3038" bestFit="1" customWidth="1"/>
    <col min="10397" max="10397" width="7.875" style="3038" customWidth="1"/>
    <col min="10398" max="10399" width="9.875" style="3038" bestFit="1" customWidth="1"/>
    <col min="10400" max="10400" width="7.875" style="3038"/>
    <col min="10401" max="10402" width="9.875" style="3038" bestFit="1" customWidth="1"/>
    <col min="10403" max="10403" width="7.875" style="3038"/>
    <col min="10404" max="10405" width="9.875" style="3038" bestFit="1" customWidth="1"/>
    <col min="10406" max="10406" width="7.875" style="3038"/>
    <col min="10407" max="10408" width="9.875" style="3038" bestFit="1" customWidth="1"/>
    <col min="10409" max="10409" width="7.875" style="3038"/>
    <col min="10410" max="10410" width="9.875" style="3038" bestFit="1" customWidth="1"/>
    <col min="10411" max="10411" width="8.875" style="3038" bestFit="1" customWidth="1"/>
    <col min="10412" max="10412" width="7.875" style="3038"/>
    <col min="10413" max="10413" width="9.875" style="3038" bestFit="1" customWidth="1"/>
    <col min="10414" max="10414" width="8.875" style="3038" bestFit="1" customWidth="1"/>
    <col min="10415" max="10415" width="7.875" style="3038"/>
    <col min="10416" max="10416" width="9.875" style="3038" bestFit="1" customWidth="1"/>
    <col min="10417" max="10417" width="8.875" style="3038" bestFit="1" customWidth="1"/>
    <col min="10418" max="10418" width="7.875" style="3038"/>
    <col min="10419" max="10419" width="9.875" style="3038" bestFit="1" customWidth="1"/>
    <col min="10420" max="10420" width="8.875" style="3038" bestFit="1" customWidth="1"/>
    <col min="10421" max="10421" width="7.875" style="3038"/>
    <col min="10422" max="10422" width="9.875" style="3038" bestFit="1" customWidth="1"/>
    <col min="10423" max="10423" width="8.875" style="3038" bestFit="1" customWidth="1"/>
    <col min="10424" max="10424" width="7.875" style="3038"/>
    <col min="10425" max="10425" width="9.875" style="3038" bestFit="1" customWidth="1"/>
    <col min="10426" max="10426" width="11.125" style="3038" bestFit="1" customWidth="1"/>
    <col min="10427" max="10427" width="9.125" style="3038" bestFit="1" customWidth="1"/>
    <col min="10428" max="10428" width="9.875" style="3038" bestFit="1" customWidth="1"/>
    <col min="10429" max="10429" width="11.125" style="3038" bestFit="1" customWidth="1"/>
    <col min="10430" max="10430" width="7.875" style="3038"/>
    <col min="10431" max="10431" width="9.25" style="3038" customWidth="1"/>
    <col min="10432" max="10496" width="7.875" style="3038"/>
    <col min="10497" max="10497" width="3.875" style="3038" customWidth="1"/>
    <col min="10498" max="10498" width="10.375" style="3038" customWidth="1"/>
    <col min="10499" max="10499" width="11.375" style="3038" bestFit="1" customWidth="1"/>
    <col min="10500" max="10500" width="10.5" style="3038" customWidth="1"/>
    <col min="10501" max="10501" width="11.625" style="3038" customWidth="1"/>
    <col min="10502" max="10502" width="9.875" style="3038" customWidth="1"/>
    <col min="10503" max="10503" width="11.875" style="3038" customWidth="1"/>
    <col min="10504" max="10504" width="12.75" style="3038" customWidth="1"/>
    <col min="10505" max="10505" width="11" style="3038" customWidth="1"/>
    <col min="10506" max="10506" width="12.75" style="3038" customWidth="1"/>
    <col min="10507" max="10507" width="14" style="3038" customWidth="1"/>
    <col min="10508" max="10508" width="9.375" style="3038" customWidth="1"/>
    <col min="10509" max="10509" width="10.875" style="3038" customWidth="1"/>
    <col min="10510" max="10510" width="12.25" style="3038" customWidth="1"/>
    <col min="10511" max="10511" width="10.375" style="3038" customWidth="1"/>
    <col min="10512" max="10512" width="8.5" style="3038" customWidth="1"/>
    <col min="10513" max="10513" width="12" style="3038" customWidth="1"/>
    <col min="10514" max="10514" width="10.875" style="3038" bestFit="1" customWidth="1"/>
    <col min="10515" max="10515" width="10.5" style="3038" bestFit="1" customWidth="1"/>
    <col min="10516" max="10516" width="10.875" style="3038" bestFit="1" customWidth="1"/>
    <col min="10517" max="10518" width="11" style="3038" customWidth="1"/>
    <col min="10519" max="10519" width="9.375" style="3038" customWidth="1"/>
    <col min="10520" max="10520" width="7.125" style="3038" customWidth="1"/>
    <col min="10521" max="10522" width="11.75" style="3038" customWidth="1"/>
    <col min="10523" max="10523" width="13" style="3038" customWidth="1"/>
    <col min="10524" max="10524" width="10.75" style="3038" customWidth="1"/>
    <col min="10525" max="10526" width="7.375" style="3038" customWidth="1"/>
    <col min="10527" max="10527" width="10.25" style="3038" customWidth="1"/>
    <col min="10528" max="10537" width="8.625" style="3038" customWidth="1"/>
    <col min="10538" max="10539" width="14.125" style="3038" bestFit="1" customWidth="1"/>
    <col min="10540" max="10541" width="10.25" style="3038" customWidth="1"/>
    <col min="10542" max="10542" width="10.125" style="3038" customWidth="1"/>
    <col min="10543" max="10543" width="8.875" style="3038" customWidth="1"/>
    <col min="10544" max="10544" width="9.375" style="3038" customWidth="1"/>
    <col min="10545" max="10545" width="13.25" style="3038" customWidth="1"/>
    <col min="10546" max="10546" width="13" style="3038" customWidth="1"/>
    <col min="10547" max="10547" width="10.875" style="3038" customWidth="1"/>
    <col min="10548" max="10548" width="9.375" style="3038" customWidth="1"/>
    <col min="10549" max="10549" width="10.875" style="3038" customWidth="1"/>
    <col min="10550" max="10550" width="10.5" style="3038" customWidth="1"/>
    <col min="10551" max="10551" width="8.125" style="3038" customWidth="1"/>
    <col min="10552" max="10552" width="8.625" style="3038" customWidth="1"/>
    <col min="10553" max="10553" width="10.75" style="3038" customWidth="1"/>
    <col min="10554" max="10554" width="9.625" style="3038" customWidth="1"/>
    <col min="10555" max="10555" width="9.5" style="3038" customWidth="1"/>
    <col min="10556" max="10556" width="11" style="3038" customWidth="1"/>
    <col min="10557" max="10557" width="9.25" style="3038" customWidth="1"/>
    <col min="10558" max="10559" width="11" style="3038" customWidth="1"/>
    <col min="10560" max="10560" width="9.625" style="3038" customWidth="1"/>
    <col min="10561" max="10563" width="10.75" style="3038" bestFit="1" customWidth="1"/>
    <col min="10564" max="10564" width="10.25" style="3038" bestFit="1" customWidth="1"/>
    <col min="10565" max="10565" width="10.75" style="3038" bestFit="1" customWidth="1"/>
    <col min="10566" max="10566" width="10.25" style="3038" bestFit="1" customWidth="1"/>
    <col min="10567" max="10567" width="10.75" style="3038" bestFit="1" customWidth="1"/>
    <col min="10568" max="10568" width="10.25" style="3038" bestFit="1" customWidth="1"/>
    <col min="10569" max="10569" width="10.75" style="3038" bestFit="1" customWidth="1"/>
    <col min="10570" max="10570" width="10.25" style="3038" bestFit="1" customWidth="1"/>
    <col min="10571" max="10571" width="10.75" style="3038" bestFit="1" customWidth="1"/>
    <col min="10572" max="10572" width="10.25" style="3038" bestFit="1" customWidth="1"/>
    <col min="10573" max="10573" width="10.375" style="3038" customWidth="1"/>
    <col min="10574" max="10574" width="10.25" style="3038" customWidth="1"/>
    <col min="10575" max="10575" width="10.375" style="3038" customWidth="1"/>
    <col min="10576" max="10577" width="10.5" style="3038" customWidth="1"/>
    <col min="10578" max="10578" width="11.125" style="3038" customWidth="1"/>
    <col min="10579" max="10579" width="9.875" style="3038" customWidth="1"/>
    <col min="10580" max="10580" width="10.25" style="3038" customWidth="1"/>
    <col min="10581" max="10581" width="9.875" style="3038" customWidth="1"/>
    <col min="10582" max="10582" width="10" style="3038" customWidth="1"/>
    <col min="10583" max="10583" width="9.75" style="3038" customWidth="1"/>
    <col min="10584" max="10608" width="9.625" style="3038" customWidth="1"/>
    <col min="10609" max="10609" width="13.625" style="3038" bestFit="1" customWidth="1"/>
    <col min="10610" max="10610" width="12.375" style="3038" bestFit="1" customWidth="1"/>
    <col min="10611" max="10611" width="9.875" style="3038" bestFit="1" customWidth="1"/>
    <col min="10612" max="10612" width="10.375" style="3038" customWidth="1"/>
    <col min="10613" max="10613" width="9.25" style="3038" customWidth="1"/>
    <col min="10614" max="10614" width="12.625" style="3038" customWidth="1"/>
    <col min="10615" max="10615" width="9.875" style="3038" bestFit="1" customWidth="1"/>
    <col min="10616" max="10616" width="9.125" style="3038" bestFit="1" customWidth="1"/>
    <col min="10617" max="10618" width="9.875" style="3038" bestFit="1" customWidth="1"/>
    <col min="10619" max="10619" width="9.125" style="3038" bestFit="1" customWidth="1"/>
    <col min="10620" max="10621" width="9.875" style="3038" bestFit="1" customWidth="1"/>
    <col min="10622" max="10622" width="11.125" style="3038" bestFit="1" customWidth="1"/>
    <col min="10623" max="10624" width="9.875" style="3038" bestFit="1" customWidth="1"/>
    <col min="10625" max="10625" width="11.125" style="3038" bestFit="1" customWidth="1"/>
    <col min="10626" max="10627" width="9.875" style="3038" bestFit="1" customWidth="1"/>
    <col min="10628" max="10628" width="11.125" style="3038" bestFit="1" customWidth="1"/>
    <col min="10629" max="10629" width="9.125" style="3038" bestFit="1" customWidth="1"/>
    <col min="10630" max="10630" width="9.875" style="3038" bestFit="1" customWidth="1"/>
    <col min="10631" max="10631" width="11.125" style="3038" bestFit="1" customWidth="1"/>
    <col min="10632" max="10632" width="9.125" style="3038" bestFit="1" customWidth="1"/>
    <col min="10633" max="10633" width="9.875" style="3038" bestFit="1" customWidth="1"/>
    <col min="10634" max="10634" width="11.125" style="3038" bestFit="1" customWidth="1"/>
    <col min="10635" max="10635" width="9.125" style="3038" bestFit="1" customWidth="1"/>
    <col min="10636" max="10636" width="9.875" style="3038" bestFit="1" customWidth="1"/>
    <col min="10637" max="10637" width="11.125" style="3038" bestFit="1" customWidth="1"/>
    <col min="10638" max="10638" width="9.125" style="3038" bestFit="1" customWidth="1"/>
    <col min="10639" max="10639" width="9.875" style="3038" bestFit="1" customWidth="1"/>
    <col min="10640" max="10640" width="11.125" style="3038" bestFit="1" customWidth="1"/>
    <col min="10641" max="10641" width="9.125" style="3038" bestFit="1" customWidth="1"/>
    <col min="10642" max="10642" width="9.875" style="3038" bestFit="1" customWidth="1"/>
    <col min="10643" max="10643" width="11.125" style="3038" bestFit="1" customWidth="1"/>
    <col min="10644" max="10644" width="9.125" style="3038" bestFit="1" customWidth="1"/>
    <col min="10645" max="10645" width="9.875" style="3038" bestFit="1" customWidth="1"/>
    <col min="10646" max="10646" width="11.125" style="3038" bestFit="1" customWidth="1"/>
    <col min="10647" max="10647" width="9.125" style="3038" bestFit="1" customWidth="1"/>
    <col min="10648" max="10648" width="9.875" style="3038" bestFit="1" customWidth="1"/>
    <col min="10649" max="10649" width="11.125" style="3038" bestFit="1" customWidth="1"/>
    <col min="10650" max="10650" width="9.125" style="3038" bestFit="1" customWidth="1"/>
    <col min="10651" max="10651" width="9.875" style="3038" bestFit="1" customWidth="1"/>
    <col min="10652" max="10652" width="11.125" style="3038" bestFit="1" customWidth="1"/>
    <col min="10653" max="10653" width="7.875" style="3038" customWidth="1"/>
    <col min="10654" max="10655" width="9.875" style="3038" bestFit="1" customWidth="1"/>
    <col min="10656" max="10656" width="7.875" style="3038"/>
    <col min="10657" max="10658" width="9.875" style="3038" bestFit="1" customWidth="1"/>
    <col min="10659" max="10659" width="7.875" style="3038"/>
    <col min="10660" max="10661" width="9.875" style="3038" bestFit="1" customWidth="1"/>
    <col min="10662" max="10662" width="7.875" style="3038"/>
    <col min="10663" max="10664" width="9.875" style="3038" bestFit="1" customWidth="1"/>
    <col min="10665" max="10665" width="7.875" style="3038"/>
    <col min="10666" max="10666" width="9.875" style="3038" bestFit="1" customWidth="1"/>
    <col min="10667" max="10667" width="8.875" style="3038" bestFit="1" customWidth="1"/>
    <col min="10668" max="10668" width="7.875" style="3038"/>
    <col min="10669" max="10669" width="9.875" style="3038" bestFit="1" customWidth="1"/>
    <col min="10670" max="10670" width="8.875" style="3038" bestFit="1" customWidth="1"/>
    <col min="10671" max="10671" width="7.875" style="3038"/>
    <col min="10672" max="10672" width="9.875" style="3038" bestFit="1" customWidth="1"/>
    <col min="10673" max="10673" width="8.875" style="3038" bestFit="1" customWidth="1"/>
    <col min="10674" max="10674" width="7.875" style="3038"/>
    <col min="10675" max="10675" width="9.875" style="3038" bestFit="1" customWidth="1"/>
    <col min="10676" max="10676" width="8.875" style="3038" bestFit="1" customWidth="1"/>
    <col min="10677" max="10677" width="7.875" style="3038"/>
    <col min="10678" max="10678" width="9.875" style="3038" bestFit="1" customWidth="1"/>
    <col min="10679" max="10679" width="8.875" style="3038" bestFit="1" customWidth="1"/>
    <col min="10680" max="10680" width="7.875" style="3038"/>
    <col min="10681" max="10681" width="9.875" style="3038" bestFit="1" customWidth="1"/>
    <col min="10682" max="10682" width="11.125" style="3038" bestFit="1" customWidth="1"/>
    <col min="10683" max="10683" width="9.125" style="3038" bestFit="1" customWidth="1"/>
    <col min="10684" max="10684" width="9.875" style="3038" bestFit="1" customWidth="1"/>
    <col min="10685" max="10685" width="11.125" style="3038" bestFit="1" customWidth="1"/>
    <col min="10686" max="10686" width="7.875" style="3038"/>
    <col min="10687" max="10687" width="9.25" style="3038" customWidth="1"/>
    <col min="10688" max="10752" width="7.875" style="3038"/>
    <col min="10753" max="10753" width="3.875" style="3038" customWidth="1"/>
    <col min="10754" max="10754" width="10.375" style="3038" customWidth="1"/>
    <col min="10755" max="10755" width="11.375" style="3038" bestFit="1" customWidth="1"/>
    <col min="10756" max="10756" width="10.5" style="3038" customWidth="1"/>
    <col min="10757" max="10757" width="11.625" style="3038" customWidth="1"/>
    <col min="10758" max="10758" width="9.875" style="3038" customWidth="1"/>
    <col min="10759" max="10759" width="11.875" style="3038" customWidth="1"/>
    <col min="10760" max="10760" width="12.75" style="3038" customWidth="1"/>
    <col min="10761" max="10761" width="11" style="3038" customWidth="1"/>
    <col min="10762" max="10762" width="12.75" style="3038" customWidth="1"/>
    <col min="10763" max="10763" width="14" style="3038" customWidth="1"/>
    <col min="10764" max="10764" width="9.375" style="3038" customWidth="1"/>
    <col min="10765" max="10765" width="10.875" style="3038" customWidth="1"/>
    <col min="10766" max="10766" width="12.25" style="3038" customWidth="1"/>
    <col min="10767" max="10767" width="10.375" style="3038" customWidth="1"/>
    <col min="10768" max="10768" width="8.5" style="3038" customWidth="1"/>
    <col min="10769" max="10769" width="12" style="3038" customWidth="1"/>
    <col min="10770" max="10770" width="10.875" style="3038" bestFit="1" customWidth="1"/>
    <col min="10771" max="10771" width="10.5" style="3038" bestFit="1" customWidth="1"/>
    <col min="10772" max="10772" width="10.875" style="3038" bestFit="1" customWidth="1"/>
    <col min="10773" max="10774" width="11" style="3038" customWidth="1"/>
    <col min="10775" max="10775" width="9.375" style="3038" customWidth="1"/>
    <col min="10776" max="10776" width="7.125" style="3038" customWidth="1"/>
    <col min="10777" max="10778" width="11.75" style="3038" customWidth="1"/>
    <col min="10779" max="10779" width="13" style="3038" customWidth="1"/>
    <col min="10780" max="10780" width="10.75" style="3038" customWidth="1"/>
    <col min="10781" max="10782" width="7.375" style="3038" customWidth="1"/>
    <col min="10783" max="10783" width="10.25" style="3038" customWidth="1"/>
    <col min="10784" max="10793" width="8.625" style="3038" customWidth="1"/>
    <col min="10794" max="10795" width="14.125" style="3038" bestFit="1" customWidth="1"/>
    <col min="10796" max="10797" width="10.25" style="3038" customWidth="1"/>
    <col min="10798" max="10798" width="10.125" style="3038" customWidth="1"/>
    <col min="10799" max="10799" width="8.875" style="3038" customWidth="1"/>
    <col min="10800" max="10800" width="9.375" style="3038" customWidth="1"/>
    <col min="10801" max="10801" width="13.25" style="3038" customWidth="1"/>
    <col min="10802" max="10802" width="13" style="3038" customWidth="1"/>
    <col min="10803" max="10803" width="10.875" style="3038" customWidth="1"/>
    <col min="10804" max="10804" width="9.375" style="3038" customWidth="1"/>
    <col min="10805" max="10805" width="10.875" style="3038" customWidth="1"/>
    <col min="10806" max="10806" width="10.5" style="3038" customWidth="1"/>
    <col min="10807" max="10807" width="8.125" style="3038" customWidth="1"/>
    <col min="10808" max="10808" width="8.625" style="3038" customWidth="1"/>
    <col min="10809" max="10809" width="10.75" style="3038" customWidth="1"/>
    <col min="10810" max="10810" width="9.625" style="3038" customWidth="1"/>
    <col min="10811" max="10811" width="9.5" style="3038" customWidth="1"/>
    <col min="10812" max="10812" width="11" style="3038" customWidth="1"/>
    <col min="10813" max="10813" width="9.25" style="3038" customWidth="1"/>
    <col min="10814" max="10815" width="11" style="3038" customWidth="1"/>
    <col min="10816" max="10816" width="9.625" style="3038" customWidth="1"/>
    <col min="10817" max="10819" width="10.75" style="3038" bestFit="1" customWidth="1"/>
    <col min="10820" max="10820" width="10.25" style="3038" bestFit="1" customWidth="1"/>
    <col min="10821" max="10821" width="10.75" style="3038" bestFit="1" customWidth="1"/>
    <col min="10822" max="10822" width="10.25" style="3038" bestFit="1" customWidth="1"/>
    <col min="10823" max="10823" width="10.75" style="3038" bestFit="1" customWidth="1"/>
    <col min="10824" max="10824" width="10.25" style="3038" bestFit="1" customWidth="1"/>
    <col min="10825" max="10825" width="10.75" style="3038" bestFit="1" customWidth="1"/>
    <col min="10826" max="10826" width="10.25" style="3038" bestFit="1" customWidth="1"/>
    <col min="10827" max="10827" width="10.75" style="3038" bestFit="1" customWidth="1"/>
    <col min="10828" max="10828" width="10.25" style="3038" bestFit="1" customWidth="1"/>
    <col min="10829" max="10829" width="10.375" style="3038" customWidth="1"/>
    <col min="10830" max="10830" width="10.25" style="3038" customWidth="1"/>
    <col min="10831" max="10831" width="10.375" style="3038" customWidth="1"/>
    <col min="10832" max="10833" width="10.5" style="3038" customWidth="1"/>
    <col min="10834" max="10834" width="11.125" style="3038" customWidth="1"/>
    <col min="10835" max="10835" width="9.875" style="3038" customWidth="1"/>
    <col min="10836" max="10836" width="10.25" style="3038" customWidth="1"/>
    <col min="10837" max="10837" width="9.875" style="3038" customWidth="1"/>
    <col min="10838" max="10838" width="10" style="3038" customWidth="1"/>
    <col min="10839" max="10839" width="9.75" style="3038" customWidth="1"/>
    <col min="10840" max="10864" width="9.625" style="3038" customWidth="1"/>
    <col min="10865" max="10865" width="13.625" style="3038" bestFit="1" customWidth="1"/>
    <col min="10866" max="10866" width="12.375" style="3038" bestFit="1" customWidth="1"/>
    <col min="10867" max="10867" width="9.875" style="3038" bestFit="1" customWidth="1"/>
    <col min="10868" max="10868" width="10.375" style="3038" customWidth="1"/>
    <col min="10869" max="10869" width="9.25" style="3038" customWidth="1"/>
    <col min="10870" max="10870" width="12.625" style="3038" customWidth="1"/>
    <col min="10871" max="10871" width="9.875" style="3038" bestFit="1" customWidth="1"/>
    <col min="10872" max="10872" width="9.125" style="3038" bestFit="1" customWidth="1"/>
    <col min="10873" max="10874" width="9.875" style="3038" bestFit="1" customWidth="1"/>
    <col min="10875" max="10875" width="9.125" style="3038" bestFit="1" customWidth="1"/>
    <col min="10876" max="10877" width="9.875" style="3038" bestFit="1" customWidth="1"/>
    <col min="10878" max="10878" width="11.125" style="3038" bestFit="1" customWidth="1"/>
    <col min="10879" max="10880" width="9.875" style="3038" bestFit="1" customWidth="1"/>
    <col min="10881" max="10881" width="11.125" style="3038" bestFit="1" customWidth="1"/>
    <col min="10882" max="10883" width="9.875" style="3038" bestFit="1" customWidth="1"/>
    <col min="10884" max="10884" width="11.125" style="3038" bestFit="1" customWidth="1"/>
    <col min="10885" max="10885" width="9.125" style="3038" bestFit="1" customWidth="1"/>
    <col min="10886" max="10886" width="9.875" style="3038" bestFit="1" customWidth="1"/>
    <col min="10887" max="10887" width="11.125" style="3038" bestFit="1" customWidth="1"/>
    <col min="10888" max="10888" width="9.125" style="3038" bestFit="1" customWidth="1"/>
    <col min="10889" max="10889" width="9.875" style="3038" bestFit="1" customWidth="1"/>
    <col min="10890" max="10890" width="11.125" style="3038" bestFit="1" customWidth="1"/>
    <col min="10891" max="10891" width="9.125" style="3038" bestFit="1" customWidth="1"/>
    <col min="10892" max="10892" width="9.875" style="3038" bestFit="1" customWidth="1"/>
    <col min="10893" max="10893" width="11.125" style="3038" bestFit="1" customWidth="1"/>
    <col min="10894" max="10894" width="9.125" style="3038" bestFit="1" customWidth="1"/>
    <col min="10895" max="10895" width="9.875" style="3038" bestFit="1" customWidth="1"/>
    <col min="10896" max="10896" width="11.125" style="3038" bestFit="1" customWidth="1"/>
    <col min="10897" max="10897" width="9.125" style="3038" bestFit="1" customWidth="1"/>
    <col min="10898" max="10898" width="9.875" style="3038" bestFit="1" customWidth="1"/>
    <col min="10899" max="10899" width="11.125" style="3038" bestFit="1" customWidth="1"/>
    <col min="10900" max="10900" width="9.125" style="3038" bestFit="1" customWidth="1"/>
    <col min="10901" max="10901" width="9.875" style="3038" bestFit="1" customWidth="1"/>
    <col min="10902" max="10902" width="11.125" style="3038" bestFit="1" customWidth="1"/>
    <col min="10903" max="10903" width="9.125" style="3038" bestFit="1" customWidth="1"/>
    <col min="10904" max="10904" width="9.875" style="3038" bestFit="1" customWidth="1"/>
    <col min="10905" max="10905" width="11.125" style="3038" bestFit="1" customWidth="1"/>
    <col min="10906" max="10906" width="9.125" style="3038" bestFit="1" customWidth="1"/>
    <col min="10907" max="10907" width="9.875" style="3038" bestFit="1" customWidth="1"/>
    <col min="10908" max="10908" width="11.125" style="3038" bestFit="1" customWidth="1"/>
    <col min="10909" max="10909" width="7.875" style="3038" customWidth="1"/>
    <col min="10910" max="10911" width="9.875" style="3038" bestFit="1" customWidth="1"/>
    <col min="10912" max="10912" width="7.875" style="3038"/>
    <col min="10913" max="10914" width="9.875" style="3038" bestFit="1" customWidth="1"/>
    <col min="10915" max="10915" width="7.875" style="3038"/>
    <col min="10916" max="10917" width="9.875" style="3038" bestFit="1" customWidth="1"/>
    <col min="10918" max="10918" width="7.875" style="3038"/>
    <col min="10919" max="10920" width="9.875" style="3038" bestFit="1" customWidth="1"/>
    <col min="10921" max="10921" width="7.875" style="3038"/>
    <col min="10922" max="10922" width="9.875" style="3038" bestFit="1" customWidth="1"/>
    <col min="10923" max="10923" width="8.875" style="3038" bestFit="1" customWidth="1"/>
    <col min="10924" max="10924" width="7.875" style="3038"/>
    <col min="10925" max="10925" width="9.875" style="3038" bestFit="1" customWidth="1"/>
    <col min="10926" max="10926" width="8.875" style="3038" bestFit="1" customWidth="1"/>
    <col min="10927" max="10927" width="7.875" style="3038"/>
    <col min="10928" max="10928" width="9.875" style="3038" bestFit="1" customWidth="1"/>
    <col min="10929" max="10929" width="8.875" style="3038" bestFit="1" customWidth="1"/>
    <col min="10930" max="10930" width="7.875" style="3038"/>
    <col min="10931" max="10931" width="9.875" style="3038" bestFit="1" customWidth="1"/>
    <col min="10932" max="10932" width="8.875" style="3038" bestFit="1" customWidth="1"/>
    <col min="10933" max="10933" width="7.875" style="3038"/>
    <col min="10934" max="10934" width="9.875" style="3038" bestFit="1" customWidth="1"/>
    <col min="10935" max="10935" width="8.875" style="3038" bestFit="1" customWidth="1"/>
    <col min="10936" max="10936" width="7.875" style="3038"/>
    <col min="10937" max="10937" width="9.875" style="3038" bestFit="1" customWidth="1"/>
    <col min="10938" max="10938" width="11.125" style="3038" bestFit="1" customWidth="1"/>
    <col min="10939" max="10939" width="9.125" style="3038" bestFit="1" customWidth="1"/>
    <col min="10940" max="10940" width="9.875" style="3038" bestFit="1" customWidth="1"/>
    <col min="10941" max="10941" width="11.125" style="3038" bestFit="1" customWidth="1"/>
    <col min="10942" max="10942" width="7.875" style="3038"/>
    <col min="10943" max="10943" width="9.25" style="3038" customWidth="1"/>
    <col min="10944" max="11008" width="7.875" style="3038"/>
    <col min="11009" max="11009" width="3.875" style="3038" customWidth="1"/>
    <col min="11010" max="11010" width="10.375" style="3038" customWidth="1"/>
    <col min="11011" max="11011" width="11.375" style="3038" bestFit="1" customWidth="1"/>
    <col min="11012" max="11012" width="10.5" style="3038" customWidth="1"/>
    <col min="11013" max="11013" width="11.625" style="3038" customWidth="1"/>
    <col min="11014" max="11014" width="9.875" style="3038" customWidth="1"/>
    <col min="11015" max="11015" width="11.875" style="3038" customWidth="1"/>
    <col min="11016" max="11016" width="12.75" style="3038" customWidth="1"/>
    <col min="11017" max="11017" width="11" style="3038" customWidth="1"/>
    <col min="11018" max="11018" width="12.75" style="3038" customWidth="1"/>
    <col min="11019" max="11019" width="14" style="3038" customWidth="1"/>
    <col min="11020" max="11020" width="9.375" style="3038" customWidth="1"/>
    <col min="11021" max="11021" width="10.875" style="3038" customWidth="1"/>
    <col min="11022" max="11022" width="12.25" style="3038" customWidth="1"/>
    <col min="11023" max="11023" width="10.375" style="3038" customWidth="1"/>
    <col min="11024" max="11024" width="8.5" style="3038" customWidth="1"/>
    <col min="11025" max="11025" width="12" style="3038" customWidth="1"/>
    <col min="11026" max="11026" width="10.875" style="3038" bestFit="1" customWidth="1"/>
    <col min="11027" max="11027" width="10.5" style="3038" bestFit="1" customWidth="1"/>
    <col min="11028" max="11028" width="10.875" style="3038" bestFit="1" customWidth="1"/>
    <col min="11029" max="11030" width="11" style="3038" customWidth="1"/>
    <col min="11031" max="11031" width="9.375" style="3038" customWidth="1"/>
    <col min="11032" max="11032" width="7.125" style="3038" customWidth="1"/>
    <col min="11033" max="11034" width="11.75" style="3038" customWidth="1"/>
    <col min="11035" max="11035" width="13" style="3038" customWidth="1"/>
    <col min="11036" max="11036" width="10.75" style="3038" customWidth="1"/>
    <col min="11037" max="11038" width="7.375" style="3038" customWidth="1"/>
    <col min="11039" max="11039" width="10.25" style="3038" customWidth="1"/>
    <col min="11040" max="11049" width="8.625" style="3038" customWidth="1"/>
    <col min="11050" max="11051" width="14.125" style="3038" bestFit="1" customWidth="1"/>
    <col min="11052" max="11053" width="10.25" style="3038" customWidth="1"/>
    <col min="11054" max="11054" width="10.125" style="3038" customWidth="1"/>
    <col min="11055" max="11055" width="8.875" style="3038" customWidth="1"/>
    <col min="11056" max="11056" width="9.375" style="3038" customWidth="1"/>
    <col min="11057" max="11057" width="13.25" style="3038" customWidth="1"/>
    <col min="11058" max="11058" width="13" style="3038" customWidth="1"/>
    <col min="11059" max="11059" width="10.875" style="3038" customWidth="1"/>
    <col min="11060" max="11060" width="9.375" style="3038" customWidth="1"/>
    <col min="11061" max="11061" width="10.875" style="3038" customWidth="1"/>
    <col min="11062" max="11062" width="10.5" style="3038" customWidth="1"/>
    <col min="11063" max="11063" width="8.125" style="3038" customWidth="1"/>
    <col min="11064" max="11064" width="8.625" style="3038" customWidth="1"/>
    <col min="11065" max="11065" width="10.75" style="3038" customWidth="1"/>
    <col min="11066" max="11066" width="9.625" style="3038" customWidth="1"/>
    <col min="11067" max="11067" width="9.5" style="3038" customWidth="1"/>
    <col min="11068" max="11068" width="11" style="3038" customWidth="1"/>
    <col min="11069" max="11069" width="9.25" style="3038" customWidth="1"/>
    <col min="11070" max="11071" width="11" style="3038" customWidth="1"/>
    <col min="11072" max="11072" width="9.625" style="3038" customWidth="1"/>
    <col min="11073" max="11075" width="10.75" style="3038" bestFit="1" customWidth="1"/>
    <col min="11076" max="11076" width="10.25" style="3038" bestFit="1" customWidth="1"/>
    <col min="11077" max="11077" width="10.75" style="3038" bestFit="1" customWidth="1"/>
    <col min="11078" max="11078" width="10.25" style="3038" bestFit="1" customWidth="1"/>
    <col min="11079" max="11079" width="10.75" style="3038" bestFit="1" customWidth="1"/>
    <col min="11080" max="11080" width="10.25" style="3038" bestFit="1" customWidth="1"/>
    <col min="11081" max="11081" width="10.75" style="3038" bestFit="1" customWidth="1"/>
    <col min="11082" max="11082" width="10.25" style="3038" bestFit="1" customWidth="1"/>
    <col min="11083" max="11083" width="10.75" style="3038" bestFit="1" customWidth="1"/>
    <col min="11084" max="11084" width="10.25" style="3038" bestFit="1" customWidth="1"/>
    <col min="11085" max="11085" width="10.375" style="3038" customWidth="1"/>
    <col min="11086" max="11086" width="10.25" style="3038" customWidth="1"/>
    <col min="11087" max="11087" width="10.375" style="3038" customWidth="1"/>
    <col min="11088" max="11089" width="10.5" style="3038" customWidth="1"/>
    <col min="11090" max="11090" width="11.125" style="3038" customWidth="1"/>
    <col min="11091" max="11091" width="9.875" style="3038" customWidth="1"/>
    <col min="11092" max="11092" width="10.25" style="3038" customWidth="1"/>
    <col min="11093" max="11093" width="9.875" style="3038" customWidth="1"/>
    <col min="11094" max="11094" width="10" style="3038" customWidth="1"/>
    <col min="11095" max="11095" width="9.75" style="3038" customWidth="1"/>
    <col min="11096" max="11120" width="9.625" style="3038" customWidth="1"/>
    <col min="11121" max="11121" width="13.625" style="3038" bestFit="1" customWidth="1"/>
    <col min="11122" max="11122" width="12.375" style="3038" bestFit="1" customWidth="1"/>
    <col min="11123" max="11123" width="9.875" style="3038" bestFit="1" customWidth="1"/>
    <col min="11124" max="11124" width="10.375" style="3038" customWidth="1"/>
    <col min="11125" max="11125" width="9.25" style="3038" customWidth="1"/>
    <col min="11126" max="11126" width="12.625" style="3038" customWidth="1"/>
    <col min="11127" max="11127" width="9.875" style="3038" bestFit="1" customWidth="1"/>
    <col min="11128" max="11128" width="9.125" style="3038" bestFit="1" customWidth="1"/>
    <col min="11129" max="11130" width="9.875" style="3038" bestFit="1" customWidth="1"/>
    <col min="11131" max="11131" width="9.125" style="3038" bestFit="1" customWidth="1"/>
    <col min="11132" max="11133" width="9.875" style="3038" bestFit="1" customWidth="1"/>
    <col min="11134" max="11134" width="11.125" style="3038" bestFit="1" customWidth="1"/>
    <col min="11135" max="11136" width="9.875" style="3038" bestFit="1" customWidth="1"/>
    <col min="11137" max="11137" width="11.125" style="3038" bestFit="1" customWidth="1"/>
    <col min="11138" max="11139" width="9.875" style="3038" bestFit="1" customWidth="1"/>
    <col min="11140" max="11140" width="11.125" style="3038" bestFit="1" customWidth="1"/>
    <col min="11141" max="11141" width="9.125" style="3038" bestFit="1" customWidth="1"/>
    <col min="11142" max="11142" width="9.875" style="3038" bestFit="1" customWidth="1"/>
    <col min="11143" max="11143" width="11.125" style="3038" bestFit="1" customWidth="1"/>
    <col min="11144" max="11144" width="9.125" style="3038" bestFit="1" customWidth="1"/>
    <col min="11145" max="11145" width="9.875" style="3038" bestFit="1" customWidth="1"/>
    <col min="11146" max="11146" width="11.125" style="3038" bestFit="1" customWidth="1"/>
    <col min="11147" max="11147" width="9.125" style="3038" bestFit="1" customWidth="1"/>
    <col min="11148" max="11148" width="9.875" style="3038" bestFit="1" customWidth="1"/>
    <col min="11149" max="11149" width="11.125" style="3038" bestFit="1" customWidth="1"/>
    <col min="11150" max="11150" width="9.125" style="3038" bestFit="1" customWidth="1"/>
    <col min="11151" max="11151" width="9.875" style="3038" bestFit="1" customWidth="1"/>
    <col min="11152" max="11152" width="11.125" style="3038" bestFit="1" customWidth="1"/>
    <col min="11153" max="11153" width="9.125" style="3038" bestFit="1" customWidth="1"/>
    <col min="11154" max="11154" width="9.875" style="3038" bestFit="1" customWidth="1"/>
    <col min="11155" max="11155" width="11.125" style="3038" bestFit="1" customWidth="1"/>
    <col min="11156" max="11156" width="9.125" style="3038" bestFit="1" customWidth="1"/>
    <col min="11157" max="11157" width="9.875" style="3038" bestFit="1" customWidth="1"/>
    <col min="11158" max="11158" width="11.125" style="3038" bestFit="1" customWidth="1"/>
    <col min="11159" max="11159" width="9.125" style="3038" bestFit="1" customWidth="1"/>
    <col min="11160" max="11160" width="9.875" style="3038" bestFit="1" customWidth="1"/>
    <col min="11161" max="11161" width="11.125" style="3038" bestFit="1" customWidth="1"/>
    <col min="11162" max="11162" width="9.125" style="3038" bestFit="1" customWidth="1"/>
    <col min="11163" max="11163" width="9.875" style="3038" bestFit="1" customWidth="1"/>
    <col min="11164" max="11164" width="11.125" style="3038" bestFit="1" customWidth="1"/>
    <col min="11165" max="11165" width="7.875" style="3038" customWidth="1"/>
    <col min="11166" max="11167" width="9.875" style="3038" bestFit="1" customWidth="1"/>
    <col min="11168" max="11168" width="7.875" style="3038"/>
    <col min="11169" max="11170" width="9.875" style="3038" bestFit="1" customWidth="1"/>
    <col min="11171" max="11171" width="7.875" style="3038"/>
    <col min="11172" max="11173" width="9.875" style="3038" bestFit="1" customWidth="1"/>
    <col min="11174" max="11174" width="7.875" style="3038"/>
    <col min="11175" max="11176" width="9.875" style="3038" bestFit="1" customWidth="1"/>
    <col min="11177" max="11177" width="7.875" style="3038"/>
    <col min="11178" max="11178" width="9.875" style="3038" bestFit="1" customWidth="1"/>
    <col min="11179" max="11179" width="8.875" style="3038" bestFit="1" customWidth="1"/>
    <col min="11180" max="11180" width="7.875" style="3038"/>
    <col min="11181" max="11181" width="9.875" style="3038" bestFit="1" customWidth="1"/>
    <col min="11182" max="11182" width="8.875" style="3038" bestFit="1" customWidth="1"/>
    <col min="11183" max="11183" width="7.875" style="3038"/>
    <col min="11184" max="11184" width="9.875" style="3038" bestFit="1" customWidth="1"/>
    <col min="11185" max="11185" width="8.875" style="3038" bestFit="1" customWidth="1"/>
    <col min="11186" max="11186" width="7.875" style="3038"/>
    <col min="11187" max="11187" width="9.875" style="3038" bestFit="1" customWidth="1"/>
    <col min="11188" max="11188" width="8.875" style="3038" bestFit="1" customWidth="1"/>
    <col min="11189" max="11189" width="7.875" style="3038"/>
    <col min="11190" max="11190" width="9.875" style="3038" bestFit="1" customWidth="1"/>
    <col min="11191" max="11191" width="8.875" style="3038" bestFit="1" customWidth="1"/>
    <col min="11192" max="11192" width="7.875" style="3038"/>
    <col min="11193" max="11193" width="9.875" style="3038" bestFit="1" customWidth="1"/>
    <col min="11194" max="11194" width="11.125" style="3038" bestFit="1" customWidth="1"/>
    <col min="11195" max="11195" width="9.125" style="3038" bestFit="1" customWidth="1"/>
    <col min="11196" max="11196" width="9.875" style="3038" bestFit="1" customWidth="1"/>
    <col min="11197" max="11197" width="11.125" style="3038" bestFit="1" customWidth="1"/>
    <col min="11198" max="11198" width="7.875" style="3038"/>
    <col min="11199" max="11199" width="9.25" style="3038" customWidth="1"/>
    <col min="11200" max="11264" width="7.875" style="3038"/>
    <col min="11265" max="11265" width="3.875" style="3038" customWidth="1"/>
    <col min="11266" max="11266" width="10.375" style="3038" customWidth="1"/>
    <col min="11267" max="11267" width="11.375" style="3038" bestFit="1" customWidth="1"/>
    <col min="11268" max="11268" width="10.5" style="3038" customWidth="1"/>
    <col min="11269" max="11269" width="11.625" style="3038" customWidth="1"/>
    <col min="11270" max="11270" width="9.875" style="3038" customWidth="1"/>
    <col min="11271" max="11271" width="11.875" style="3038" customWidth="1"/>
    <col min="11272" max="11272" width="12.75" style="3038" customWidth="1"/>
    <col min="11273" max="11273" width="11" style="3038" customWidth="1"/>
    <col min="11274" max="11274" width="12.75" style="3038" customWidth="1"/>
    <col min="11275" max="11275" width="14" style="3038" customWidth="1"/>
    <col min="11276" max="11276" width="9.375" style="3038" customWidth="1"/>
    <col min="11277" max="11277" width="10.875" style="3038" customWidth="1"/>
    <col min="11278" max="11278" width="12.25" style="3038" customWidth="1"/>
    <col min="11279" max="11279" width="10.375" style="3038" customWidth="1"/>
    <col min="11280" max="11280" width="8.5" style="3038" customWidth="1"/>
    <col min="11281" max="11281" width="12" style="3038" customWidth="1"/>
    <col min="11282" max="11282" width="10.875" style="3038" bestFit="1" customWidth="1"/>
    <col min="11283" max="11283" width="10.5" style="3038" bestFit="1" customWidth="1"/>
    <col min="11284" max="11284" width="10.875" style="3038" bestFit="1" customWidth="1"/>
    <col min="11285" max="11286" width="11" style="3038" customWidth="1"/>
    <col min="11287" max="11287" width="9.375" style="3038" customWidth="1"/>
    <col min="11288" max="11288" width="7.125" style="3038" customWidth="1"/>
    <col min="11289" max="11290" width="11.75" style="3038" customWidth="1"/>
    <col min="11291" max="11291" width="13" style="3038" customWidth="1"/>
    <col min="11292" max="11292" width="10.75" style="3038" customWidth="1"/>
    <col min="11293" max="11294" width="7.375" style="3038" customWidth="1"/>
    <col min="11295" max="11295" width="10.25" style="3038" customWidth="1"/>
    <col min="11296" max="11305" width="8.625" style="3038" customWidth="1"/>
    <col min="11306" max="11307" width="14.125" style="3038" bestFit="1" customWidth="1"/>
    <col min="11308" max="11309" width="10.25" style="3038" customWidth="1"/>
    <col min="11310" max="11310" width="10.125" style="3038" customWidth="1"/>
    <col min="11311" max="11311" width="8.875" style="3038" customWidth="1"/>
    <col min="11312" max="11312" width="9.375" style="3038" customWidth="1"/>
    <col min="11313" max="11313" width="13.25" style="3038" customWidth="1"/>
    <col min="11314" max="11314" width="13" style="3038" customWidth="1"/>
    <col min="11315" max="11315" width="10.875" style="3038" customWidth="1"/>
    <col min="11316" max="11316" width="9.375" style="3038" customWidth="1"/>
    <col min="11317" max="11317" width="10.875" style="3038" customWidth="1"/>
    <col min="11318" max="11318" width="10.5" style="3038" customWidth="1"/>
    <col min="11319" max="11319" width="8.125" style="3038" customWidth="1"/>
    <col min="11320" max="11320" width="8.625" style="3038" customWidth="1"/>
    <col min="11321" max="11321" width="10.75" style="3038" customWidth="1"/>
    <col min="11322" max="11322" width="9.625" style="3038" customWidth="1"/>
    <col min="11323" max="11323" width="9.5" style="3038" customWidth="1"/>
    <col min="11324" max="11324" width="11" style="3038" customWidth="1"/>
    <col min="11325" max="11325" width="9.25" style="3038" customWidth="1"/>
    <col min="11326" max="11327" width="11" style="3038" customWidth="1"/>
    <col min="11328" max="11328" width="9.625" style="3038" customWidth="1"/>
    <col min="11329" max="11331" width="10.75" style="3038" bestFit="1" customWidth="1"/>
    <col min="11332" max="11332" width="10.25" style="3038" bestFit="1" customWidth="1"/>
    <col min="11333" max="11333" width="10.75" style="3038" bestFit="1" customWidth="1"/>
    <col min="11334" max="11334" width="10.25" style="3038" bestFit="1" customWidth="1"/>
    <col min="11335" max="11335" width="10.75" style="3038" bestFit="1" customWidth="1"/>
    <col min="11336" max="11336" width="10.25" style="3038" bestFit="1" customWidth="1"/>
    <col min="11337" max="11337" width="10.75" style="3038" bestFit="1" customWidth="1"/>
    <col min="11338" max="11338" width="10.25" style="3038" bestFit="1" customWidth="1"/>
    <col min="11339" max="11339" width="10.75" style="3038" bestFit="1" customWidth="1"/>
    <col min="11340" max="11340" width="10.25" style="3038" bestFit="1" customWidth="1"/>
    <col min="11341" max="11341" width="10.375" style="3038" customWidth="1"/>
    <col min="11342" max="11342" width="10.25" style="3038" customWidth="1"/>
    <col min="11343" max="11343" width="10.375" style="3038" customWidth="1"/>
    <col min="11344" max="11345" width="10.5" style="3038" customWidth="1"/>
    <col min="11346" max="11346" width="11.125" style="3038" customWidth="1"/>
    <col min="11347" max="11347" width="9.875" style="3038" customWidth="1"/>
    <col min="11348" max="11348" width="10.25" style="3038" customWidth="1"/>
    <col min="11349" max="11349" width="9.875" style="3038" customWidth="1"/>
    <col min="11350" max="11350" width="10" style="3038" customWidth="1"/>
    <col min="11351" max="11351" width="9.75" style="3038" customWidth="1"/>
    <col min="11352" max="11376" width="9.625" style="3038" customWidth="1"/>
    <col min="11377" max="11377" width="13.625" style="3038" bestFit="1" customWidth="1"/>
    <col min="11378" max="11378" width="12.375" style="3038" bestFit="1" customWidth="1"/>
    <col min="11379" max="11379" width="9.875" style="3038" bestFit="1" customWidth="1"/>
    <col min="11380" max="11380" width="10.375" style="3038" customWidth="1"/>
    <col min="11381" max="11381" width="9.25" style="3038" customWidth="1"/>
    <col min="11382" max="11382" width="12.625" style="3038" customWidth="1"/>
    <col min="11383" max="11383" width="9.875" style="3038" bestFit="1" customWidth="1"/>
    <col min="11384" max="11384" width="9.125" style="3038" bestFit="1" customWidth="1"/>
    <col min="11385" max="11386" width="9.875" style="3038" bestFit="1" customWidth="1"/>
    <col min="11387" max="11387" width="9.125" style="3038" bestFit="1" customWidth="1"/>
    <col min="11388" max="11389" width="9.875" style="3038" bestFit="1" customWidth="1"/>
    <col min="11390" max="11390" width="11.125" style="3038" bestFit="1" customWidth="1"/>
    <col min="11391" max="11392" width="9.875" style="3038" bestFit="1" customWidth="1"/>
    <col min="11393" max="11393" width="11.125" style="3038" bestFit="1" customWidth="1"/>
    <col min="11394" max="11395" width="9.875" style="3038" bestFit="1" customWidth="1"/>
    <col min="11396" max="11396" width="11.125" style="3038" bestFit="1" customWidth="1"/>
    <col min="11397" max="11397" width="9.125" style="3038" bestFit="1" customWidth="1"/>
    <col min="11398" max="11398" width="9.875" style="3038" bestFit="1" customWidth="1"/>
    <col min="11399" max="11399" width="11.125" style="3038" bestFit="1" customWidth="1"/>
    <col min="11400" max="11400" width="9.125" style="3038" bestFit="1" customWidth="1"/>
    <col min="11401" max="11401" width="9.875" style="3038" bestFit="1" customWidth="1"/>
    <col min="11402" max="11402" width="11.125" style="3038" bestFit="1" customWidth="1"/>
    <col min="11403" max="11403" width="9.125" style="3038" bestFit="1" customWidth="1"/>
    <col min="11404" max="11404" width="9.875" style="3038" bestFit="1" customWidth="1"/>
    <col min="11405" max="11405" width="11.125" style="3038" bestFit="1" customWidth="1"/>
    <col min="11406" max="11406" width="9.125" style="3038" bestFit="1" customWidth="1"/>
    <col min="11407" max="11407" width="9.875" style="3038" bestFit="1" customWidth="1"/>
    <col min="11408" max="11408" width="11.125" style="3038" bestFit="1" customWidth="1"/>
    <col min="11409" max="11409" width="9.125" style="3038" bestFit="1" customWidth="1"/>
    <col min="11410" max="11410" width="9.875" style="3038" bestFit="1" customWidth="1"/>
    <col min="11411" max="11411" width="11.125" style="3038" bestFit="1" customWidth="1"/>
    <col min="11412" max="11412" width="9.125" style="3038" bestFit="1" customWidth="1"/>
    <col min="11413" max="11413" width="9.875" style="3038" bestFit="1" customWidth="1"/>
    <col min="11414" max="11414" width="11.125" style="3038" bestFit="1" customWidth="1"/>
    <col min="11415" max="11415" width="9.125" style="3038" bestFit="1" customWidth="1"/>
    <col min="11416" max="11416" width="9.875" style="3038" bestFit="1" customWidth="1"/>
    <col min="11417" max="11417" width="11.125" style="3038" bestFit="1" customWidth="1"/>
    <col min="11418" max="11418" width="9.125" style="3038" bestFit="1" customWidth="1"/>
    <col min="11419" max="11419" width="9.875" style="3038" bestFit="1" customWidth="1"/>
    <col min="11420" max="11420" width="11.125" style="3038" bestFit="1" customWidth="1"/>
    <col min="11421" max="11421" width="7.875" style="3038" customWidth="1"/>
    <col min="11422" max="11423" width="9.875" style="3038" bestFit="1" customWidth="1"/>
    <col min="11424" max="11424" width="7.875" style="3038"/>
    <col min="11425" max="11426" width="9.875" style="3038" bestFit="1" customWidth="1"/>
    <col min="11427" max="11427" width="7.875" style="3038"/>
    <col min="11428" max="11429" width="9.875" style="3038" bestFit="1" customWidth="1"/>
    <col min="11430" max="11430" width="7.875" style="3038"/>
    <col min="11431" max="11432" width="9.875" style="3038" bestFit="1" customWidth="1"/>
    <col min="11433" max="11433" width="7.875" style="3038"/>
    <col min="11434" max="11434" width="9.875" style="3038" bestFit="1" customWidth="1"/>
    <col min="11435" max="11435" width="8.875" style="3038" bestFit="1" customWidth="1"/>
    <col min="11436" max="11436" width="7.875" style="3038"/>
    <col min="11437" max="11437" width="9.875" style="3038" bestFit="1" customWidth="1"/>
    <col min="11438" max="11438" width="8.875" style="3038" bestFit="1" customWidth="1"/>
    <col min="11439" max="11439" width="7.875" style="3038"/>
    <col min="11440" max="11440" width="9.875" style="3038" bestFit="1" customWidth="1"/>
    <col min="11441" max="11441" width="8.875" style="3038" bestFit="1" customWidth="1"/>
    <col min="11442" max="11442" width="7.875" style="3038"/>
    <col min="11443" max="11443" width="9.875" style="3038" bestFit="1" customWidth="1"/>
    <col min="11444" max="11444" width="8.875" style="3038" bestFit="1" customWidth="1"/>
    <col min="11445" max="11445" width="7.875" style="3038"/>
    <col min="11446" max="11446" width="9.875" style="3038" bestFit="1" customWidth="1"/>
    <col min="11447" max="11447" width="8.875" style="3038" bestFit="1" customWidth="1"/>
    <col min="11448" max="11448" width="7.875" style="3038"/>
    <col min="11449" max="11449" width="9.875" style="3038" bestFit="1" customWidth="1"/>
    <col min="11450" max="11450" width="11.125" style="3038" bestFit="1" customWidth="1"/>
    <col min="11451" max="11451" width="9.125" style="3038" bestFit="1" customWidth="1"/>
    <col min="11452" max="11452" width="9.875" style="3038" bestFit="1" customWidth="1"/>
    <col min="11453" max="11453" width="11.125" style="3038" bestFit="1" customWidth="1"/>
    <col min="11454" max="11454" width="7.875" style="3038"/>
    <col min="11455" max="11455" width="9.25" style="3038" customWidth="1"/>
    <col min="11456" max="11520" width="7.875" style="3038"/>
    <col min="11521" max="11521" width="3.875" style="3038" customWidth="1"/>
    <col min="11522" max="11522" width="10.375" style="3038" customWidth="1"/>
    <col min="11523" max="11523" width="11.375" style="3038" bestFit="1" customWidth="1"/>
    <col min="11524" max="11524" width="10.5" style="3038" customWidth="1"/>
    <col min="11525" max="11525" width="11.625" style="3038" customWidth="1"/>
    <col min="11526" max="11526" width="9.875" style="3038" customWidth="1"/>
    <col min="11527" max="11527" width="11.875" style="3038" customWidth="1"/>
    <col min="11528" max="11528" width="12.75" style="3038" customWidth="1"/>
    <col min="11529" max="11529" width="11" style="3038" customWidth="1"/>
    <col min="11530" max="11530" width="12.75" style="3038" customWidth="1"/>
    <col min="11531" max="11531" width="14" style="3038" customWidth="1"/>
    <col min="11532" max="11532" width="9.375" style="3038" customWidth="1"/>
    <col min="11533" max="11533" width="10.875" style="3038" customWidth="1"/>
    <col min="11534" max="11534" width="12.25" style="3038" customWidth="1"/>
    <col min="11535" max="11535" width="10.375" style="3038" customWidth="1"/>
    <col min="11536" max="11536" width="8.5" style="3038" customWidth="1"/>
    <col min="11537" max="11537" width="12" style="3038" customWidth="1"/>
    <col min="11538" max="11538" width="10.875" style="3038" bestFit="1" customWidth="1"/>
    <col min="11539" max="11539" width="10.5" style="3038" bestFit="1" customWidth="1"/>
    <col min="11540" max="11540" width="10.875" style="3038" bestFit="1" customWidth="1"/>
    <col min="11541" max="11542" width="11" style="3038" customWidth="1"/>
    <col min="11543" max="11543" width="9.375" style="3038" customWidth="1"/>
    <col min="11544" max="11544" width="7.125" style="3038" customWidth="1"/>
    <col min="11545" max="11546" width="11.75" style="3038" customWidth="1"/>
    <col min="11547" max="11547" width="13" style="3038" customWidth="1"/>
    <col min="11548" max="11548" width="10.75" style="3038" customWidth="1"/>
    <col min="11549" max="11550" width="7.375" style="3038" customWidth="1"/>
    <col min="11551" max="11551" width="10.25" style="3038" customWidth="1"/>
    <col min="11552" max="11561" width="8.625" style="3038" customWidth="1"/>
    <col min="11562" max="11563" width="14.125" style="3038" bestFit="1" customWidth="1"/>
    <col min="11564" max="11565" width="10.25" style="3038" customWidth="1"/>
    <col min="11566" max="11566" width="10.125" style="3038" customWidth="1"/>
    <col min="11567" max="11567" width="8.875" style="3038" customWidth="1"/>
    <col min="11568" max="11568" width="9.375" style="3038" customWidth="1"/>
    <col min="11569" max="11569" width="13.25" style="3038" customWidth="1"/>
    <col min="11570" max="11570" width="13" style="3038" customWidth="1"/>
    <col min="11571" max="11571" width="10.875" style="3038" customWidth="1"/>
    <col min="11572" max="11572" width="9.375" style="3038" customWidth="1"/>
    <col min="11573" max="11573" width="10.875" style="3038" customWidth="1"/>
    <col min="11574" max="11574" width="10.5" style="3038" customWidth="1"/>
    <col min="11575" max="11575" width="8.125" style="3038" customWidth="1"/>
    <col min="11576" max="11576" width="8.625" style="3038" customWidth="1"/>
    <col min="11577" max="11577" width="10.75" style="3038" customWidth="1"/>
    <col min="11578" max="11578" width="9.625" style="3038" customWidth="1"/>
    <col min="11579" max="11579" width="9.5" style="3038" customWidth="1"/>
    <col min="11580" max="11580" width="11" style="3038" customWidth="1"/>
    <col min="11581" max="11581" width="9.25" style="3038" customWidth="1"/>
    <col min="11582" max="11583" width="11" style="3038" customWidth="1"/>
    <col min="11584" max="11584" width="9.625" style="3038" customWidth="1"/>
    <col min="11585" max="11587" width="10.75" style="3038" bestFit="1" customWidth="1"/>
    <col min="11588" max="11588" width="10.25" style="3038" bestFit="1" customWidth="1"/>
    <col min="11589" max="11589" width="10.75" style="3038" bestFit="1" customWidth="1"/>
    <col min="11590" max="11590" width="10.25" style="3038" bestFit="1" customWidth="1"/>
    <col min="11591" max="11591" width="10.75" style="3038" bestFit="1" customWidth="1"/>
    <col min="11592" max="11592" width="10.25" style="3038" bestFit="1" customWidth="1"/>
    <col min="11593" max="11593" width="10.75" style="3038" bestFit="1" customWidth="1"/>
    <col min="11594" max="11594" width="10.25" style="3038" bestFit="1" customWidth="1"/>
    <col min="11595" max="11595" width="10.75" style="3038" bestFit="1" customWidth="1"/>
    <col min="11596" max="11596" width="10.25" style="3038" bestFit="1" customWidth="1"/>
    <col min="11597" max="11597" width="10.375" style="3038" customWidth="1"/>
    <col min="11598" max="11598" width="10.25" style="3038" customWidth="1"/>
    <col min="11599" max="11599" width="10.375" style="3038" customWidth="1"/>
    <col min="11600" max="11601" width="10.5" style="3038" customWidth="1"/>
    <col min="11602" max="11602" width="11.125" style="3038" customWidth="1"/>
    <col min="11603" max="11603" width="9.875" style="3038" customWidth="1"/>
    <col min="11604" max="11604" width="10.25" style="3038" customWidth="1"/>
    <col min="11605" max="11605" width="9.875" style="3038" customWidth="1"/>
    <col min="11606" max="11606" width="10" style="3038" customWidth="1"/>
    <col min="11607" max="11607" width="9.75" style="3038" customWidth="1"/>
    <col min="11608" max="11632" width="9.625" style="3038" customWidth="1"/>
    <col min="11633" max="11633" width="13.625" style="3038" bestFit="1" customWidth="1"/>
    <col min="11634" max="11634" width="12.375" style="3038" bestFit="1" customWidth="1"/>
    <col min="11635" max="11635" width="9.875" style="3038" bestFit="1" customWidth="1"/>
    <col min="11636" max="11636" width="10.375" style="3038" customWidth="1"/>
    <col min="11637" max="11637" width="9.25" style="3038" customWidth="1"/>
    <col min="11638" max="11638" width="12.625" style="3038" customWidth="1"/>
    <col min="11639" max="11639" width="9.875" style="3038" bestFit="1" customWidth="1"/>
    <col min="11640" max="11640" width="9.125" style="3038" bestFit="1" customWidth="1"/>
    <col min="11641" max="11642" width="9.875" style="3038" bestFit="1" customWidth="1"/>
    <col min="11643" max="11643" width="9.125" style="3038" bestFit="1" customWidth="1"/>
    <col min="11644" max="11645" width="9.875" style="3038" bestFit="1" customWidth="1"/>
    <col min="11646" max="11646" width="11.125" style="3038" bestFit="1" customWidth="1"/>
    <col min="11647" max="11648" width="9.875" style="3038" bestFit="1" customWidth="1"/>
    <col min="11649" max="11649" width="11.125" style="3038" bestFit="1" customWidth="1"/>
    <col min="11650" max="11651" width="9.875" style="3038" bestFit="1" customWidth="1"/>
    <col min="11652" max="11652" width="11.125" style="3038" bestFit="1" customWidth="1"/>
    <col min="11653" max="11653" width="9.125" style="3038" bestFit="1" customWidth="1"/>
    <col min="11654" max="11654" width="9.875" style="3038" bestFit="1" customWidth="1"/>
    <col min="11655" max="11655" width="11.125" style="3038" bestFit="1" customWidth="1"/>
    <col min="11656" max="11656" width="9.125" style="3038" bestFit="1" customWidth="1"/>
    <col min="11657" max="11657" width="9.875" style="3038" bestFit="1" customWidth="1"/>
    <col min="11658" max="11658" width="11.125" style="3038" bestFit="1" customWidth="1"/>
    <col min="11659" max="11659" width="9.125" style="3038" bestFit="1" customWidth="1"/>
    <col min="11660" max="11660" width="9.875" style="3038" bestFit="1" customWidth="1"/>
    <col min="11661" max="11661" width="11.125" style="3038" bestFit="1" customWidth="1"/>
    <col min="11662" max="11662" width="9.125" style="3038" bestFit="1" customWidth="1"/>
    <col min="11663" max="11663" width="9.875" style="3038" bestFit="1" customWidth="1"/>
    <col min="11664" max="11664" width="11.125" style="3038" bestFit="1" customWidth="1"/>
    <col min="11665" max="11665" width="9.125" style="3038" bestFit="1" customWidth="1"/>
    <col min="11666" max="11666" width="9.875" style="3038" bestFit="1" customWidth="1"/>
    <col min="11667" max="11667" width="11.125" style="3038" bestFit="1" customWidth="1"/>
    <col min="11668" max="11668" width="9.125" style="3038" bestFit="1" customWidth="1"/>
    <col min="11669" max="11669" width="9.875" style="3038" bestFit="1" customWidth="1"/>
    <col min="11670" max="11670" width="11.125" style="3038" bestFit="1" customWidth="1"/>
    <col min="11671" max="11671" width="9.125" style="3038" bestFit="1" customWidth="1"/>
    <col min="11672" max="11672" width="9.875" style="3038" bestFit="1" customWidth="1"/>
    <col min="11673" max="11673" width="11.125" style="3038" bestFit="1" customWidth="1"/>
    <col min="11674" max="11674" width="9.125" style="3038" bestFit="1" customWidth="1"/>
    <col min="11675" max="11675" width="9.875" style="3038" bestFit="1" customWidth="1"/>
    <col min="11676" max="11676" width="11.125" style="3038" bestFit="1" customWidth="1"/>
    <col min="11677" max="11677" width="7.875" style="3038" customWidth="1"/>
    <col min="11678" max="11679" width="9.875" style="3038" bestFit="1" customWidth="1"/>
    <col min="11680" max="11680" width="7.875" style="3038"/>
    <col min="11681" max="11682" width="9.875" style="3038" bestFit="1" customWidth="1"/>
    <col min="11683" max="11683" width="7.875" style="3038"/>
    <col min="11684" max="11685" width="9.875" style="3038" bestFit="1" customWidth="1"/>
    <col min="11686" max="11686" width="7.875" style="3038"/>
    <col min="11687" max="11688" width="9.875" style="3038" bestFit="1" customWidth="1"/>
    <col min="11689" max="11689" width="7.875" style="3038"/>
    <col min="11690" max="11690" width="9.875" style="3038" bestFit="1" customWidth="1"/>
    <col min="11691" max="11691" width="8.875" style="3038" bestFit="1" customWidth="1"/>
    <col min="11692" max="11692" width="7.875" style="3038"/>
    <col min="11693" max="11693" width="9.875" style="3038" bestFit="1" customWidth="1"/>
    <col min="11694" max="11694" width="8.875" style="3038" bestFit="1" customWidth="1"/>
    <col min="11695" max="11695" width="7.875" style="3038"/>
    <col min="11696" max="11696" width="9.875" style="3038" bestFit="1" customWidth="1"/>
    <col min="11697" max="11697" width="8.875" style="3038" bestFit="1" customWidth="1"/>
    <col min="11698" max="11698" width="7.875" style="3038"/>
    <col min="11699" max="11699" width="9.875" style="3038" bestFit="1" customWidth="1"/>
    <col min="11700" max="11700" width="8.875" style="3038" bestFit="1" customWidth="1"/>
    <col min="11701" max="11701" width="7.875" style="3038"/>
    <col min="11702" max="11702" width="9.875" style="3038" bestFit="1" customWidth="1"/>
    <col min="11703" max="11703" width="8.875" style="3038" bestFit="1" customWidth="1"/>
    <col min="11704" max="11704" width="7.875" style="3038"/>
    <col min="11705" max="11705" width="9.875" style="3038" bestFit="1" customWidth="1"/>
    <col min="11706" max="11706" width="11.125" style="3038" bestFit="1" customWidth="1"/>
    <col min="11707" max="11707" width="9.125" style="3038" bestFit="1" customWidth="1"/>
    <col min="11708" max="11708" width="9.875" style="3038" bestFit="1" customWidth="1"/>
    <col min="11709" max="11709" width="11.125" style="3038" bestFit="1" customWidth="1"/>
    <col min="11710" max="11710" width="7.875" style="3038"/>
    <col min="11711" max="11711" width="9.25" style="3038" customWidth="1"/>
    <col min="11712" max="11776" width="7.875" style="3038"/>
    <col min="11777" max="11777" width="3.875" style="3038" customWidth="1"/>
    <col min="11778" max="11778" width="10.375" style="3038" customWidth="1"/>
    <col min="11779" max="11779" width="11.375" style="3038" bestFit="1" customWidth="1"/>
    <col min="11780" max="11780" width="10.5" style="3038" customWidth="1"/>
    <col min="11781" max="11781" width="11.625" style="3038" customWidth="1"/>
    <col min="11782" max="11782" width="9.875" style="3038" customWidth="1"/>
    <col min="11783" max="11783" width="11.875" style="3038" customWidth="1"/>
    <col min="11784" max="11784" width="12.75" style="3038" customWidth="1"/>
    <col min="11785" max="11785" width="11" style="3038" customWidth="1"/>
    <col min="11786" max="11786" width="12.75" style="3038" customWidth="1"/>
    <col min="11787" max="11787" width="14" style="3038" customWidth="1"/>
    <col min="11788" max="11788" width="9.375" style="3038" customWidth="1"/>
    <col min="11789" max="11789" width="10.875" style="3038" customWidth="1"/>
    <col min="11790" max="11790" width="12.25" style="3038" customWidth="1"/>
    <col min="11791" max="11791" width="10.375" style="3038" customWidth="1"/>
    <col min="11792" max="11792" width="8.5" style="3038" customWidth="1"/>
    <col min="11793" max="11793" width="12" style="3038" customWidth="1"/>
    <col min="11794" max="11794" width="10.875" style="3038" bestFit="1" customWidth="1"/>
    <col min="11795" max="11795" width="10.5" style="3038" bestFit="1" customWidth="1"/>
    <col min="11796" max="11796" width="10.875" style="3038" bestFit="1" customWidth="1"/>
    <col min="11797" max="11798" width="11" style="3038" customWidth="1"/>
    <col min="11799" max="11799" width="9.375" style="3038" customWidth="1"/>
    <col min="11800" max="11800" width="7.125" style="3038" customWidth="1"/>
    <col min="11801" max="11802" width="11.75" style="3038" customWidth="1"/>
    <col min="11803" max="11803" width="13" style="3038" customWidth="1"/>
    <col min="11804" max="11804" width="10.75" style="3038" customWidth="1"/>
    <col min="11805" max="11806" width="7.375" style="3038" customWidth="1"/>
    <col min="11807" max="11807" width="10.25" style="3038" customWidth="1"/>
    <col min="11808" max="11817" width="8.625" style="3038" customWidth="1"/>
    <col min="11818" max="11819" width="14.125" style="3038" bestFit="1" customWidth="1"/>
    <col min="11820" max="11821" width="10.25" style="3038" customWidth="1"/>
    <col min="11822" max="11822" width="10.125" style="3038" customWidth="1"/>
    <col min="11823" max="11823" width="8.875" style="3038" customWidth="1"/>
    <col min="11824" max="11824" width="9.375" style="3038" customWidth="1"/>
    <col min="11825" max="11825" width="13.25" style="3038" customWidth="1"/>
    <col min="11826" max="11826" width="13" style="3038" customWidth="1"/>
    <col min="11827" max="11827" width="10.875" style="3038" customWidth="1"/>
    <col min="11828" max="11828" width="9.375" style="3038" customWidth="1"/>
    <col min="11829" max="11829" width="10.875" style="3038" customWidth="1"/>
    <col min="11830" max="11830" width="10.5" style="3038" customWidth="1"/>
    <col min="11831" max="11831" width="8.125" style="3038" customWidth="1"/>
    <col min="11832" max="11832" width="8.625" style="3038" customWidth="1"/>
    <col min="11833" max="11833" width="10.75" style="3038" customWidth="1"/>
    <col min="11834" max="11834" width="9.625" style="3038" customWidth="1"/>
    <col min="11835" max="11835" width="9.5" style="3038" customWidth="1"/>
    <col min="11836" max="11836" width="11" style="3038" customWidth="1"/>
    <col min="11837" max="11837" width="9.25" style="3038" customWidth="1"/>
    <col min="11838" max="11839" width="11" style="3038" customWidth="1"/>
    <col min="11840" max="11840" width="9.625" style="3038" customWidth="1"/>
    <col min="11841" max="11843" width="10.75" style="3038" bestFit="1" customWidth="1"/>
    <col min="11844" max="11844" width="10.25" style="3038" bestFit="1" customWidth="1"/>
    <col min="11845" max="11845" width="10.75" style="3038" bestFit="1" customWidth="1"/>
    <col min="11846" max="11846" width="10.25" style="3038" bestFit="1" customWidth="1"/>
    <col min="11847" max="11847" width="10.75" style="3038" bestFit="1" customWidth="1"/>
    <col min="11848" max="11848" width="10.25" style="3038" bestFit="1" customWidth="1"/>
    <col min="11849" max="11849" width="10.75" style="3038" bestFit="1" customWidth="1"/>
    <col min="11850" max="11850" width="10.25" style="3038" bestFit="1" customWidth="1"/>
    <col min="11851" max="11851" width="10.75" style="3038" bestFit="1" customWidth="1"/>
    <col min="11852" max="11852" width="10.25" style="3038" bestFit="1" customWidth="1"/>
    <col min="11853" max="11853" width="10.375" style="3038" customWidth="1"/>
    <col min="11854" max="11854" width="10.25" style="3038" customWidth="1"/>
    <col min="11855" max="11855" width="10.375" style="3038" customWidth="1"/>
    <col min="11856" max="11857" width="10.5" style="3038" customWidth="1"/>
    <col min="11858" max="11858" width="11.125" style="3038" customWidth="1"/>
    <col min="11859" max="11859" width="9.875" style="3038" customWidth="1"/>
    <col min="11860" max="11860" width="10.25" style="3038" customWidth="1"/>
    <col min="11861" max="11861" width="9.875" style="3038" customWidth="1"/>
    <col min="11862" max="11862" width="10" style="3038" customWidth="1"/>
    <col min="11863" max="11863" width="9.75" style="3038" customWidth="1"/>
    <col min="11864" max="11888" width="9.625" style="3038" customWidth="1"/>
    <col min="11889" max="11889" width="13.625" style="3038" bestFit="1" customWidth="1"/>
    <col min="11890" max="11890" width="12.375" style="3038" bestFit="1" customWidth="1"/>
    <col min="11891" max="11891" width="9.875" style="3038" bestFit="1" customWidth="1"/>
    <col min="11892" max="11892" width="10.375" style="3038" customWidth="1"/>
    <col min="11893" max="11893" width="9.25" style="3038" customWidth="1"/>
    <col min="11894" max="11894" width="12.625" style="3038" customWidth="1"/>
    <col min="11895" max="11895" width="9.875" style="3038" bestFit="1" customWidth="1"/>
    <col min="11896" max="11896" width="9.125" style="3038" bestFit="1" customWidth="1"/>
    <col min="11897" max="11898" width="9.875" style="3038" bestFit="1" customWidth="1"/>
    <col min="11899" max="11899" width="9.125" style="3038" bestFit="1" customWidth="1"/>
    <col min="11900" max="11901" width="9.875" style="3038" bestFit="1" customWidth="1"/>
    <col min="11902" max="11902" width="11.125" style="3038" bestFit="1" customWidth="1"/>
    <col min="11903" max="11904" width="9.875" style="3038" bestFit="1" customWidth="1"/>
    <col min="11905" max="11905" width="11.125" style="3038" bestFit="1" customWidth="1"/>
    <col min="11906" max="11907" width="9.875" style="3038" bestFit="1" customWidth="1"/>
    <col min="11908" max="11908" width="11.125" style="3038" bestFit="1" customWidth="1"/>
    <col min="11909" max="11909" width="9.125" style="3038" bestFit="1" customWidth="1"/>
    <col min="11910" max="11910" width="9.875" style="3038" bestFit="1" customWidth="1"/>
    <col min="11911" max="11911" width="11.125" style="3038" bestFit="1" customWidth="1"/>
    <col min="11912" max="11912" width="9.125" style="3038" bestFit="1" customWidth="1"/>
    <col min="11913" max="11913" width="9.875" style="3038" bestFit="1" customWidth="1"/>
    <col min="11914" max="11914" width="11.125" style="3038" bestFit="1" customWidth="1"/>
    <col min="11915" max="11915" width="9.125" style="3038" bestFit="1" customWidth="1"/>
    <col min="11916" max="11916" width="9.875" style="3038" bestFit="1" customWidth="1"/>
    <col min="11917" max="11917" width="11.125" style="3038" bestFit="1" customWidth="1"/>
    <col min="11918" max="11918" width="9.125" style="3038" bestFit="1" customWidth="1"/>
    <col min="11919" max="11919" width="9.875" style="3038" bestFit="1" customWidth="1"/>
    <col min="11920" max="11920" width="11.125" style="3038" bestFit="1" customWidth="1"/>
    <col min="11921" max="11921" width="9.125" style="3038" bestFit="1" customWidth="1"/>
    <col min="11922" max="11922" width="9.875" style="3038" bestFit="1" customWidth="1"/>
    <col min="11923" max="11923" width="11.125" style="3038" bestFit="1" customWidth="1"/>
    <col min="11924" max="11924" width="9.125" style="3038" bestFit="1" customWidth="1"/>
    <col min="11925" max="11925" width="9.875" style="3038" bestFit="1" customWidth="1"/>
    <col min="11926" max="11926" width="11.125" style="3038" bestFit="1" customWidth="1"/>
    <col min="11927" max="11927" width="9.125" style="3038" bestFit="1" customWidth="1"/>
    <col min="11928" max="11928" width="9.875" style="3038" bestFit="1" customWidth="1"/>
    <col min="11929" max="11929" width="11.125" style="3038" bestFit="1" customWidth="1"/>
    <col min="11930" max="11930" width="9.125" style="3038" bestFit="1" customWidth="1"/>
    <col min="11931" max="11931" width="9.875" style="3038" bestFit="1" customWidth="1"/>
    <col min="11932" max="11932" width="11.125" style="3038" bestFit="1" customWidth="1"/>
    <col min="11933" max="11933" width="7.875" style="3038" customWidth="1"/>
    <col min="11934" max="11935" width="9.875" style="3038" bestFit="1" customWidth="1"/>
    <col min="11936" max="11936" width="7.875" style="3038"/>
    <col min="11937" max="11938" width="9.875" style="3038" bestFit="1" customWidth="1"/>
    <col min="11939" max="11939" width="7.875" style="3038"/>
    <col min="11940" max="11941" width="9.875" style="3038" bestFit="1" customWidth="1"/>
    <col min="11942" max="11942" width="7.875" style="3038"/>
    <col min="11943" max="11944" width="9.875" style="3038" bestFit="1" customWidth="1"/>
    <col min="11945" max="11945" width="7.875" style="3038"/>
    <col min="11946" max="11946" width="9.875" style="3038" bestFit="1" customWidth="1"/>
    <col min="11947" max="11947" width="8.875" style="3038" bestFit="1" customWidth="1"/>
    <col min="11948" max="11948" width="7.875" style="3038"/>
    <col min="11949" max="11949" width="9.875" style="3038" bestFit="1" customWidth="1"/>
    <col min="11950" max="11950" width="8.875" style="3038" bestFit="1" customWidth="1"/>
    <col min="11951" max="11951" width="7.875" style="3038"/>
    <col min="11952" max="11952" width="9.875" style="3038" bestFit="1" customWidth="1"/>
    <col min="11953" max="11953" width="8.875" style="3038" bestFit="1" customWidth="1"/>
    <col min="11954" max="11954" width="7.875" style="3038"/>
    <col min="11955" max="11955" width="9.875" style="3038" bestFit="1" customWidth="1"/>
    <col min="11956" max="11956" width="8.875" style="3038" bestFit="1" customWidth="1"/>
    <col min="11957" max="11957" width="7.875" style="3038"/>
    <col min="11958" max="11958" width="9.875" style="3038" bestFit="1" customWidth="1"/>
    <col min="11959" max="11959" width="8.875" style="3038" bestFit="1" customWidth="1"/>
    <col min="11960" max="11960" width="7.875" style="3038"/>
    <col min="11961" max="11961" width="9.875" style="3038" bestFit="1" customWidth="1"/>
    <col min="11962" max="11962" width="11.125" style="3038" bestFit="1" customWidth="1"/>
    <col min="11963" max="11963" width="9.125" style="3038" bestFit="1" customWidth="1"/>
    <col min="11964" max="11964" width="9.875" style="3038" bestFit="1" customWidth="1"/>
    <col min="11965" max="11965" width="11.125" style="3038" bestFit="1" customWidth="1"/>
    <col min="11966" max="11966" width="7.875" style="3038"/>
    <col min="11967" max="11967" width="9.25" style="3038" customWidth="1"/>
    <col min="11968" max="12032" width="7.875" style="3038"/>
    <col min="12033" max="12033" width="3.875" style="3038" customWidth="1"/>
    <col min="12034" max="12034" width="10.375" style="3038" customWidth="1"/>
    <col min="12035" max="12035" width="11.375" style="3038" bestFit="1" customWidth="1"/>
    <col min="12036" max="12036" width="10.5" style="3038" customWidth="1"/>
    <col min="12037" max="12037" width="11.625" style="3038" customWidth="1"/>
    <col min="12038" max="12038" width="9.875" style="3038" customWidth="1"/>
    <col min="12039" max="12039" width="11.875" style="3038" customWidth="1"/>
    <col min="12040" max="12040" width="12.75" style="3038" customWidth="1"/>
    <col min="12041" max="12041" width="11" style="3038" customWidth="1"/>
    <col min="12042" max="12042" width="12.75" style="3038" customWidth="1"/>
    <col min="12043" max="12043" width="14" style="3038" customWidth="1"/>
    <col min="12044" max="12044" width="9.375" style="3038" customWidth="1"/>
    <col min="12045" max="12045" width="10.875" style="3038" customWidth="1"/>
    <col min="12046" max="12046" width="12.25" style="3038" customWidth="1"/>
    <col min="12047" max="12047" width="10.375" style="3038" customWidth="1"/>
    <col min="12048" max="12048" width="8.5" style="3038" customWidth="1"/>
    <col min="12049" max="12049" width="12" style="3038" customWidth="1"/>
    <col min="12050" max="12050" width="10.875" style="3038" bestFit="1" customWidth="1"/>
    <col min="12051" max="12051" width="10.5" style="3038" bestFit="1" customWidth="1"/>
    <col min="12052" max="12052" width="10.875" style="3038" bestFit="1" customWidth="1"/>
    <col min="12053" max="12054" width="11" style="3038" customWidth="1"/>
    <col min="12055" max="12055" width="9.375" style="3038" customWidth="1"/>
    <col min="12056" max="12056" width="7.125" style="3038" customWidth="1"/>
    <col min="12057" max="12058" width="11.75" style="3038" customWidth="1"/>
    <col min="12059" max="12059" width="13" style="3038" customWidth="1"/>
    <col min="12060" max="12060" width="10.75" style="3038" customWidth="1"/>
    <col min="12061" max="12062" width="7.375" style="3038" customWidth="1"/>
    <col min="12063" max="12063" width="10.25" style="3038" customWidth="1"/>
    <col min="12064" max="12073" width="8.625" style="3038" customWidth="1"/>
    <col min="12074" max="12075" width="14.125" style="3038" bestFit="1" customWidth="1"/>
    <col min="12076" max="12077" width="10.25" style="3038" customWidth="1"/>
    <col min="12078" max="12078" width="10.125" style="3038" customWidth="1"/>
    <col min="12079" max="12079" width="8.875" style="3038" customWidth="1"/>
    <col min="12080" max="12080" width="9.375" style="3038" customWidth="1"/>
    <col min="12081" max="12081" width="13.25" style="3038" customWidth="1"/>
    <col min="12082" max="12082" width="13" style="3038" customWidth="1"/>
    <col min="12083" max="12083" width="10.875" style="3038" customWidth="1"/>
    <col min="12084" max="12084" width="9.375" style="3038" customWidth="1"/>
    <col min="12085" max="12085" width="10.875" style="3038" customWidth="1"/>
    <col min="12086" max="12086" width="10.5" style="3038" customWidth="1"/>
    <col min="12087" max="12087" width="8.125" style="3038" customWidth="1"/>
    <col min="12088" max="12088" width="8.625" style="3038" customWidth="1"/>
    <col min="12089" max="12089" width="10.75" style="3038" customWidth="1"/>
    <col min="12090" max="12090" width="9.625" style="3038" customWidth="1"/>
    <col min="12091" max="12091" width="9.5" style="3038" customWidth="1"/>
    <col min="12092" max="12092" width="11" style="3038" customWidth="1"/>
    <col min="12093" max="12093" width="9.25" style="3038" customWidth="1"/>
    <col min="12094" max="12095" width="11" style="3038" customWidth="1"/>
    <col min="12096" max="12096" width="9.625" style="3038" customWidth="1"/>
    <col min="12097" max="12099" width="10.75" style="3038" bestFit="1" customWidth="1"/>
    <col min="12100" max="12100" width="10.25" style="3038" bestFit="1" customWidth="1"/>
    <col min="12101" max="12101" width="10.75" style="3038" bestFit="1" customWidth="1"/>
    <col min="12102" max="12102" width="10.25" style="3038" bestFit="1" customWidth="1"/>
    <col min="12103" max="12103" width="10.75" style="3038" bestFit="1" customWidth="1"/>
    <col min="12104" max="12104" width="10.25" style="3038" bestFit="1" customWidth="1"/>
    <col min="12105" max="12105" width="10.75" style="3038" bestFit="1" customWidth="1"/>
    <col min="12106" max="12106" width="10.25" style="3038" bestFit="1" customWidth="1"/>
    <col min="12107" max="12107" width="10.75" style="3038" bestFit="1" customWidth="1"/>
    <col min="12108" max="12108" width="10.25" style="3038" bestFit="1" customWidth="1"/>
    <col min="12109" max="12109" width="10.375" style="3038" customWidth="1"/>
    <col min="12110" max="12110" width="10.25" style="3038" customWidth="1"/>
    <col min="12111" max="12111" width="10.375" style="3038" customWidth="1"/>
    <col min="12112" max="12113" width="10.5" style="3038" customWidth="1"/>
    <col min="12114" max="12114" width="11.125" style="3038" customWidth="1"/>
    <col min="12115" max="12115" width="9.875" style="3038" customWidth="1"/>
    <col min="12116" max="12116" width="10.25" style="3038" customWidth="1"/>
    <col min="12117" max="12117" width="9.875" style="3038" customWidth="1"/>
    <col min="12118" max="12118" width="10" style="3038" customWidth="1"/>
    <col min="12119" max="12119" width="9.75" style="3038" customWidth="1"/>
    <col min="12120" max="12144" width="9.625" style="3038" customWidth="1"/>
    <col min="12145" max="12145" width="13.625" style="3038" bestFit="1" customWidth="1"/>
    <col min="12146" max="12146" width="12.375" style="3038" bestFit="1" customWidth="1"/>
    <col min="12147" max="12147" width="9.875" style="3038" bestFit="1" customWidth="1"/>
    <col min="12148" max="12148" width="10.375" style="3038" customWidth="1"/>
    <col min="12149" max="12149" width="9.25" style="3038" customWidth="1"/>
    <col min="12150" max="12150" width="12.625" style="3038" customWidth="1"/>
    <col min="12151" max="12151" width="9.875" style="3038" bestFit="1" customWidth="1"/>
    <col min="12152" max="12152" width="9.125" style="3038" bestFit="1" customWidth="1"/>
    <col min="12153" max="12154" width="9.875" style="3038" bestFit="1" customWidth="1"/>
    <col min="12155" max="12155" width="9.125" style="3038" bestFit="1" customWidth="1"/>
    <col min="12156" max="12157" width="9.875" style="3038" bestFit="1" customWidth="1"/>
    <col min="12158" max="12158" width="11.125" style="3038" bestFit="1" customWidth="1"/>
    <col min="12159" max="12160" width="9.875" style="3038" bestFit="1" customWidth="1"/>
    <col min="12161" max="12161" width="11.125" style="3038" bestFit="1" customWidth="1"/>
    <col min="12162" max="12163" width="9.875" style="3038" bestFit="1" customWidth="1"/>
    <col min="12164" max="12164" width="11.125" style="3038" bestFit="1" customWidth="1"/>
    <col min="12165" max="12165" width="9.125" style="3038" bestFit="1" customWidth="1"/>
    <col min="12166" max="12166" width="9.875" style="3038" bestFit="1" customWidth="1"/>
    <col min="12167" max="12167" width="11.125" style="3038" bestFit="1" customWidth="1"/>
    <col min="12168" max="12168" width="9.125" style="3038" bestFit="1" customWidth="1"/>
    <col min="12169" max="12169" width="9.875" style="3038" bestFit="1" customWidth="1"/>
    <col min="12170" max="12170" width="11.125" style="3038" bestFit="1" customWidth="1"/>
    <col min="12171" max="12171" width="9.125" style="3038" bestFit="1" customWidth="1"/>
    <col min="12172" max="12172" width="9.875" style="3038" bestFit="1" customWidth="1"/>
    <col min="12173" max="12173" width="11.125" style="3038" bestFit="1" customWidth="1"/>
    <col min="12174" max="12174" width="9.125" style="3038" bestFit="1" customWidth="1"/>
    <col min="12175" max="12175" width="9.875" style="3038" bestFit="1" customWidth="1"/>
    <col min="12176" max="12176" width="11.125" style="3038" bestFit="1" customWidth="1"/>
    <col min="12177" max="12177" width="9.125" style="3038" bestFit="1" customWidth="1"/>
    <col min="12178" max="12178" width="9.875" style="3038" bestFit="1" customWidth="1"/>
    <col min="12179" max="12179" width="11.125" style="3038" bestFit="1" customWidth="1"/>
    <col min="12180" max="12180" width="9.125" style="3038" bestFit="1" customWidth="1"/>
    <col min="12181" max="12181" width="9.875" style="3038" bestFit="1" customWidth="1"/>
    <col min="12182" max="12182" width="11.125" style="3038" bestFit="1" customWidth="1"/>
    <col min="12183" max="12183" width="9.125" style="3038" bestFit="1" customWidth="1"/>
    <col min="12184" max="12184" width="9.875" style="3038" bestFit="1" customWidth="1"/>
    <col min="12185" max="12185" width="11.125" style="3038" bestFit="1" customWidth="1"/>
    <col min="12186" max="12186" width="9.125" style="3038" bestFit="1" customWidth="1"/>
    <col min="12187" max="12187" width="9.875" style="3038" bestFit="1" customWidth="1"/>
    <col min="12188" max="12188" width="11.125" style="3038" bestFit="1" customWidth="1"/>
    <col min="12189" max="12189" width="7.875" style="3038" customWidth="1"/>
    <col min="12190" max="12191" width="9.875" style="3038" bestFit="1" customWidth="1"/>
    <col min="12192" max="12192" width="7.875" style="3038"/>
    <col min="12193" max="12194" width="9.875" style="3038" bestFit="1" customWidth="1"/>
    <col min="12195" max="12195" width="7.875" style="3038"/>
    <col min="12196" max="12197" width="9.875" style="3038" bestFit="1" customWidth="1"/>
    <col min="12198" max="12198" width="7.875" style="3038"/>
    <col min="12199" max="12200" width="9.875" style="3038" bestFit="1" customWidth="1"/>
    <col min="12201" max="12201" width="7.875" style="3038"/>
    <col min="12202" max="12202" width="9.875" style="3038" bestFit="1" customWidth="1"/>
    <col min="12203" max="12203" width="8.875" style="3038" bestFit="1" customWidth="1"/>
    <col min="12204" max="12204" width="7.875" style="3038"/>
    <col min="12205" max="12205" width="9.875" style="3038" bestFit="1" customWidth="1"/>
    <col min="12206" max="12206" width="8.875" style="3038" bestFit="1" customWidth="1"/>
    <col min="12207" max="12207" width="7.875" style="3038"/>
    <col min="12208" max="12208" width="9.875" style="3038" bestFit="1" customWidth="1"/>
    <col min="12209" max="12209" width="8.875" style="3038" bestFit="1" customWidth="1"/>
    <col min="12210" max="12210" width="7.875" style="3038"/>
    <col min="12211" max="12211" width="9.875" style="3038" bestFit="1" customWidth="1"/>
    <col min="12212" max="12212" width="8.875" style="3038" bestFit="1" customWidth="1"/>
    <col min="12213" max="12213" width="7.875" style="3038"/>
    <col min="12214" max="12214" width="9.875" style="3038" bestFit="1" customWidth="1"/>
    <col min="12215" max="12215" width="8.875" style="3038" bestFit="1" customWidth="1"/>
    <col min="12216" max="12216" width="7.875" style="3038"/>
    <col min="12217" max="12217" width="9.875" style="3038" bestFit="1" customWidth="1"/>
    <col min="12218" max="12218" width="11.125" style="3038" bestFit="1" customWidth="1"/>
    <col min="12219" max="12219" width="9.125" style="3038" bestFit="1" customWidth="1"/>
    <col min="12220" max="12220" width="9.875" style="3038" bestFit="1" customWidth="1"/>
    <col min="12221" max="12221" width="11.125" style="3038" bestFit="1" customWidth="1"/>
    <col min="12222" max="12222" width="7.875" style="3038"/>
    <col min="12223" max="12223" width="9.25" style="3038" customWidth="1"/>
    <col min="12224" max="12288" width="7.875" style="3038"/>
    <col min="12289" max="12289" width="3.875" style="3038" customWidth="1"/>
    <col min="12290" max="12290" width="10.375" style="3038" customWidth="1"/>
    <col min="12291" max="12291" width="11.375" style="3038" bestFit="1" customWidth="1"/>
    <col min="12292" max="12292" width="10.5" style="3038" customWidth="1"/>
    <col min="12293" max="12293" width="11.625" style="3038" customWidth="1"/>
    <col min="12294" max="12294" width="9.875" style="3038" customWidth="1"/>
    <col min="12295" max="12295" width="11.875" style="3038" customWidth="1"/>
    <col min="12296" max="12296" width="12.75" style="3038" customWidth="1"/>
    <col min="12297" max="12297" width="11" style="3038" customWidth="1"/>
    <col min="12298" max="12298" width="12.75" style="3038" customWidth="1"/>
    <col min="12299" max="12299" width="14" style="3038" customWidth="1"/>
    <col min="12300" max="12300" width="9.375" style="3038" customWidth="1"/>
    <col min="12301" max="12301" width="10.875" style="3038" customWidth="1"/>
    <col min="12302" max="12302" width="12.25" style="3038" customWidth="1"/>
    <col min="12303" max="12303" width="10.375" style="3038" customWidth="1"/>
    <col min="12304" max="12304" width="8.5" style="3038" customWidth="1"/>
    <col min="12305" max="12305" width="12" style="3038" customWidth="1"/>
    <col min="12306" max="12306" width="10.875" style="3038" bestFit="1" customWidth="1"/>
    <col min="12307" max="12307" width="10.5" style="3038" bestFit="1" customWidth="1"/>
    <col min="12308" max="12308" width="10.875" style="3038" bestFit="1" customWidth="1"/>
    <col min="12309" max="12310" width="11" style="3038" customWidth="1"/>
    <col min="12311" max="12311" width="9.375" style="3038" customWidth="1"/>
    <col min="12312" max="12312" width="7.125" style="3038" customWidth="1"/>
    <col min="12313" max="12314" width="11.75" style="3038" customWidth="1"/>
    <col min="12315" max="12315" width="13" style="3038" customWidth="1"/>
    <col min="12316" max="12316" width="10.75" style="3038" customWidth="1"/>
    <col min="12317" max="12318" width="7.375" style="3038" customWidth="1"/>
    <col min="12319" max="12319" width="10.25" style="3038" customWidth="1"/>
    <col min="12320" max="12329" width="8.625" style="3038" customWidth="1"/>
    <col min="12330" max="12331" width="14.125" style="3038" bestFit="1" customWidth="1"/>
    <col min="12332" max="12333" width="10.25" style="3038" customWidth="1"/>
    <col min="12334" max="12334" width="10.125" style="3038" customWidth="1"/>
    <col min="12335" max="12335" width="8.875" style="3038" customWidth="1"/>
    <col min="12336" max="12336" width="9.375" style="3038" customWidth="1"/>
    <col min="12337" max="12337" width="13.25" style="3038" customWidth="1"/>
    <col min="12338" max="12338" width="13" style="3038" customWidth="1"/>
    <col min="12339" max="12339" width="10.875" style="3038" customWidth="1"/>
    <col min="12340" max="12340" width="9.375" style="3038" customWidth="1"/>
    <col min="12341" max="12341" width="10.875" style="3038" customWidth="1"/>
    <col min="12342" max="12342" width="10.5" style="3038" customWidth="1"/>
    <col min="12343" max="12343" width="8.125" style="3038" customWidth="1"/>
    <col min="12344" max="12344" width="8.625" style="3038" customWidth="1"/>
    <col min="12345" max="12345" width="10.75" style="3038" customWidth="1"/>
    <col min="12346" max="12346" width="9.625" style="3038" customWidth="1"/>
    <col min="12347" max="12347" width="9.5" style="3038" customWidth="1"/>
    <col min="12348" max="12348" width="11" style="3038" customWidth="1"/>
    <col min="12349" max="12349" width="9.25" style="3038" customWidth="1"/>
    <col min="12350" max="12351" width="11" style="3038" customWidth="1"/>
    <col min="12352" max="12352" width="9.625" style="3038" customWidth="1"/>
    <col min="12353" max="12355" width="10.75" style="3038" bestFit="1" customWidth="1"/>
    <col min="12356" max="12356" width="10.25" style="3038" bestFit="1" customWidth="1"/>
    <col min="12357" max="12357" width="10.75" style="3038" bestFit="1" customWidth="1"/>
    <col min="12358" max="12358" width="10.25" style="3038" bestFit="1" customWidth="1"/>
    <col min="12359" max="12359" width="10.75" style="3038" bestFit="1" customWidth="1"/>
    <col min="12360" max="12360" width="10.25" style="3038" bestFit="1" customWidth="1"/>
    <col min="12361" max="12361" width="10.75" style="3038" bestFit="1" customWidth="1"/>
    <col min="12362" max="12362" width="10.25" style="3038" bestFit="1" customWidth="1"/>
    <col min="12363" max="12363" width="10.75" style="3038" bestFit="1" customWidth="1"/>
    <col min="12364" max="12364" width="10.25" style="3038" bestFit="1" customWidth="1"/>
    <col min="12365" max="12365" width="10.375" style="3038" customWidth="1"/>
    <col min="12366" max="12366" width="10.25" style="3038" customWidth="1"/>
    <col min="12367" max="12367" width="10.375" style="3038" customWidth="1"/>
    <col min="12368" max="12369" width="10.5" style="3038" customWidth="1"/>
    <col min="12370" max="12370" width="11.125" style="3038" customWidth="1"/>
    <col min="12371" max="12371" width="9.875" style="3038" customWidth="1"/>
    <col min="12372" max="12372" width="10.25" style="3038" customWidth="1"/>
    <col min="12373" max="12373" width="9.875" style="3038" customWidth="1"/>
    <col min="12374" max="12374" width="10" style="3038" customWidth="1"/>
    <col min="12375" max="12375" width="9.75" style="3038" customWidth="1"/>
    <col min="12376" max="12400" width="9.625" style="3038" customWidth="1"/>
    <col min="12401" max="12401" width="13.625" style="3038" bestFit="1" customWidth="1"/>
    <col min="12402" max="12402" width="12.375" style="3038" bestFit="1" customWidth="1"/>
    <col min="12403" max="12403" width="9.875" style="3038" bestFit="1" customWidth="1"/>
    <col min="12404" max="12404" width="10.375" style="3038" customWidth="1"/>
    <col min="12405" max="12405" width="9.25" style="3038" customWidth="1"/>
    <col min="12406" max="12406" width="12.625" style="3038" customWidth="1"/>
    <col min="12407" max="12407" width="9.875" style="3038" bestFit="1" customWidth="1"/>
    <col min="12408" max="12408" width="9.125" style="3038" bestFit="1" customWidth="1"/>
    <col min="12409" max="12410" width="9.875" style="3038" bestFit="1" customWidth="1"/>
    <col min="12411" max="12411" width="9.125" style="3038" bestFit="1" customWidth="1"/>
    <col min="12412" max="12413" width="9.875" style="3038" bestFit="1" customWidth="1"/>
    <col min="12414" max="12414" width="11.125" style="3038" bestFit="1" customWidth="1"/>
    <col min="12415" max="12416" width="9.875" style="3038" bestFit="1" customWidth="1"/>
    <col min="12417" max="12417" width="11.125" style="3038" bestFit="1" customWidth="1"/>
    <col min="12418" max="12419" width="9.875" style="3038" bestFit="1" customWidth="1"/>
    <col min="12420" max="12420" width="11.125" style="3038" bestFit="1" customWidth="1"/>
    <col min="12421" max="12421" width="9.125" style="3038" bestFit="1" customWidth="1"/>
    <col min="12422" max="12422" width="9.875" style="3038" bestFit="1" customWidth="1"/>
    <col min="12423" max="12423" width="11.125" style="3038" bestFit="1" customWidth="1"/>
    <col min="12424" max="12424" width="9.125" style="3038" bestFit="1" customWidth="1"/>
    <col min="12425" max="12425" width="9.875" style="3038" bestFit="1" customWidth="1"/>
    <col min="12426" max="12426" width="11.125" style="3038" bestFit="1" customWidth="1"/>
    <col min="12427" max="12427" width="9.125" style="3038" bestFit="1" customWidth="1"/>
    <col min="12428" max="12428" width="9.875" style="3038" bestFit="1" customWidth="1"/>
    <col min="12429" max="12429" width="11.125" style="3038" bestFit="1" customWidth="1"/>
    <col min="12430" max="12430" width="9.125" style="3038" bestFit="1" customWidth="1"/>
    <col min="12431" max="12431" width="9.875" style="3038" bestFit="1" customWidth="1"/>
    <col min="12432" max="12432" width="11.125" style="3038" bestFit="1" customWidth="1"/>
    <col min="12433" max="12433" width="9.125" style="3038" bestFit="1" customWidth="1"/>
    <col min="12434" max="12434" width="9.875" style="3038" bestFit="1" customWidth="1"/>
    <col min="12435" max="12435" width="11.125" style="3038" bestFit="1" customWidth="1"/>
    <col min="12436" max="12436" width="9.125" style="3038" bestFit="1" customWidth="1"/>
    <col min="12437" max="12437" width="9.875" style="3038" bestFit="1" customWidth="1"/>
    <col min="12438" max="12438" width="11.125" style="3038" bestFit="1" customWidth="1"/>
    <col min="12439" max="12439" width="9.125" style="3038" bestFit="1" customWidth="1"/>
    <col min="12440" max="12440" width="9.875" style="3038" bestFit="1" customWidth="1"/>
    <col min="12441" max="12441" width="11.125" style="3038" bestFit="1" customWidth="1"/>
    <col min="12442" max="12442" width="9.125" style="3038" bestFit="1" customWidth="1"/>
    <col min="12443" max="12443" width="9.875" style="3038" bestFit="1" customWidth="1"/>
    <col min="12444" max="12444" width="11.125" style="3038" bestFit="1" customWidth="1"/>
    <col min="12445" max="12445" width="7.875" style="3038" customWidth="1"/>
    <col min="12446" max="12447" width="9.875" style="3038" bestFit="1" customWidth="1"/>
    <col min="12448" max="12448" width="7.875" style="3038"/>
    <col min="12449" max="12450" width="9.875" style="3038" bestFit="1" customWidth="1"/>
    <col min="12451" max="12451" width="7.875" style="3038"/>
    <col min="12452" max="12453" width="9.875" style="3038" bestFit="1" customWidth="1"/>
    <col min="12454" max="12454" width="7.875" style="3038"/>
    <col min="12455" max="12456" width="9.875" style="3038" bestFit="1" customWidth="1"/>
    <col min="12457" max="12457" width="7.875" style="3038"/>
    <col min="12458" max="12458" width="9.875" style="3038" bestFit="1" customWidth="1"/>
    <col min="12459" max="12459" width="8.875" style="3038" bestFit="1" customWidth="1"/>
    <col min="12460" max="12460" width="7.875" style="3038"/>
    <col min="12461" max="12461" width="9.875" style="3038" bestFit="1" customWidth="1"/>
    <col min="12462" max="12462" width="8.875" style="3038" bestFit="1" customWidth="1"/>
    <col min="12463" max="12463" width="7.875" style="3038"/>
    <col min="12464" max="12464" width="9.875" style="3038" bestFit="1" customWidth="1"/>
    <col min="12465" max="12465" width="8.875" style="3038" bestFit="1" customWidth="1"/>
    <col min="12466" max="12466" width="7.875" style="3038"/>
    <col min="12467" max="12467" width="9.875" style="3038" bestFit="1" customWidth="1"/>
    <col min="12468" max="12468" width="8.875" style="3038" bestFit="1" customWidth="1"/>
    <col min="12469" max="12469" width="7.875" style="3038"/>
    <col min="12470" max="12470" width="9.875" style="3038" bestFit="1" customWidth="1"/>
    <col min="12471" max="12471" width="8.875" style="3038" bestFit="1" customWidth="1"/>
    <col min="12472" max="12472" width="7.875" style="3038"/>
    <col min="12473" max="12473" width="9.875" style="3038" bestFit="1" customWidth="1"/>
    <col min="12474" max="12474" width="11.125" style="3038" bestFit="1" customWidth="1"/>
    <col min="12475" max="12475" width="9.125" style="3038" bestFit="1" customWidth="1"/>
    <col min="12476" max="12476" width="9.875" style="3038" bestFit="1" customWidth="1"/>
    <col min="12477" max="12477" width="11.125" style="3038" bestFit="1" customWidth="1"/>
    <col min="12478" max="12478" width="7.875" style="3038"/>
    <col min="12479" max="12479" width="9.25" style="3038" customWidth="1"/>
    <col min="12480" max="12544" width="7.875" style="3038"/>
    <col min="12545" max="12545" width="3.875" style="3038" customWidth="1"/>
    <col min="12546" max="12546" width="10.375" style="3038" customWidth="1"/>
    <col min="12547" max="12547" width="11.375" style="3038" bestFit="1" customWidth="1"/>
    <col min="12548" max="12548" width="10.5" style="3038" customWidth="1"/>
    <col min="12549" max="12549" width="11.625" style="3038" customWidth="1"/>
    <col min="12550" max="12550" width="9.875" style="3038" customWidth="1"/>
    <col min="12551" max="12551" width="11.875" style="3038" customWidth="1"/>
    <col min="12552" max="12552" width="12.75" style="3038" customWidth="1"/>
    <col min="12553" max="12553" width="11" style="3038" customWidth="1"/>
    <col min="12554" max="12554" width="12.75" style="3038" customWidth="1"/>
    <col min="12555" max="12555" width="14" style="3038" customWidth="1"/>
    <col min="12556" max="12556" width="9.375" style="3038" customWidth="1"/>
    <col min="12557" max="12557" width="10.875" style="3038" customWidth="1"/>
    <col min="12558" max="12558" width="12.25" style="3038" customWidth="1"/>
    <col min="12559" max="12559" width="10.375" style="3038" customWidth="1"/>
    <col min="12560" max="12560" width="8.5" style="3038" customWidth="1"/>
    <col min="12561" max="12561" width="12" style="3038" customWidth="1"/>
    <col min="12562" max="12562" width="10.875" style="3038" bestFit="1" customWidth="1"/>
    <col min="12563" max="12563" width="10.5" style="3038" bestFit="1" customWidth="1"/>
    <col min="12564" max="12564" width="10.875" style="3038" bestFit="1" customWidth="1"/>
    <col min="12565" max="12566" width="11" style="3038" customWidth="1"/>
    <col min="12567" max="12567" width="9.375" style="3038" customWidth="1"/>
    <col min="12568" max="12568" width="7.125" style="3038" customWidth="1"/>
    <col min="12569" max="12570" width="11.75" style="3038" customWidth="1"/>
    <col min="12571" max="12571" width="13" style="3038" customWidth="1"/>
    <col min="12572" max="12572" width="10.75" style="3038" customWidth="1"/>
    <col min="12573" max="12574" width="7.375" style="3038" customWidth="1"/>
    <col min="12575" max="12575" width="10.25" style="3038" customWidth="1"/>
    <col min="12576" max="12585" width="8.625" style="3038" customWidth="1"/>
    <col min="12586" max="12587" width="14.125" style="3038" bestFit="1" customWidth="1"/>
    <col min="12588" max="12589" width="10.25" style="3038" customWidth="1"/>
    <col min="12590" max="12590" width="10.125" style="3038" customWidth="1"/>
    <col min="12591" max="12591" width="8.875" style="3038" customWidth="1"/>
    <col min="12592" max="12592" width="9.375" style="3038" customWidth="1"/>
    <col min="12593" max="12593" width="13.25" style="3038" customWidth="1"/>
    <col min="12594" max="12594" width="13" style="3038" customWidth="1"/>
    <col min="12595" max="12595" width="10.875" style="3038" customWidth="1"/>
    <col min="12596" max="12596" width="9.375" style="3038" customWidth="1"/>
    <col min="12597" max="12597" width="10.875" style="3038" customWidth="1"/>
    <col min="12598" max="12598" width="10.5" style="3038" customWidth="1"/>
    <col min="12599" max="12599" width="8.125" style="3038" customWidth="1"/>
    <col min="12600" max="12600" width="8.625" style="3038" customWidth="1"/>
    <col min="12601" max="12601" width="10.75" style="3038" customWidth="1"/>
    <col min="12602" max="12602" width="9.625" style="3038" customWidth="1"/>
    <col min="12603" max="12603" width="9.5" style="3038" customWidth="1"/>
    <col min="12604" max="12604" width="11" style="3038" customWidth="1"/>
    <col min="12605" max="12605" width="9.25" style="3038" customWidth="1"/>
    <col min="12606" max="12607" width="11" style="3038" customWidth="1"/>
    <col min="12608" max="12608" width="9.625" style="3038" customWidth="1"/>
    <col min="12609" max="12611" width="10.75" style="3038" bestFit="1" customWidth="1"/>
    <col min="12612" max="12612" width="10.25" style="3038" bestFit="1" customWidth="1"/>
    <col min="12613" max="12613" width="10.75" style="3038" bestFit="1" customWidth="1"/>
    <col min="12614" max="12614" width="10.25" style="3038" bestFit="1" customWidth="1"/>
    <col min="12615" max="12615" width="10.75" style="3038" bestFit="1" customWidth="1"/>
    <col min="12616" max="12616" width="10.25" style="3038" bestFit="1" customWidth="1"/>
    <col min="12617" max="12617" width="10.75" style="3038" bestFit="1" customWidth="1"/>
    <col min="12618" max="12618" width="10.25" style="3038" bestFit="1" customWidth="1"/>
    <col min="12619" max="12619" width="10.75" style="3038" bestFit="1" customWidth="1"/>
    <col min="12620" max="12620" width="10.25" style="3038" bestFit="1" customWidth="1"/>
    <col min="12621" max="12621" width="10.375" style="3038" customWidth="1"/>
    <col min="12622" max="12622" width="10.25" style="3038" customWidth="1"/>
    <col min="12623" max="12623" width="10.375" style="3038" customWidth="1"/>
    <col min="12624" max="12625" width="10.5" style="3038" customWidth="1"/>
    <col min="12626" max="12626" width="11.125" style="3038" customWidth="1"/>
    <col min="12627" max="12627" width="9.875" style="3038" customWidth="1"/>
    <col min="12628" max="12628" width="10.25" style="3038" customWidth="1"/>
    <col min="12629" max="12629" width="9.875" style="3038" customWidth="1"/>
    <col min="12630" max="12630" width="10" style="3038" customWidth="1"/>
    <col min="12631" max="12631" width="9.75" style="3038" customWidth="1"/>
    <col min="12632" max="12656" width="9.625" style="3038" customWidth="1"/>
    <col min="12657" max="12657" width="13.625" style="3038" bestFit="1" customWidth="1"/>
    <col min="12658" max="12658" width="12.375" style="3038" bestFit="1" customWidth="1"/>
    <col min="12659" max="12659" width="9.875" style="3038" bestFit="1" customWidth="1"/>
    <col min="12660" max="12660" width="10.375" style="3038" customWidth="1"/>
    <col min="12661" max="12661" width="9.25" style="3038" customWidth="1"/>
    <col min="12662" max="12662" width="12.625" style="3038" customWidth="1"/>
    <col min="12663" max="12663" width="9.875" style="3038" bestFit="1" customWidth="1"/>
    <col min="12664" max="12664" width="9.125" style="3038" bestFit="1" customWidth="1"/>
    <col min="12665" max="12666" width="9.875" style="3038" bestFit="1" customWidth="1"/>
    <col min="12667" max="12667" width="9.125" style="3038" bestFit="1" customWidth="1"/>
    <col min="12668" max="12669" width="9.875" style="3038" bestFit="1" customWidth="1"/>
    <col min="12670" max="12670" width="11.125" style="3038" bestFit="1" customWidth="1"/>
    <col min="12671" max="12672" width="9.875" style="3038" bestFit="1" customWidth="1"/>
    <col min="12673" max="12673" width="11.125" style="3038" bestFit="1" customWidth="1"/>
    <col min="12674" max="12675" width="9.875" style="3038" bestFit="1" customWidth="1"/>
    <col min="12676" max="12676" width="11.125" style="3038" bestFit="1" customWidth="1"/>
    <col min="12677" max="12677" width="9.125" style="3038" bestFit="1" customWidth="1"/>
    <col min="12678" max="12678" width="9.875" style="3038" bestFit="1" customWidth="1"/>
    <col min="12679" max="12679" width="11.125" style="3038" bestFit="1" customWidth="1"/>
    <col min="12680" max="12680" width="9.125" style="3038" bestFit="1" customWidth="1"/>
    <col min="12681" max="12681" width="9.875" style="3038" bestFit="1" customWidth="1"/>
    <col min="12682" max="12682" width="11.125" style="3038" bestFit="1" customWidth="1"/>
    <col min="12683" max="12683" width="9.125" style="3038" bestFit="1" customWidth="1"/>
    <col min="12684" max="12684" width="9.875" style="3038" bestFit="1" customWidth="1"/>
    <col min="12685" max="12685" width="11.125" style="3038" bestFit="1" customWidth="1"/>
    <col min="12686" max="12686" width="9.125" style="3038" bestFit="1" customWidth="1"/>
    <col min="12687" max="12687" width="9.875" style="3038" bestFit="1" customWidth="1"/>
    <col min="12688" max="12688" width="11.125" style="3038" bestFit="1" customWidth="1"/>
    <col min="12689" max="12689" width="9.125" style="3038" bestFit="1" customWidth="1"/>
    <col min="12690" max="12690" width="9.875" style="3038" bestFit="1" customWidth="1"/>
    <col min="12691" max="12691" width="11.125" style="3038" bestFit="1" customWidth="1"/>
    <col min="12692" max="12692" width="9.125" style="3038" bestFit="1" customWidth="1"/>
    <col min="12693" max="12693" width="9.875" style="3038" bestFit="1" customWidth="1"/>
    <col min="12694" max="12694" width="11.125" style="3038" bestFit="1" customWidth="1"/>
    <col min="12695" max="12695" width="9.125" style="3038" bestFit="1" customWidth="1"/>
    <col min="12696" max="12696" width="9.875" style="3038" bestFit="1" customWidth="1"/>
    <col min="12697" max="12697" width="11.125" style="3038" bestFit="1" customWidth="1"/>
    <col min="12698" max="12698" width="9.125" style="3038" bestFit="1" customWidth="1"/>
    <col min="12699" max="12699" width="9.875" style="3038" bestFit="1" customWidth="1"/>
    <col min="12700" max="12700" width="11.125" style="3038" bestFit="1" customWidth="1"/>
    <col min="12701" max="12701" width="7.875" style="3038" customWidth="1"/>
    <col min="12702" max="12703" width="9.875" style="3038" bestFit="1" customWidth="1"/>
    <col min="12704" max="12704" width="7.875" style="3038"/>
    <col min="12705" max="12706" width="9.875" style="3038" bestFit="1" customWidth="1"/>
    <col min="12707" max="12707" width="7.875" style="3038"/>
    <col min="12708" max="12709" width="9.875" style="3038" bestFit="1" customWidth="1"/>
    <col min="12710" max="12710" width="7.875" style="3038"/>
    <col min="12711" max="12712" width="9.875" style="3038" bestFit="1" customWidth="1"/>
    <col min="12713" max="12713" width="7.875" style="3038"/>
    <col min="12714" max="12714" width="9.875" style="3038" bestFit="1" customWidth="1"/>
    <col min="12715" max="12715" width="8.875" style="3038" bestFit="1" customWidth="1"/>
    <col min="12716" max="12716" width="7.875" style="3038"/>
    <col min="12717" max="12717" width="9.875" style="3038" bestFit="1" customWidth="1"/>
    <col min="12718" max="12718" width="8.875" style="3038" bestFit="1" customWidth="1"/>
    <col min="12719" max="12719" width="7.875" style="3038"/>
    <col min="12720" max="12720" width="9.875" style="3038" bestFit="1" customWidth="1"/>
    <col min="12721" max="12721" width="8.875" style="3038" bestFit="1" customWidth="1"/>
    <col min="12722" max="12722" width="7.875" style="3038"/>
    <col min="12723" max="12723" width="9.875" style="3038" bestFit="1" customWidth="1"/>
    <col min="12724" max="12724" width="8.875" style="3038" bestFit="1" customWidth="1"/>
    <col min="12725" max="12725" width="7.875" style="3038"/>
    <col min="12726" max="12726" width="9.875" style="3038" bestFit="1" customWidth="1"/>
    <col min="12727" max="12727" width="8.875" style="3038" bestFit="1" customWidth="1"/>
    <col min="12728" max="12728" width="7.875" style="3038"/>
    <col min="12729" max="12729" width="9.875" style="3038" bestFit="1" customWidth="1"/>
    <col min="12730" max="12730" width="11.125" style="3038" bestFit="1" customWidth="1"/>
    <col min="12731" max="12731" width="9.125" style="3038" bestFit="1" customWidth="1"/>
    <col min="12732" max="12732" width="9.875" style="3038" bestFit="1" customWidth="1"/>
    <col min="12733" max="12733" width="11.125" style="3038" bestFit="1" customWidth="1"/>
    <col min="12734" max="12734" width="7.875" style="3038"/>
    <col min="12735" max="12735" width="9.25" style="3038" customWidth="1"/>
    <col min="12736" max="12800" width="7.875" style="3038"/>
    <col min="12801" max="12801" width="3.875" style="3038" customWidth="1"/>
    <col min="12802" max="12802" width="10.375" style="3038" customWidth="1"/>
    <col min="12803" max="12803" width="11.375" style="3038" bestFit="1" customWidth="1"/>
    <col min="12804" max="12804" width="10.5" style="3038" customWidth="1"/>
    <col min="12805" max="12805" width="11.625" style="3038" customWidth="1"/>
    <col min="12806" max="12806" width="9.875" style="3038" customWidth="1"/>
    <col min="12807" max="12807" width="11.875" style="3038" customWidth="1"/>
    <col min="12808" max="12808" width="12.75" style="3038" customWidth="1"/>
    <col min="12809" max="12809" width="11" style="3038" customWidth="1"/>
    <col min="12810" max="12810" width="12.75" style="3038" customWidth="1"/>
    <col min="12811" max="12811" width="14" style="3038" customWidth="1"/>
    <col min="12812" max="12812" width="9.375" style="3038" customWidth="1"/>
    <col min="12813" max="12813" width="10.875" style="3038" customWidth="1"/>
    <col min="12814" max="12814" width="12.25" style="3038" customWidth="1"/>
    <col min="12815" max="12815" width="10.375" style="3038" customWidth="1"/>
    <col min="12816" max="12816" width="8.5" style="3038" customWidth="1"/>
    <col min="12817" max="12817" width="12" style="3038" customWidth="1"/>
    <col min="12818" max="12818" width="10.875" style="3038" bestFit="1" customWidth="1"/>
    <col min="12819" max="12819" width="10.5" style="3038" bestFit="1" customWidth="1"/>
    <col min="12820" max="12820" width="10.875" style="3038" bestFit="1" customWidth="1"/>
    <col min="12821" max="12822" width="11" style="3038" customWidth="1"/>
    <col min="12823" max="12823" width="9.375" style="3038" customWidth="1"/>
    <col min="12824" max="12824" width="7.125" style="3038" customWidth="1"/>
    <col min="12825" max="12826" width="11.75" style="3038" customWidth="1"/>
    <col min="12827" max="12827" width="13" style="3038" customWidth="1"/>
    <col min="12828" max="12828" width="10.75" style="3038" customWidth="1"/>
    <col min="12829" max="12830" width="7.375" style="3038" customWidth="1"/>
    <col min="12831" max="12831" width="10.25" style="3038" customWidth="1"/>
    <col min="12832" max="12841" width="8.625" style="3038" customWidth="1"/>
    <col min="12842" max="12843" width="14.125" style="3038" bestFit="1" customWidth="1"/>
    <col min="12844" max="12845" width="10.25" style="3038" customWidth="1"/>
    <col min="12846" max="12846" width="10.125" style="3038" customWidth="1"/>
    <col min="12847" max="12847" width="8.875" style="3038" customWidth="1"/>
    <col min="12848" max="12848" width="9.375" style="3038" customWidth="1"/>
    <col min="12849" max="12849" width="13.25" style="3038" customWidth="1"/>
    <col min="12850" max="12850" width="13" style="3038" customWidth="1"/>
    <col min="12851" max="12851" width="10.875" style="3038" customWidth="1"/>
    <col min="12852" max="12852" width="9.375" style="3038" customWidth="1"/>
    <col min="12853" max="12853" width="10.875" style="3038" customWidth="1"/>
    <col min="12854" max="12854" width="10.5" style="3038" customWidth="1"/>
    <col min="12855" max="12855" width="8.125" style="3038" customWidth="1"/>
    <col min="12856" max="12856" width="8.625" style="3038" customWidth="1"/>
    <col min="12857" max="12857" width="10.75" style="3038" customWidth="1"/>
    <col min="12858" max="12858" width="9.625" style="3038" customWidth="1"/>
    <col min="12859" max="12859" width="9.5" style="3038" customWidth="1"/>
    <col min="12860" max="12860" width="11" style="3038" customWidth="1"/>
    <col min="12861" max="12861" width="9.25" style="3038" customWidth="1"/>
    <col min="12862" max="12863" width="11" style="3038" customWidth="1"/>
    <col min="12864" max="12864" width="9.625" style="3038" customWidth="1"/>
    <col min="12865" max="12867" width="10.75" style="3038" bestFit="1" customWidth="1"/>
    <col min="12868" max="12868" width="10.25" style="3038" bestFit="1" customWidth="1"/>
    <col min="12869" max="12869" width="10.75" style="3038" bestFit="1" customWidth="1"/>
    <col min="12870" max="12870" width="10.25" style="3038" bestFit="1" customWidth="1"/>
    <col min="12871" max="12871" width="10.75" style="3038" bestFit="1" customWidth="1"/>
    <col min="12872" max="12872" width="10.25" style="3038" bestFit="1" customWidth="1"/>
    <col min="12873" max="12873" width="10.75" style="3038" bestFit="1" customWidth="1"/>
    <col min="12874" max="12874" width="10.25" style="3038" bestFit="1" customWidth="1"/>
    <col min="12875" max="12875" width="10.75" style="3038" bestFit="1" customWidth="1"/>
    <col min="12876" max="12876" width="10.25" style="3038" bestFit="1" customWidth="1"/>
    <col min="12877" max="12877" width="10.375" style="3038" customWidth="1"/>
    <col min="12878" max="12878" width="10.25" style="3038" customWidth="1"/>
    <col min="12879" max="12879" width="10.375" style="3038" customWidth="1"/>
    <col min="12880" max="12881" width="10.5" style="3038" customWidth="1"/>
    <col min="12882" max="12882" width="11.125" style="3038" customWidth="1"/>
    <col min="12883" max="12883" width="9.875" style="3038" customWidth="1"/>
    <col min="12884" max="12884" width="10.25" style="3038" customWidth="1"/>
    <col min="12885" max="12885" width="9.875" style="3038" customWidth="1"/>
    <col min="12886" max="12886" width="10" style="3038" customWidth="1"/>
    <col min="12887" max="12887" width="9.75" style="3038" customWidth="1"/>
    <col min="12888" max="12912" width="9.625" style="3038" customWidth="1"/>
    <col min="12913" max="12913" width="13.625" style="3038" bestFit="1" customWidth="1"/>
    <col min="12914" max="12914" width="12.375" style="3038" bestFit="1" customWidth="1"/>
    <col min="12915" max="12915" width="9.875" style="3038" bestFit="1" customWidth="1"/>
    <col min="12916" max="12916" width="10.375" style="3038" customWidth="1"/>
    <col min="12917" max="12917" width="9.25" style="3038" customWidth="1"/>
    <col min="12918" max="12918" width="12.625" style="3038" customWidth="1"/>
    <col min="12919" max="12919" width="9.875" style="3038" bestFit="1" customWidth="1"/>
    <col min="12920" max="12920" width="9.125" style="3038" bestFit="1" customWidth="1"/>
    <col min="12921" max="12922" width="9.875" style="3038" bestFit="1" customWidth="1"/>
    <col min="12923" max="12923" width="9.125" style="3038" bestFit="1" customWidth="1"/>
    <col min="12924" max="12925" width="9.875" style="3038" bestFit="1" customWidth="1"/>
    <col min="12926" max="12926" width="11.125" style="3038" bestFit="1" customWidth="1"/>
    <col min="12927" max="12928" width="9.875" style="3038" bestFit="1" customWidth="1"/>
    <col min="12929" max="12929" width="11.125" style="3038" bestFit="1" customWidth="1"/>
    <col min="12930" max="12931" width="9.875" style="3038" bestFit="1" customWidth="1"/>
    <col min="12932" max="12932" width="11.125" style="3038" bestFit="1" customWidth="1"/>
    <col min="12933" max="12933" width="9.125" style="3038" bestFit="1" customWidth="1"/>
    <col min="12934" max="12934" width="9.875" style="3038" bestFit="1" customWidth="1"/>
    <col min="12935" max="12935" width="11.125" style="3038" bestFit="1" customWidth="1"/>
    <col min="12936" max="12936" width="9.125" style="3038" bestFit="1" customWidth="1"/>
    <col min="12937" max="12937" width="9.875" style="3038" bestFit="1" customWidth="1"/>
    <col min="12938" max="12938" width="11.125" style="3038" bestFit="1" customWidth="1"/>
    <col min="12939" max="12939" width="9.125" style="3038" bestFit="1" customWidth="1"/>
    <col min="12940" max="12940" width="9.875" style="3038" bestFit="1" customWidth="1"/>
    <col min="12941" max="12941" width="11.125" style="3038" bestFit="1" customWidth="1"/>
    <col min="12942" max="12942" width="9.125" style="3038" bestFit="1" customWidth="1"/>
    <col min="12943" max="12943" width="9.875" style="3038" bestFit="1" customWidth="1"/>
    <col min="12944" max="12944" width="11.125" style="3038" bestFit="1" customWidth="1"/>
    <col min="12945" max="12945" width="9.125" style="3038" bestFit="1" customWidth="1"/>
    <col min="12946" max="12946" width="9.875" style="3038" bestFit="1" customWidth="1"/>
    <col min="12947" max="12947" width="11.125" style="3038" bestFit="1" customWidth="1"/>
    <col min="12948" max="12948" width="9.125" style="3038" bestFit="1" customWidth="1"/>
    <col min="12949" max="12949" width="9.875" style="3038" bestFit="1" customWidth="1"/>
    <col min="12950" max="12950" width="11.125" style="3038" bestFit="1" customWidth="1"/>
    <col min="12951" max="12951" width="9.125" style="3038" bestFit="1" customWidth="1"/>
    <col min="12952" max="12952" width="9.875" style="3038" bestFit="1" customWidth="1"/>
    <col min="12953" max="12953" width="11.125" style="3038" bestFit="1" customWidth="1"/>
    <col min="12954" max="12954" width="9.125" style="3038" bestFit="1" customWidth="1"/>
    <col min="12955" max="12955" width="9.875" style="3038" bestFit="1" customWidth="1"/>
    <col min="12956" max="12956" width="11.125" style="3038" bestFit="1" customWidth="1"/>
    <col min="12957" max="12957" width="7.875" style="3038" customWidth="1"/>
    <col min="12958" max="12959" width="9.875" style="3038" bestFit="1" customWidth="1"/>
    <col min="12960" max="12960" width="7.875" style="3038"/>
    <col min="12961" max="12962" width="9.875" style="3038" bestFit="1" customWidth="1"/>
    <col min="12963" max="12963" width="7.875" style="3038"/>
    <col min="12964" max="12965" width="9.875" style="3038" bestFit="1" customWidth="1"/>
    <col min="12966" max="12966" width="7.875" style="3038"/>
    <col min="12967" max="12968" width="9.875" style="3038" bestFit="1" customWidth="1"/>
    <col min="12969" max="12969" width="7.875" style="3038"/>
    <col min="12970" max="12970" width="9.875" style="3038" bestFit="1" customWidth="1"/>
    <col min="12971" max="12971" width="8.875" style="3038" bestFit="1" customWidth="1"/>
    <col min="12972" max="12972" width="7.875" style="3038"/>
    <col min="12973" max="12973" width="9.875" style="3038" bestFit="1" customWidth="1"/>
    <col min="12974" max="12974" width="8.875" style="3038" bestFit="1" customWidth="1"/>
    <col min="12975" max="12975" width="7.875" style="3038"/>
    <col min="12976" max="12976" width="9.875" style="3038" bestFit="1" customWidth="1"/>
    <col min="12977" max="12977" width="8.875" style="3038" bestFit="1" customWidth="1"/>
    <col min="12978" max="12978" width="7.875" style="3038"/>
    <col min="12979" max="12979" width="9.875" style="3038" bestFit="1" customWidth="1"/>
    <col min="12980" max="12980" width="8.875" style="3038" bestFit="1" customWidth="1"/>
    <col min="12981" max="12981" width="7.875" style="3038"/>
    <col min="12982" max="12982" width="9.875" style="3038" bestFit="1" customWidth="1"/>
    <col min="12983" max="12983" width="8.875" style="3038" bestFit="1" customWidth="1"/>
    <col min="12984" max="12984" width="7.875" style="3038"/>
    <col min="12985" max="12985" width="9.875" style="3038" bestFit="1" customWidth="1"/>
    <col min="12986" max="12986" width="11.125" style="3038" bestFit="1" customWidth="1"/>
    <col min="12987" max="12987" width="9.125" style="3038" bestFit="1" customWidth="1"/>
    <col min="12988" max="12988" width="9.875" style="3038" bestFit="1" customWidth="1"/>
    <col min="12989" max="12989" width="11.125" style="3038" bestFit="1" customWidth="1"/>
    <col min="12990" max="12990" width="7.875" style="3038"/>
    <col min="12991" max="12991" width="9.25" style="3038" customWidth="1"/>
    <col min="12992" max="13056" width="7.875" style="3038"/>
    <col min="13057" max="13057" width="3.875" style="3038" customWidth="1"/>
    <col min="13058" max="13058" width="10.375" style="3038" customWidth="1"/>
    <col min="13059" max="13059" width="11.375" style="3038" bestFit="1" customWidth="1"/>
    <col min="13060" max="13060" width="10.5" style="3038" customWidth="1"/>
    <col min="13061" max="13061" width="11.625" style="3038" customWidth="1"/>
    <col min="13062" max="13062" width="9.875" style="3038" customWidth="1"/>
    <col min="13063" max="13063" width="11.875" style="3038" customWidth="1"/>
    <col min="13064" max="13064" width="12.75" style="3038" customWidth="1"/>
    <col min="13065" max="13065" width="11" style="3038" customWidth="1"/>
    <col min="13066" max="13066" width="12.75" style="3038" customWidth="1"/>
    <col min="13067" max="13067" width="14" style="3038" customWidth="1"/>
    <col min="13068" max="13068" width="9.375" style="3038" customWidth="1"/>
    <col min="13069" max="13069" width="10.875" style="3038" customWidth="1"/>
    <col min="13070" max="13070" width="12.25" style="3038" customWidth="1"/>
    <col min="13071" max="13071" width="10.375" style="3038" customWidth="1"/>
    <col min="13072" max="13072" width="8.5" style="3038" customWidth="1"/>
    <col min="13073" max="13073" width="12" style="3038" customWidth="1"/>
    <col min="13074" max="13074" width="10.875" style="3038" bestFit="1" customWidth="1"/>
    <col min="13075" max="13075" width="10.5" style="3038" bestFit="1" customWidth="1"/>
    <col min="13076" max="13076" width="10.875" style="3038" bestFit="1" customWidth="1"/>
    <col min="13077" max="13078" width="11" style="3038" customWidth="1"/>
    <col min="13079" max="13079" width="9.375" style="3038" customWidth="1"/>
    <col min="13080" max="13080" width="7.125" style="3038" customWidth="1"/>
    <col min="13081" max="13082" width="11.75" style="3038" customWidth="1"/>
    <col min="13083" max="13083" width="13" style="3038" customWidth="1"/>
    <col min="13084" max="13084" width="10.75" style="3038" customWidth="1"/>
    <col min="13085" max="13086" width="7.375" style="3038" customWidth="1"/>
    <col min="13087" max="13087" width="10.25" style="3038" customWidth="1"/>
    <col min="13088" max="13097" width="8.625" style="3038" customWidth="1"/>
    <col min="13098" max="13099" width="14.125" style="3038" bestFit="1" customWidth="1"/>
    <col min="13100" max="13101" width="10.25" style="3038" customWidth="1"/>
    <col min="13102" max="13102" width="10.125" style="3038" customWidth="1"/>
    <col min="13103" max="13103" width="8.875" style="3038" customWidth="1"/>
    <col min="13104" max="13104" width="9.375" style="3038" customWidth="1"/>
    <col min="13105" max="13105" width="13.25" style="3038" customWidth="1"/>
    <col min="13106" max="13106" width="13" style="3038" customWidth="1"/>
    <col min="13107" max="13107" width="10.875" style="3038" customWidth="1"/>
    <col min="13108" max="13108" width="9.375" style="3038" customWidth="1"/>
    <col min="13109" max="13109" width="10.875" style="3038" customWidth="1"/>
    <col min="13110" max="13110" width="10.5" style="3038" customWidth="1"/>
    <col min="13111" max="13111" width="8.125" style="3038" customWidth="1"/>
    <col min="13112" max="13112" width="8.625" style="3038" customWidth="1"/>
    <col min="13113" max="13113" width="10.75" style="3038" customWidth="1"/>
    <col min="13114" max="13114" width="9.625" style="3038" customWidth="1"/>
    <col min="13115" max="13115" width="9.5" style="3038" customWidth="1"/>
    <col min="13116" max="13116" width="11" style="3038" customWidth="1"/>
    <col min="13117" max="13117" width="9.25" style="3038" customWidth="1"/>
    <col min="13118" max="13119" width="11" style="3038" customWidth="1"/>
    <col min="13120" max="13120" width="9.625" style="3038" customWidth="1"/>
    <col min="13121" max="13123" width="10.75" style="3038" bestFit="1" customWidth="1"/>
    <col min="13124" max="13124" width="10.25" style="3038" bestFit="1" customWidth="1"/>
    <col min="13125" max="13125" width="10.75" style="3038" bestFit="1" customWidth="1"/>
    <col min="13126" max="13126" width="10.25" style="3038" bestFit="1" customWidth="1"/>
    <col min="13127" max="13127" width="10.75" style="3038" bestFit="1" customWidth="1"/>
    <col min="13128" max="13128" width="10.25" style="3038" bestFit="1" customWidth="1"/>
    <col min="13129" max="13129" width="10.75" style="3038" bestFit="1" customWidth="1"/>
    <col min="13130" max="13130" width="10.25" style="3038" bestFit="1" customWidth="1"/>
    <col min="13131" max="13131" width="10.75" style="3038" bestFit="1" customWidth="1"/>
    <col min="13132" max="13132" width="10.25" style="3038" bestFit="1" customWidth="1"/>
    <col min="13133" max="13133" width="10.375" style="3038" customWidth="1"/>
    <col min="13134" max="13134" width="10.25" style="3038" customWidth="1"/>
    <col min="13135" max="13135" width="10.375" style="3038" customWidth="1"/>
    <col min="13136" max="13137" width="10.5" style="3038" customWidth="1"/>
    <col min="13138" max="13138" width="11.125" style="3038" customWidth="1"/>
    <col min="13139" max="13139" width="9.875" style="3038" customWidth="1"/>
    <col min="13140" max="13140" width="10.25" style="3038" customWidth="1"/>
    <col min="13141" max="13141" width="9.875" style="3038" customWidth="1"/>
    <col min="13142" max="13142" width="10" style="3038" customWidth="1"/>
    <col min="13143" max="13143" width="9.75" style="3038" customWidth="1"/>
    <col min="13144" max="13168" width="9.625" style="3038" customWidth="1"/>
    <col min="13169" max="13169" width="13.625" style="3038" bestFit="1" customWidth="1"/>
    <col min="13170" max="13170" width="12.375" style="3038" bestFit="1" customWidth="1"/>
    <col min="13171" max="13171" width="9.875" style="3038" bestFit="1" customWidth="1"/>
    <col min="13172" max="13172" width="10.375" style="3038" customWidth="1"/>
    <col min="13173" max="13173" width="9.25" style="3038" customWidth="1"/>
    <col min="13174" max="13174" width="12.625" style="3038" customWidth="1"/>
    <col min="13175" max="13175" width="9.875" style="3038" bestFit="1" customWidth="1"/>
    <col min="13176" max="13176" width="9.125" style="3038" bestFit="1" customWidth="1"/>
    <col min="13177" max="13178" width="9.875" style="3038" bestFit="1" customWidth="1"/>
    <col min="13179" max="13179" width="9.125" style="3038" bestFit="1" customWidth="1"/>
    <col min="13180" max="13181" width="9.875" style="3038" bestFit="1" customWidth="1"/>
    <col min="13182" max="13182" width="11.125" style="3038" bestFit="1" customWidth="1"/>
    <col min="13183" max="13184" width="9.875" style="3038" bestFit="1" customWidth="1"/>
    <col min="13185" max="13185" width="11.125" style="3038" bestFit="1" customWidth="1"/>
    <col min="13186" max="13187" width="9.875" style="3038" bestFit="1" customWidth="1"/>
    <col min="13188" max="13188" width="11.125" style="3038" bestFit="1" customWidth="1"/>
    <col min="13189" max="13189" width="9.125" style="3038" bestFit="1" customWidth="1"/>
    <col min="13190" max="13190" width="9.875" style="3038" bestFit="1" customWidth="1"/>
    <col min="13191" max="13191" width="11.125" style="3038" bestFit="1" customWidth="1"/>
    <col min="13192" max="13192" width="9.125" style="3038" bestFit="1" customWidth="1"/>
    <col min="13193" max="13193" width="9.875" style="3038" bestFit="1" customWidth="1"/>
    <col min="13194" max="13194" width="11.125" style="3038" bestFit="1" customWidth="1"/>
    <col min="13195" max="13195" width="9.125" style="3038" bestFit="1" customWidth="1"/>
    <col min="13196" max="13196" width="9.875" style="3038" bestFit="1" customWidth="1"/>
    <col min="13197" max="13197" width="11.125" style="3038" bestFit="1" customWidth="1"/>
    <col min="13198" max="13198" width="9.125" style="3038" bestFit="1" customWidth="1"/>
    <col min="13199" max="13199" width="9.875" style="3038" bestFit="1" customWidth="1"/>
    <col min="13200" max="13200" width="11.125" style="3038" bestFit="1" customWidth="1"/>
    <col min="13201" max="13201" width="9.125" style="3038" bestFit="1" customWidth="1"/>
    <col min="13202" max="13202" width="9.875" style="3038" bestFit="1" customWidth="1"/>
    <col min="13203" max="13203" width="11.125" style="3038" bestFit="1" customWidth="1"/>
    <col min="13204" max="13204" width="9.125" style="3038" bestFit="1" customWidth="1"/>
    <col min="13205" max="13205" width="9.875" style="3038" bestFit="1" customWidth="1"/>
    <col min="13206" max="13206" width="11.125" style="3038" bestFit="1" customWidth="1"/>
    <col min="13207" max="13207" width="9.125" style="3038" bestFit="1" customWidth="1"/>
    <col min="13208" max="13208" width="9.875" style="3038" bestFit="1" customWidth="1"/>
    <col min="13209" max="13209" width="11.125" style="3038" bestFit="1" customWidth="1"/>
    <col min="13210" max="13210" width="9.125" style="3038" bestFit="1" customWidth="1"/>
    <col min="13211" max="13211" width="9.875" style="3038" bestFit="1" customWidth="1"/>
    <col min="13212" max="13212" width="11.125" style="3038" bestFit="1" customWidth="1"/>
    <col min="13213" max="13213" width="7.875" style="3038" customWidth="1"/>
    <col min="13214" max="13215" width="9.875" style="3038" bestFit="1" customWidth="1"/>
    <col min="13216" max="13216" width="7.875" style="3038"/>
    <col min="13217" max="13218" width="9.875" style="3038" bestFit="1" customWidth="1"/>
    <col min="13219" max="13219" width="7.875" style="3038"/>
    <col min="13220" max="13221" width="9.875" style="3038" bestFit="1" customWidth="1"/>
    <col min="13222" max="13222" width="7.875" style="3038"/>
    <col min="13223" max="13224" width="9.875" style="3038" bestFit="1" customWidth="1"/>
    <col min="13225" max="13225" width="7.875" style="3038"/>
    <col min="13226" max="13226" width="9.875" style="3038" bestFit="1" customWidth="1"/>
    <col min="13227" max="13227" width="8.875" style="3038" bestFit="1" customWidth="1"/>
    <col min="13228" max="13228" width="7.875" style="3038"/>
    <col min="13229" max="13229" width="9.875" style="3038" bestFit="1" customWidth="1"/>
    <col min="13230" max="13230" width="8.875" style="3038" bestFit="1" customWidth="1"/>
    <col min="13231" max="13231" width="7.875" style="3038"/>
    <col min="13232" max="13232" width="9.875" style="3038" bestFit="1" customWidth="1"/>
    <col min="13233" max="13233" width="8.875" style="3038" bestFit="1" customWidth="1"/>
    <col min="13234" max="13234" width="7.875" style="3038"/>
    <col min="13235" max="13235" width="9.875" style="3038" bestFit="1" customWidth="1"/>
    <col min="13236" max="13236" width="8.875" style="3038" bestFit="1" customWidth="1"/>
    <col min="13237" max="13237" width="7.875" style="3038"/>
    <col min="13238" max="13238" width="9.875" style="3038" bestFit="1" customWidth="1"/>
    <col min="13239" max="13239" width="8.875" style="3038" bestFit="1" customWidth="1"/>
    <col min="13240" max="13240" width="7.875" style="3038"/>
    <col min="13241" max="13241" width="9.875" style="3038" bestFit="1" customWidth="1"/>
    <col min="13242" max="13242" width="11.125" style="3038" bestFit="1" customWidth="1"/>
    <col min="13243" max="13243" width="9.125" style="3038" bestFit="1" customWidth="1"/>
    <col min="13244" max="13244" width="9.875" style="3038" bestFit="1" customWidth="1"/>
    <col min="13245" max="13245" width="11.125" style="3038" bestFit="1" customWidth="1"/>
    <col min="13246" max="13246" width="7.875" style="3038"/>
    <col min="13247" max="13247" width="9.25" style="3038" customWidth="1"/>
    <col min="13248" max="13312" width="7.875" style="3038"/>
    <col min="13313" max="13313" width="3.875" style="3038" customWidth="1"/>
    <col min="13314" max="13314" width="10.375" style="3038" customWidth="1"/>
    <col min="13315" max="13315" width="11.375" style="3038" bestFit="1" customWidth="1"/>
    <col min="13316" max="13316" width="10.5" style="3038" customWidth="1"/>
    <col min="13317" max="13317" width="11.625" style="3038" customWidth="1"/>
    <col min="13318" max="13318" width="9.875" style="3038" customWidth="1"/>
    <col min="13319" max="13319" width="11.875" style="3038" customWidth="1"/>
    <col min="13320" max="13320" width="12.75" style="3038" customWidth="1"/>
    <col min="13321" max="13321" width="11" style="3038" customWidth="1"/>
    <col min="13322" max="13322" width="12.75" style="3038" customWidth="1"/>
    <col min="13323" max="13323" width="14" style="3038" customWidth="1"/>
    <col min="13324" max="13324" width="9.375" style="3038" customWidth="1"/>
    <col min="13325" max="13325" width="10.875" style="3038" customWidth="1"/>
    <col min="13326" max="13326" width="12.25" style="3038" customWidth="1"/>
    <col min="13327" max="13327" width="10.375" style="3038" customWidth="1"/>
    <col min="13328" max="13328" width="8.5" style="3038" customWidth="1"/>
    <col min="13329" max="13329" width="12" style="3038" customWidth="1"/>
    <col min="13330" max="13330" width="10.875" style="3038" bestFit="1" customWidth="1"/>
    <col min="13331" max="13331" width="10.5" style="3038" bestFit="1" customWidth="1"/>
    <col min="13332" max="13332" width="10.875" style="3038" bestFit="1" customWidth="1"/>
    <col min="13333" max="13334" width="11" style="3038" customWidth="1"/>
    <col min="13335" max="13335" width="9.375" style="3038" customWidth="1"/>
    <col min="13336" max="13336" width="7.125" style="3038" customWidth="1"/>
    <col min="13337" max="13338" width="11.75" style="3038" customWidth="1"/>
    <col min="13339" max="13339" width="13" style="3038" customWidth="1"/>
    <col min="13340" max="13340" width="10.75" style="3038" customWidth="1"/>
    <col min="13341" max="13342" width="7.375" style="3038" customWidth="1"/>
    <col min="13343" max="13343" width="10.25" style="3038" customWidth="1"/>
    <col min="13344" max="13353" width="8.625" style="3038" customWidth="1"/>
    <col min="13354" max="13355" width="14.125" style="3038" bestFit="1" customWidth="1"/>
    <col min="13356" max="13357" width="10.25" style="3038" customWidth="1"/>
    <col min="13358" max="13358" width="10.125" style="3038" customWidth="1"/>
    <col min="13359" max="13359" width="8.875" style="3038" customWidth="1"/>
    <col min="13360" max="13360" width="9.375" style="3038" customWidth="1"/>
    <col min="13361" max="13361" width="13.25" style="3038" customWidth="1"/>
    <col min="13362" max="13362" width="13" style="3038" customWidth="1"/>
    <col min="13363" max="13363" width="10.875" style="3038" customWidth="1"/>
    <col min="13364" max="13364" width="9.375" style="3038" customWidth="1"/>
    <col min="13365" max="13365" width="10.875" style="3038" customWidth="1"/>
    <col min="13366" max="13366" width="10.5" style="3038" customWidth="1"/>
    <col min="13367" max="13367" width="8.125" style="3038" customWidth="1"/>
    <col min="13368" max="13368" width="8.625" style="3038" customWidth="1"/>
    <col min="13369" max="13369" width="10.75" style="3038" customWidth="1"/>
    <col min="13370" max="13370" width="9.625" style="3038" customWidth="1"/>
    <col min="13371" max="13371" width="9.5" style="3038" customWidth="1"/>
    <col min="13372" max="13372" width="11" style="3038" customWidth="1"/>
    <col min="13373" max="13373" width="9.25" style="3038" customWidth="1"/>
    <col min="13374" max="13375" width="11" style="3038" customWidth="1"/>
    <col min="13376" max="13376" width="9.625" style="3038" customWidth="1"/>
    <col min="13377" max="13379" width="10.75" style="3038" bestFit="1" customWidth="1"/>
    <col min="13380" max="13380" width="10.25" style="3038" bestFit="1" customWidth="1"/>
    <col min="13381" max="13381" width="10.75" style="3038" bestFit="1" customWidth="1"/>
    <col min="13382" max="13382" width="10.25" style="3038" bestFit="1" customWidth="1"/>
    <col min="13383" max="13383" width="10.75" style="3038" bestFit="1" customWidth="1"/>
    <col min="13384" max="13384" width="10.25" style="3038" bestFit="1" customWidth="1"/>
    <col min="13385" max="13385" width="10.75" style="3038" bestFit="1" customWidth="1"/>
    <col min="13386" max="13386" width="10.25" style="3038" bestFit="1" customWidth="1"/>
    <col min="13387" max="13387" width="10.75" style="3038" bestFit="1" customWidth="1"/>
    <col min="13388" max="13388" width="10.25" style="3038" bestFit="1" customWidth="1"/>
    <col min="13389" max="13389" width="10.375" style="3038" customWidth="1"/>
    <col min="13390" max="13390" width="10.25" style="3038" customWidth="1"/>
    <col min="13391" max="13391" width="10.375" style="3038" customWidth="1"/>
    <col min="13392" max="13393" width="10.5" style="3038" customWidth="1"/>
    <col min="13394" max="13394" width="11.125" style="3038" customWidth="1"/>
    <col min="13395" max="13395" width="9.875" style="3038" customWidth="1"/>
    <col min="13396" max="13396" width="10.25" style="3038" customWidth="1"/>
    <col min="13397" max="13397" width="9.875" style="3038" customWidth="1"/>
    <col min="13398" max="13398" width="10" style="3038" customWidth="1"/>
    <col min="13399" max="13399" width="9.75" style="3038" customWidth="1"/>
    <col min="13400" max="13424" width="9.625" style="3038" customWidth="1"/>
    <col min="13425" max="13425" width="13.625" style="3038" bestFit="1" customWidth="1"/>
    <col min="13426" max="13426" width="12.375" style="3038" bestFit="1" customWidth="1"/>
    <col min="13427" max="13427" width="9.875" style="3038" bestFit="1" customWidth="1"/>
    <col min="13428" max="13428" width="10.375" style="3038" customWidth="1"/>
    <col min="13429" max="13429" width="9.25" style="3038" customWidth="1"/>
    <col min="13430" max="13430" width="12.625" style="3038" customWidth="1"/>
    <col min="13431" max="13431" width="9.875" style="3038" bestFit="1" customWidth="1"/>
    <col min="13432" max="13432" width="9.125" style="3038" bestFit="1" customWidth="1"/>
    <col min="13433" max="13434" width="9.875" style="3038" bestFit="1" customWidth="1"/>
    <col min="13435" max="13435" width="9.125" style="3038" bestFit="1" customWidth="1"/>
    <col min="13436" max="13437" width="9.875" style="3038" bestFit="1" customWidth="1"/>
    <col min="13438" max="13438" width="11.125" style="3038" bestFit="1" customWidth="1"/>
    <col min="13439" max="13440" width="9.875" style="3038" bestFit="1" customWidth="1"/>
    <col min="13441" max="13441" width="11.125" style="3038" bestFit="1" customWidth="1"/>
    <col min="13442" max="13443" width="9.875" style="3038" bestFit="1" customWidth="1"/>
    <col min="13444" max="13444" width="11.125" style="3038" bestFit="1" customWidth="1"/>
    <col min="13445" max="13445" width="9.125" style="3038" bestFit="1" customWidth="1"/>
    <col min="13446" max="13446" width="9.875" style="3038" bestFit="1" customWidth="1"/>
    <col min="13447" max="13447" width="11.125" style="3038" bestFit="1" customWidth="1"/>
    <col min="13448" max="13448" width="9.125" style="3038" bestFit="1" customWidth="1"/>
    <col min="13449" max="13449" width="9.875" style="3038" bestFit="1" customWidth="1"/>
    <col min="13450" max="13450" width="11.125" style="3038" bestFit="1" customWidth="1"/>
    <col min="13451" max="13451" width="9.125" style="3038" bestFit="1" customWidth="1"/>
    <col min="13452" max="13452" width="9.875" style="3038" bestFit="1" customWidth="1"/>
    <col min="13453" max="13453" width="11.125" style="3038" bestFit="1" customWidth="1"/>
    <col min="13454" max="13454" width="9.125" style="3038" bestFit="1" customWidth="1"/>
    <col min="13455" max="13455" width="9.875" style="3038" bestFit="1" customWidth="1"/>
    <col min="13456" max="13456" width="11.125" style="3038" bestFit="1" customWidth="1"/>
    <col min="13457" max="13457" width="9.125" style="3038" bestFit="1" customWidth="1"/>
    <col min="13458" max="13458" width="9.875" style="3038" bestFit="1" customWidth="1"/>
    <col min="13459" max="13459" width="11.125" style="3038" bestFit="1" customWidth="1"/>
    <col min="13460" max="13460" width="9.125" style="3038" bestFit="1" customWidth="1"/>
    <col min="13461" max="13461" width="9.875" style="3038" bestFit="1" customWidth="1"/>
    <col min="13462" max="13462" width="11.125" style="3038" bestFit="1" customWidth="1"/>
    <col min="13463" max="13463" width="9.125" style="3038" bestFit="1" customWidth="1"/>
    <col min="13464" max="13464" width="9.875" style="3038" bestFit="1" customWidth="1"/>
    <col min="13465" max="13465" width="11.125" style="3038" bestFit="1" customWidth="1"/>
    <col min="13466" max="13466" width="9.125" style="3038" bestFit="1" customWidth="1"/>
    <col min="13467" max="13467" width="9.875" style="3038" bestFit="1" customWidth="1"/>
    <col min="13468" max="13468" width="11.125" style="3038" bestFit="1" customWidth="1"/>
    <col min="13469" max="13469" width="7.875" style="3038" customWidth="1"/>
    <col min="13470" max="13471" width="9.875" style="3038" bestFit="1" customWidth="1"/>
    <col min="13472" max="13472" width="7.875" style="3038"/>
    <col min="13473" max="13474" width="9.875" style="3038" bestFit="1" customWidth="1"/>
    <col min="13475" max="13475" width="7.875" style="3038"/>
    <col min="13476" max="13477" width="9.875" style="3038" bestFit="1" customWidth="1"/>
    <col min="13478" max="13478" width="7.875" style="3038"/>
    <col min="13479" max="13480" width="9.875" style="3038" bestFit="1" customWidth="1"/>
    <col min="13481" max="13481" width="7.875" style="3038"/>
    <col min="13482" max="13482" width="9.875" style="3038" bestFit="1" customWidth="1"/>
    <col min="13483" max="13483" width="8.875" style="3038" bestFit="1" customWidth="1"/>
    <col min="13484" max="13484" width="7.875" style="3038"/>
    <col min="13485" max="13485" width="9.875" style="3038" bestFit="1" customWidth="1"/>
    <col min="13486" max="13486" width="8.875" style="3038" bestFit="1" customWidth="1"/>
    <col min="13487" max="13487" width="7.875" style="3038"/>
    <col min="13488" max="13488" width="9.875" style="3038" bestFit="1" customWidth="1"/>
    <col min="13489" max="13489" width="8.875" style="3038" bestFit="1" customWidth="1"/>
    <col min="13490" max="13490" width="7.875" style="3038"/>
    <col min="13491" max="13491" width="9.875" style="3038" bestFit="1" customWidth="1"/>
    <col min="13492" max="13492" width="8.875" style="3038" bestFit="1" customWidth="1"/>
    <col min="13493" max="13493" width="7.875" style="3038"/>
    <col min="13494" max="13494" width="9.875" style="3038" bestFit="1" customWidth="1"/>
    <col min="13495" max="13495" width="8.875" style="3038" bestFit="1" customWidth="1"/>
    <col min="13496" max="13496" width="7.875" style="3038"/>
    <col min="13497" max="13497" width="9.875" style="3038" bestFit="1" customWidth="1"/>
    <col min="13498" max="13498" width="11.125" style="3038" bestFit="1" customWidth="1"/>
    <col min="13499" max="13499" width="9.125" style="3038" bestFit="1" customWidth="1"/>
    <col min="13500" max="13500" width="9.875" style="3038" bestFit="1" customWidth="1"/>
    <col min="13501" max="13501" width="11.125" style="3038" bestFit="1" customWidth="1"/>
    <col min="13502" max="13502" width="7.875" style="3038"/>
    <col min="13503" max="13503" width="9.25" style="3038" customWidth="1"/>
    <col min="13504" max="13568" width="7.875" style="3038"/>
    <col min="13569" max="13569" width="3.875" style="3038" customWidth="1"/>
    <col min="13570" max="13570" width="10.375" style="3038" customWidth="1"/>
    <col min="13571" max="13571" width="11.375" style="3038" bestFit="1" customWidth="1"/>
    <col min="13572" max="13572" width="10.5" style="3038" customWidth="1"/>
    <col min="13573" max="13573" width="11.625" style="3038" customWidth="1"/>
    <col min="13574" max="13574" width="9.875" style="3038" customWidth="1"/>
    <col min="13575" max="13575" width="11.875" style="3038" customWidth="1"/>
    <col min="13576" max="13576" width="12.75" style="3038" customWidth="1"/>
    <col min="13577" max="13577" width="11" style="3038" customWidth="1"/>
    <col min="13578" max="13578" width="12.75" style="3038" customWidth="1"/>
    <col min="13579" max="13579" width="14" style="3038" customWidth="1"/>
    <col min="13580" max="13580" width="9.375" style="3038" customWidth="1"/>
    <col min="13581" max="13581" width="10.875" style="3038" customWidth="1"/>
    <col min="13582" max="13582" width="12.25" style="3038" customWidth="1"/>
    <col min="13583" max="13583" width="10.375" style="3038" customWidth="1"/>
    <col min="13584" max="13584" width="8.5" style="3038" customWidth="1"/>
    <col min="13585" max="13585" width="12" style="3038" customWidth="1"/>
    <col min="13586" max="13586" width="10.875" style="3038" bestFit="1" customWidth="1"/>
    <col min="13587" max="13587" width="10.5" style="3038" bestFit="1" customWidth="1"/>
    <col min="13588" max="13588" width="10.875" style="3038" bestFit="1" customWidth="1"/>
    <col min="13589" max="13590" width="11" style="3038" customWidth="1"/>
    <col min="13591" max="13591" width="9.375" style="3038" customWidth="1"/>
    <col min="13592" max="13592" width="7.125" style="3038" customWidth="1"/>
    <col min="13593" max="13594" width="11.75" style="3038" customWidth="1"/>
    <col min="13595" max="13595" width="13" style="3038" customWidth="1"/>
    <col min="13596" max="13596" width="10.75" style="3038" customWidth="1"/>
    <col min="13597" max="13598" width="7.375" style="3038" customWidth="1"/>
    <col min="13599" max="13599" width="10.25" style="3038" customWidth="1"/>
    <col min="13600" max="13609" width="8.625" style="3038" customWidth="1"/>
    <col min="13610" max="13611" width="14.125" style="3038" bestFit="1" customWidth="1"/>
    <col min="13612" max="13613" width="10.25" style="3038" customWidth="1"/>
    <col min="13614" max="13614" width="10.125" style="3038" customWidth="1"/>
    <col min="13615" max="13615" width="8.875" style="3038" customWidth="1"/>
    <col min="13616" max="13616" width="9.375" style="3038" customWidth="1"/>
    <col min="13617" max="13617" width="13.25" style="3038" customWidth="1"/>
    <col min="13618" max="13618" width="13" style="3038" customWidth="1"/>
    <col min="13619" max="13619" width="10.875" style="3038" customWidth="1"/>
    <col min="13620" max="13620" width="9.375" style="3038" customWidth="1"/>
    <col min="13621" max="13621" width="10.875" style="3038" customWidth="1"/>
    <col min="13622" max="13622" width="10.5" style="3038" customWidth="1"/>
    <col min="13623" max="13623" width="8.125" style="3038" customWidth="1"/>
    <col min="13624" max="13624" width="8.625" style="3038" customWidth="1"/>
    <col min="13625" max="13625" width="10.75" style="3038" customWidth="1"/>
    <col min="13626" max="13626" width="9.625" style="3038" customWidth="1"/>
    <col min="13627" max="13627" width="9.5" style="3038" customWidth="1"/>
    <col min="13628" max="13628" width="11" style="3038" customWidth="1"/>
    <col min="13629" max="13629" width="9.25" style="3038" customWidth="1"/>
    <col min="13630" max="13631" width="11" style="3038" customWidth="1"/>
    <col min="13632" max="13632" width="9.625" style="3038" customWidth="1"/>
    <col min="13633" max="13635" width="10.75" style="3038" bestFit="1" customWidth="1"/>
    <col min="13636" max="13636" width="10.25" style="3038" bestFit="1" customWidth="1"/>
    <col min="13637" max="13637" width="10.75" style="3038" bestFit="1" customWidth="1"/>
    <col min="13638" max="13638" width="10.25" style="3038" bestFit="1" customWidth="1"/>
    <col min="13639" max="13639" width="10.75" style="3038" bestFit="1" customWidth="1"/>
    <col min="13640" max="13640" width="10.25" style="3038" bestFit="1" customWidth="1"/>
    <col min="13641" max="13641" width="10.75" style="3038" bestFit="1" customWidth="1"/>
    <col min="13642" max="13642" width="10.25" style="3038" bestFit="1" customWidth="1"/>
    <col min="13643" max="13643" width="10.75" style="3038" bestFit="1" customWidth="1"/>
    <col min="13644" max="13644" width="10.25" style="3038" bestFit="1" customWidth="1"/>
    <col min="13645" max="13645" width="10.375" style="3038" customWidth="1"/>
    <col min="13646" max="13646" width="10.25" style="3038" customWidth="1"/>
    <col min="13647" max="13647" width="10.375" style="3038" customWidth="1"/>
    <col min="13648" max="13649" width="10.5" style="3038" customWidth="1"/>
    <col min="13650" max="13650" width="11.125" style="3038" customWidth="1"/>
    <col min="13651" max="13651" width="9.875" style="3038" customWidth="1"/>
    <col min="13652" max="13652" width="10.25" style="3038" customWidth="1"/>
    <col min="13653" max="13653" width="9.875" style="3038" customWidth="1"/>
    <col min="13654" max="13654" width="10" style="3038" customWidth="1"/>
    <col min="13655" max="13655" width="9.75" style="3038" customWidth="1"/>
    <col min="13656" max="13680" width="9.625" style="3038" customWidth="1"/>
    <col min="13681" max="13681" width="13.625" style="3038" bestFit="1" customWidth="1"/>
    <col min="13682" max="13682" width="12.375" style="3038" bestFit="1" customWidth="1"/>
    <col min="13683" max="13683" width="9.875" style="3038" bestFit="1" customWidth="1"/>
    <col min="13684" max="13684" width="10.375" style="3038" customWidth="1"/>
    <col min="13685" max="13685" width="9.25" style="3038" customWidth="1"/>
    <col min="13686" max="13686" width="12.625" style="3038" customWidth="1"/>
    <col min="13687" max="13687" width="9.875" style="3038" bestFit="1" customWidth="1"/>
    <col min="13688" max="13688" width="9.125" style="3038" bestFit="1" customWidth="1"/>
    <col min="13689" max="13690" width="9.875" style="3038" bestFit="1" customWidth="1"/>
    <col min="13691" max="13691" width="9.125" style="3038" bestFit="1" customWidth="1"/>
    <col min="13692" max="13693" width="9.875" style="3038" bestFit="1" customWidth="1"/>
    <col min="13694" max="13694" width="11.125" style="3038" bestFit="1" customWidth="1"/>
    <col min="13695" max="13696" width="9.875" style="3038" bestFit="1" customWidth="1"/>
    <col min="13697" max="13697" width="11.125" style="3038" bestFit="1" customWidth="1"/>
    <col min="13698" max="13699" width="9.875" style="3038" bestFit="1" customWidth="1"/>
    <col min="13700" max="13700" width="11.125" style="3038" bestFit="1" customWidth="1"/>
    <col min="13701" max="13701" width="9.125" style="3038" bestFit="1" customWidth="1"/>
    <col min="13702" max="13702" width="9.875" style="3038" bestFit="1" customWidth="1"/>
    <col min="13703" max="13703" width="11.125" style="3038" bestFit="1" customWidth="1"/>
    <col min="13704" max="13704" width="9.125" style="3038" bestFit="1" customWidth="1"/>
    <col min="13705" max="13705" width="9.875" style="3038" bestFit="1" customWidth="1"/>
    <col min="13706" max="13706" width="11.125" style="3038" bestFit="1" customWidth="1"/>
    <col min="13707" max="13707" width="9.125" style="3038" bestFit="1" customWidth="1"/>
    <col min="13708" max="13708" width="9.875" style="3038" bestFit="1" customWidth="1"/>
    <col min="13709" max="13709" width="11.125" style="3038" bestFit="1" customWidth="1"/>
    <col min="13710" max="13710" width="9.125" style="3038" bestFit="1" customWidth="1"/>
    <col min="13711" max="13711" width="9.875" style="3038" bestFit="1" customWidth="1"/>
    <col min="13712" max="13712" width="11.125" style="3038" bestFit="1" customWidth="1"/>
    <col min="13713" max="13713" width="9.125" style="3038" bestFit="1" customWidth="1"/>
    <col min="13714" max="13714" width="9.875" style="3038" bestFit="1" customWidth="1"/>
    <col min="13715" max="13715" width="11.125" style="3038" bestFit="1" customWidth="1"/>
    <col min="13716" max="13716" width="9.125" style="3038" bestFit="1" customWidth="1"/>
    <col min="13717" max="13717" width="9.875" style="3038" bestFit="1" customWidth="1"/>
    <col min="13718" max="13718" width="11.125" style="3038" bestFit="1" customWidth="1"/>
    <col min="13719" max="13719" width="9.125" style="3038" bestFit="1" customWidth="1"/>
    <col min="13720" max="13720" width="9.875" style="3038" bestFit="1" customWidth="1"/>
    <col min="13721" max="13721" width="11.125" style="3038" bestFit="1" customWidth="1"/>
    <col min="13722" max="13722" width="9.125" style="3038" bestFit="1" customWidth="1"/>
    <col min="13723" max="13723" width="9.875" style="3038" bestFit="1" customWidth="1"/>
    <col min="13724" max="13724" width="11.125" style="3038" bestFit="1" customWidth="1"/>
    <col min="13725" max="13725" width="7.875" style="3038" customWidth="1"/>
    <col min="13726" max="13727" width="9.875" style="3038" bestFit="1" customWidth="1"/>
    <col min="13728" max="13728" width="7.875" style="3038"/>
    <col min="13729" max="13730" width="9.875" style="3038" bestFit="1" customWidth="1"/>
    <col min="13731" max="13731" width="7.875" style="3038"/>
    <col min="13732" max="13733" width="9.875" style="3038" bestFit="1" customWidth="1"/>
    <col min="13734" max="13734" width="7.875" style="3038"/>
    <col min="13735" max="13736" width="9.875" style="3038" bestFit="1" customWidth="1"/>
    <col min="13737" max="13737" width="7.875" style="3038"/>
    <col min="13738" max="13738" width="9.875" style="3038" bestFit="1" customWidth="1"/>
    <col min="13739" max="13739" width="8.875" style="3038" bestFit="1" customWidth="1"/>
    <col min="13740" max="13740" width="7.875" style="3038"/>
    <col min="13741" max="13741" width="9.875" style="3038" bestFit="1" customWidth="1"/>
    <col min="13742" max="13742" width="8.875" style="3038" bestFit="1" customWidth="1"/>
    <col min="13743" max="13743" width="7.875" style="3038"/>
    <col min="13744" max="13744" width="9.875" style="3038" bestFit="1" customWidth="1"/>
    <col min="13745" max="13745" width="8.875" style="3038" bestFit="1" customWidth="1"/>
    <col min="13746" max="13746" width="7.875" style="3038"/>
    <col min="13747" max="13747" width="9.875" style="3038" bestFit="1" customWidth="1"/>
    <col min="13748" max="13748" width="8.875" style="3038" bestFit="1" customWidth="1"/>
    <col min="13749" max="13749" width="7.875" style="3038"/>
    <col min="13750" max="13750" width="9.875" style="3038" bestFit="1" customWidth="1"/>
    <col min="13751" max="13751" width="8.875" style="3038" bestFit="1" customWidth="1"/>
    <col min="13752" max="13752" width="7.875" style="3038"/>
    <col min="13753" max="13753" width="9.875" style="3038" bestFit="1" customWidth="1"/>
    <col min="13754" max="13754" width="11.125" style="3038" bestFit="1" customWidth="1"/>
    <col min="13755" max="13755" width="9.125" style="3038" bestFit="1" customWidth="1"/>
    <col min="13756" max="13756" width="9.875" style="3038" bestFit="1" customWidth="1"/>
    <col min="13757" max="13757" width="11.125" style="3038" bestFit="1" customWidth="1"/>
    <col min="13758" max="13758" width="7.875" style="3038"/>
    <col min="13759" max="13759" width="9.25" style="3038" customWidth="1"/>
    <col min="13760" max="13824" width="7.875" style="3038"/>
    <col min="13825" max="13825" width="3.875" style="3038" customWidth="1"/>
    <col min="13826" max="13826" width="10.375" style="3038" customWidth="1"/>
    <col min="13827" max="13827" width="11.375" style="3038" bestFit="1" customWidth="1"/>
    <col min="13828" max="13828" width="10.5" style="3038" customWidth="1"/>
    <col min="13829" max="13829" width="11.625" style="3038" customWidth="1"/>
    <col min="13830" max="13830" width="9.875" style="3038" customWidth="1"/>
    <col min="13831" max="13831" width="11.875" style="3038" customWidth="1"/>
    <col min="13832" max="13832" width="12.75" style="3038" customWidth="1"/>
    <col min="13833" max="13833" width="11" style="3038" customWidth="1"/>
    <col min="13834" max="13834" width="12.75" style="3038" customWidth="1"/>
    <col min="13835" max="13835" width="14" style="3038" customWidth="1"/>
    <col min="13836" max="13836" width="9.375" style="3038" customWidth="1"/>
    <col min="13837" max="13837" width="10.875" style="3038" customWidth="1"/>
    <col min="13838" max="13838" width="12.25" style="3038" customWidth="1"/>
    <col min="13839" max="13839" width="10.375" style="3038" customWidth="1"/>
    <col min="13840" max="13840" width="8.5" style="3038" customWidth="1"/>
    <col min="13841" max="13841" width="12" style="3038" customWidth="1"/>
    <col min="13842" max="13842" width="10.875" style="3038" bestFit="1" customWidth="1"/>
    <col min="13843" max="13843" width="10.5" style="3038" bestFit="1" customWidth="1"/>
    <col min="13844" max="13844" width="10.875" style="3038" bestFit="1" customWidth="1"/>
    <col min="13845" max="13846" width="11" style="3038" customWidth="1"/>
    <col min="13847" max="13847" width="9.375" style="3038" customWidth="1"/>
    <col min="13848" max="13848" width="7.125" style="3038" customWidth="1"/>
    <col min="13849" max="13850" width="11.75" style="3038" customWidth="1"/>
    <col min="13851" max="13851" width="13" style="3038" customWidth="1"/>
    <col min="13852" max="13852" width="10.75" style="3038" customWidth="1"/>
    <col min="13853" max="13854" width="7.375" style="3038" customWidth="1"/>
    <col min="13855" max="13855" width="10.25" style="3038" customWidth="1"/>
    <col min="13856" max="13865" width="8.625" style="3038" customWidth="1"/>
    <col min="13866" max="13867" width="14.125" style="3038" bestFit="1" customWidth="1"/>
    <col min="13868" max="13869" width="10.25" style="3038" customWidth="1"/>
    <col min="13870" max="13870" width="10.125" style="3038" customWidth="1"/>
    <col min="13871" max="13871" width="8.875" style="3038" customWidth="1"/>
    <col min="13872" max="13872" width="9.375" style="3038" customWidth="1"/>
    <col min="13873" max="13873" width="13.25" style="3038" customWidth="1"/>
    <col min="13874" max="13874" width="13" style="3038" customWidth="1"/>
    <col min="13875" max="13875" width="10.875" style="3038" customWidth="1"/>
    <col min="13876" max="13876" width="9.375" style="3038" customWidth="1"/>
    <col min="13877" max="13877" width="10.875" style="3038" customWidth="1"/>
    <col min="13878" max="13878" width="10.5" style="3038" customWidth="1"/>
    <col min="13879" max="13879" width="8.125" style="3038" customWidth="1"/>
    <col min="13880" max="13880" width="8.625" style="3038" customWidth="1"/>
    <col min="13881" max="13881" width="10.75" style="3038" customWidth="1"/>
    <col min="13882" max="13882" width="9.625" style="3038" customWidth="1"/>
    <col min="13883" max="13883" width="9.5" style="3038" customWidth="1"/>
    <col min="13884" max="13884" width="11" style="3038" customWidth="1"/>
    <col min="13885" max="13885" width="9.25" style="3038" customWidth="1"/>
    <col min="13886" max="13887" width="11" style="3038" customWidth="1"/>
    <col min="13888" max="13888" width="9.625" style="3038" customWidth="1"/>
    <col min="13889" max="13891" width="10.75" style="3038" bestFit="1" customWidth="1"/>
    <col min="13892" max="13892" width="10.25" style="3038" bestFit="1" customWidth="1"/>
    <col min="13893" max="13893" width="10.75" style="3038" bestFit="1" customWidth="1"/>
    <col min="13894" max="13894" width="10.25" style="3038" bestFit="1" customWidth="1"/>
    <col min="13895" max="13895" width="10.75" style="3038" bestFit="1" customWidth="1"/>
    <col min="13896" max="13896" width="10.25" style="3038" bestFit="1" customWidth="1"/>
    <col min="13897" max="13897" width="10.75" style="3038" bestFit="1" customWidth="1"/>
    <col min="13898" max="13898" width="10.25" style="3038" bestFit="1" customWidth="1"/>
    <col min="13899" max="13899" width="10.75" style="3038" bestFit="1" customWidth="1"/>
    <col min="13900" max="13900" width="10.25" style="3038" bestFit="1" customWidth="1"/>
    <col min="13901" max="13901" width="10.375" style="3038" customWidth="1"/>
    <col min="13902" max="13902" width="10.25" style="3038" customWidth="1"/>
    <col min="13903" max="13903" width="10.375" style="3038" customWidth="1"/>
    <col min="13904" max="13905" width="10.5" style="3038" customWidth="1"/>
    <col min="13906" max="13906" width="11.125" style="3038" customWidth="1"/>
    <col min="13907" max="13907" width="9.875" style="3038" customWidth="1"/>
    <col min="13908" max="13908" width="10.25" style="3038" customWidth="1"/>
    <col min="13909" max="13909" width="9.875" style="3038" customWidth="1"/>
    <col min="13910" max="13910" width="10" style="3038" customWidth="1"/>
    <col min="13911" max="13911" width="9.75" style="3038" customWidth="1"/>
    <col min="13912" max="13936" width="9.625" style="3038" customWidth="1"/>
    <col min="13937" max="13937" width="13.625" style="3038" bestFit="1" customWidth="1"/>
    <col min="13938" max="13938" width="12.375" style="3038" bestFit="1" customWidth="1"/>
    <col min="13939" max="13939" width="9.875" style="3038" bestFit="1" customWidth="1"/>
    <col min="13940" max="13940" width="10.375" style="3038" customWidth="1"/>
    <col min="13941" max="13941" width="9.25" style="3038" customWidth="1"/>
    <col min="13942" max="13942" width="12.625" style="3038" customWidth="1"/>
    <col min="13943" max="13943" width="9.875" style="3038" bestFit="1" customWidth="1"/>
    <col min="13944" max="13944" width="9.125" style="3038" bestFit="1" customWidth="1"/>
    <col min="13945" max="13946" width="9.875" style="3038" bestFit="1" customWidth="1"/>
    <col min="13947" max="13947" width="9.125" style="3038" bestFit="1" customWidth="1"/>
    <col min="13948" max="13949" width="9.875" style="3038" bestFit="1" customWidth="1"/>
    <col min="13950" max="13950" width="11.125" style="3038" bestFit="1" customWidth="1"/>
    <col min="13951" max="13952" width="9.875" style="3038" bestFit="1" customWidth="1"/>
    <col min="13953" max="13953" width="11.125" style="3038" bestFit="1" customWidth="1"/>
    <col min="13954" max="13955" width="9.875" style="3038" bestFit="1" customWidth="1"/>
    <col min="13956" max="13956" width="11.125" style="3038" bestFit="1" customWidth="1"/>
    <col min="13957" max="13957" width="9.125" style="3038" bestFit="1" customWidth="1"/>
    <col min="13958" max="13958" width="9.875" style="3038" bestFit="1" customWidth="1"/>
    <col min="13959" max="13959" width="11.125" style="3038" bestFit="1" customWidth="1"/>
    <col min="13960" max="13960" width="9.125" style="3038" bestFit="1" customWidth="1"/>
    <col min="13961" max="13961" width="9.875" style="3038" bestFit="1" customWidth="1"/>
    <col min="13962" max="13962" width="11.125" style="3038" bestFit="1" customWidth="1"/>
    <col min="13963" max="13963" width="9.125" style="3038" bestFit="1" customWidth="1"/>
    <col min="13964" max="13964" width="9.875" style="3038" bestFit="1" customWidth="1"/>
    <col min="13965" max="13965" width="11.125" style="3038" bestFit="1" customWidth="1"/>
    <col min="13966" max="13966" width="9.125" style="3038" bestFit="1" customWidth="1"/>
    <col min="13967" max="13967" width="9.875" style="3038" bestFit="1" customWidth="1"/>
    <col min="13968" max="13968" width="11.125" style="3038" bestFit="1" customWidth="1"/>
    <col min="13969" max="13969" width="9.125" style="3038" bestFit="1" customWidth="1"/>
    <col min="13970" max="13970" width="9.875" style="3038" bestFit="1" customWidth="1"/>
    <col min="13971" max="13971" width="11.125" style="3038" bestFit="1" customWidth="1"/>
    <col min="13972" max="13972" width="9.125" style="3038" bestFit="1" customWidth="1"/>
    <col min="13973" max="13973" width="9.875" style="3038" bestFit="1" customWidth="1"/>
    <col min="13974" max="13974" width="11.125" style="3038" bestFit="1" customWidth="1"/>
    <col min="13975" max="13975" width="9.125" style="3038" bestFit="1" customWidth="1"/>
    <col min="13976" max="13976" width="9.875" style="3038" bestFit="1" customWidth="1"/>
    <col min="13977" max="13977" width="11.125" style="3038" bestFit="1" customWidth="1"/>
    <col min="13978" max="13978" width="9.125" style="3038" bestFit="1" customWidth="1"/>
    <col min="13979" max="13979" width="9.875" style="3038" bestFit="1" customWidth="1"/>
    <col min="13980" max="13980" width="11.125" style="3038" bestFit="1" customWidth="1"/>
    <col min="13981" max="13981" width="7.875" style="3038" customWidth="1"/>
    <col min="13982" max="13983" width="9.875" style="3038" bestFit="1" customWidth="1"/>
    <col min="13984" max="13984" width="7.875" style="3038"/>
    <col min="13985" max="13986" width="9.875" style="3038" bestFit="1" customWidth="1"/>
    <col min="13987" max="13987" width="7.875" style="3038"/>
    <col min="13988" max="13989" width="9.875" style="3038" bestFit="1" customWidth="1"/>
    <col min="13990" max="13990" width="7.875" style="3038"/>
    <col min="13991" max="13992" width="9.875" style="3038" bestFit="1" customWidth="1"/>
    <col min="13993" max="13993" width="7.875" style="3038"/>
    <col min="13994" max="13994" width="9.875" style="3038" bestFit="1" customWidth="1"/>
    <col min="13995" max="13995" width="8.875" style="3038" bestFit="1" customWidth="1"/>
    <col min="13996" max="13996" width="7.875" style="3038"/>
    <col min="13997" max="13997" width="9.875" style="3038" bestFit="1" customWidth="1"/>
    <col min="13998" max="13998" width="8.875" style="3038" bestFit="1" customWidth="1"/>
    <col min="13999" max="13999" width="7.875" style="3038"/>
    <col min="14000" max="14000" width="9.875" style="3038" bestFit="1" customWidth="1"/>
    <col min="14001" max="14001" width="8.875" style="3038" bestFit="1" customWidth="1"/>
    <col min="14002" max="14002" width="7.875" style="3038"/>
    <col min="14003" max="14003" width="9.875" style="3038" bestFit="1" customWidth="1"/>
    <col min="14004" max="14004" width="8.875" style="3038" bestFit="1" customWidth="1"/>
    <col min="14005" max="14005" width="7.875" style="3038"/>
    <col min="14006" max="14006" width="9.875" style="3038" bestFit="1" customWidth="1"/>
    <col min="14007" max="14007" width="8.875" style="3038" bestFit="1" customWidth="1"/>
    <col min="14008" max="14008" width="7.875" style="3038"/>
    <col min="14009" max="14009" width="9.875" style="3038" bestFit="1" customWidth="1"/>
    <col min="14010" max="14010" width="11.125" style="3038" bestFit="1" customWidth="1"/>
    <col min="14011" max="14011" width="9.125" style="3038" bestFit="1" customWidth="1"/>
    <col min="14012" max="14012" width="9.875" style="3038" bestFit="1" customWidth="1"/>
    <col min="14013" max="14013" width="11.125" style="3038" bestFit="1" customWidth="1"/>
    <col min="14014" max="14014" width="7.875" style="3038"/>
    <col min="14015" max="14015" width="9.25" style="3038" customWidth="1"/>
    <col min="14016" max="14080" width="7.875" style="3038"/>
    <col min="14081" max="14081" width="3.875" style="3038" customWidth="1"/>
    <col min="14082" max="14082" width="10.375" style="3038" customWidth="1"/>
    <col min="14083" max="14083" width="11.375" style="3038" bestFit="1" customWidth="1"/>
    <col min="14084" max="14084" width="10.5" style="3038" customWidth="1"/>
    <col min="14085" max="14085" width="11.625" style="3038" customWidth="1"/>
    <col min="14086" max="14086" width="9.875" style="3038" customWidth="1"/>
    <col min="14087" max="14087" width="11.875" style="3038" customWidth="1"/>
    <col min="14088" max="14088" width="12.75" style="3038" customWidth="1"/>
    <col min="14089" max="14089" width="11" style="3038" customWidth="1"/>
    <col min="14090" max="14090" width="12.75" style="3038" customWidth="1"/>
    <col min="14091" max="14091" width="14" style="3038" customWidth="1"/>
    <col min="14092" max="14092" width="9.375" style="3038" customWidth="1"/>
    <col min="14093" max="14093" width="10.875" style="3038" customWidth="1"/>
    <col min="14094" max="14094" width="12.25" style="3038" customWidth="1"/>
    <col min="14095" max="14095" width="10.375" style="3038" customWidth="1"/>
    <col min="14096" max="14096" width="8.5" style="3038" customWidth="1"/>
    <col min="14097" max="14097" width="12" style="3038" customWidth="1"/>
    <col min="14098" max="14098" width="10.875" style="3038" bestFit="1" customWidth="1"/>
    <col min="14099" max="14099" width="10.5" style="3038" bestFit="1" customWidth="1"/>
    <col min="14100" max="14100" width="10.875" style="3038" bestFit="1" customWidth="1"/>
    <col min="14101" max="14102" width="11" style="3038" customWidth="1"/>
    <col min="14103" max="14103" width="9.375" style="3038" customWidth="1"/>
    <col min="14104" max="14104" width="7.125" style="3038" customWidth="1"/>
    <col min="14105" max="14106" width="11.75" style="3038" customWidth="1"/>
    <col min="14107" max="14107" width="13" style="3038" customWidth="1"/>
    <col min="14108" max="14108" width="10.75" style="3038" customWidth="1"/>
    <col min="14109" max="14110" width="7.375" style="3038" customWidth="1"/>
    <col min="14111" max="14111" width="10.25" style="3038" customWidth="1"/>
    <col min="14112" max="14121" width="8.625" style="3038" customWidth="1"/>
    <col min="14122" max="14123" width="14.125" style="3038" bestFit="1" customWidth="1"/>
    <col min="14124" max="14125" width="10.25" style="3038" customWidth="1"/>
    <col min="14126" max="14126" width="10.125" style="3038" customWidth="1"/>
    <col min="14127" max="14127" width="8.875" style="3038" customWidth="1"/>
    <col min="14128" max="14128" width="9.375" style="3038" customWidth="1"/>
    <col min="14129" max="14129" width="13.25" style="3038" customWidth="1"/>
    <col min="14130" max="14130" width="13" style="3038" customWidth="1"/>
    <col min="14131" max="14131" width="10.875" style="3038" customWidth="1"/>
    <col min="14132" max="14132" width="9.375" style="3038" customWidth="1"/>
    <col min="14133" max="14133" width="10.875" style="3038" customWidth="1"/>
    <col min="14134" max="14134" width="10.5" style="3038" customWidth="1"/>
    <col min="14135" max="14135" width="8.125" style="3038" customWidth="1"/>
    <col min="14136" max="14136" width="8.625" style="3038" customWidth="1"/>
    <col min="14137" max="14137" width="10.75" style="3038" customWidth="1"/>
    <col min="14138" max="14138" width="9.625" style="3038" customWidth="1"/>
    <col min="14139" max="14139" width="9.5" style="3038" customWidth="1"/>
    <col min="14140" max="14140" width="11" style="3038" customWidth="1"/>
    <col min="14141" max="14141" width="9.25" style="3038" customWidth="1"/>
    <col min="14142" max="14143" width="11" style="3038" customWidth="1"/>
    <col min="14144" max="14144" width="9.625" style="3038" customWidth="1"/>
    <col min="14145" max="14147" width="10.75" style="3038" bestFit="1" customWidth="1"/>
    <col min="14148" max="14148" width="10.25" style="3038" bestFit="1" customWidth="1"/>
    <col min="14149" max="14149" width="10.75" style="3038" bestFit="1" customWidth="1"/>
    <col min="14150" max="14150" width="10.25" style="3038" bestFit="1" customWidth="1"/>
    <col min="14151" max="14151" width="10.75" style="3038" bestFit="1" customWidth="1"/>
    <col min="14152" max="14152" width="10.25" style="3038" bestFit="1" customWidth="1"/>
    <col min="14153" max="14153" width="10.75" style="3038" bestFit="1" customWidth="1"/>
    <col min="14154" max="14154" width="10.25" style="3038" bestFit="1" customWidth="1"/>
    <col min="14155" max="14155" width="10.75" style="3038" bestFit="1" customWidth="1"/>
    <col min="14156" max="14156" width="10.25" style="3038" bestFit="1" customWidth="1"/>
    <col min="14157" max="14157" width="10.375" style="3038" customWidth="1"/>
    <col min="14158" max="14158" width="10.25" style="3038" customWidth="1"/>
    <col min="14159" max="14159" width="10.375" style="3038" customWidth="1"/>
    <col min="14160" max="14161" width="10.5" style="3038" customWidth="1"/>
    <col min="14162" max="14162" width="11.125" style="3038" customWidth="1"/>
    <col min="14163" max="14163" width="9.875" style="3038" customWidth="1"/>
    <col min="14164" max="14164" width="10.25" style="3038" customWidth="1"/>
    <col min="14165" max="14165" width="9.875" style="3038" customWidth="1"/>
    <col min="14166" max="14166" width="10" style="3038" customWidth="1"/>
    <col min="14167" max="14167" width="9.75" style="3038" customWidth="1"/>
    <col min="14168" max="14192" width="9.625" style="3038" customWidth="1"/>
    <col min="14193" max="14193" width="13.625" style="3038" bestFit="1" customWidth="1"/>
    <col min="14194" max="14194" width="12.375" style="3038" bestFit="1" customWidth="1"/>
    <col min="14195" max="14195" width="9.875" style="3038" bestFit="1" customWidth="1"/>
    <col min="14196" max="14196" width="10.375" style="3038" customWidth="1"/>
    <col min="14197" max="14197" width="9.25" style="3038" customWidth="1"/>
    <col min="14198" max="14198" width="12.625" style="3038" customWidth="1"/>
    <col min="14199" max="14199" width="9.875" style="3038" bestFit="1" customWidth="1"/>
    <col min="14200" max="14200" width="9.125" style="3038" bestFit="1" customWidth="1"/>
    <col min="14201" max="14202" width="9.875" style="3038" bestFit="1" customWidth="1"/>
    <col min="14203" max="14203" width="9.125" style="3038" bestFit="1" customWidth="1"/>
    <col min="14204" max="14205" width="9.875" style="3038" bestFit="1" customWidth="1"/>
    <col min="14206" max="14206" width="11.125" style="3038" bestFit="1" customWidth="1"/>
    <col min="14207" max="14208" width="9.875" style="3038" bestFit="1" customWidth="1"/>
    <col min="14209" max="14209" width="11.125" style="3038" bestFit="1" customWidth="1"/>
    <col min="14210" max="14211" width="9.875" style="3038" bestFit="1" customWidth="1"/>
    <col min="14212" max="14212" width="11.125" style="3038" bestFit="1" customWidth="1"/>
    <col min="14213" max="14213" width="9.125" style="3038" bestFit="1" customWidth="1"/>
    <col min="14214" max="14214" width="9.875" style="3038" bestFit="1" customWidth="1"/>
    <col min="14215" max="14215" width="11.125" style="3038" bestFit="1" customWidth="1"/>
    <col min="14216" max="14216" width="9.125" style="3038" bestFit="1" customWidth="1"/>
    <col min="14217" max="14217" width="9.875" style="3038" bestFit="1" customWidth="1"/>
    <col min="14218" max="14218" width="11.125" style="3038" bestFit="1" customWidth="1"/>
    <col min="14219" max="14219" width="9.125" style="3038" bestFit="1" customWidth="1"/>
    <col min="14220" max="14220" width="9.875" style="3038" bestFit="1" customWidth="1"/>
    <col min="14221" max="14221" width="11.125" style="3038" bestFit="1" customWidth="1"/>
    <col min="14222" max="14222" width="9.125" style="3038" bestFit="1" customWidth="1"/>
    <col min="14223" max="14223" width="9.875" style="3038" bestFit="1" customWidth="1"/>
    <col min="14224" max="14224" width="11.125" style="3038" bestFit="1" customWidth="1"/>
    <col min="14225" max="14225" width="9.125" style="3038" bestFit="1" customWidth="1"/>
    <col min="14226" max="14226" width="9.875" style="3038" bestFit="1" customWidth="1"/>
    <col min="14227" max="14227" width="11.125" style="3038" bestFit="1" customWidth="1"/>
    <col min="14228" max="14228" width="9.125" style="3038" bestFit="1" customWidth="1"/>
    <col min="14229" max="14229" width="9.875" style="3038" bestFit="1" customWidth="1"/>
    <col min="14230" max="14230" width="11.125" style="3038" bestFit="1" customWidth="1"/>
    <col min="14231" max="14231" width="9.125" style="3038" bestFit="1" customWidth="1"/>
    <col min="14232" max="14232" width="9.875" style="3038" bestFit="1" customWidth="1"/>
    <col min="14233" max="14233" width="11.125" style="3038" bestFit="1" customWidth="1"/>
    <col min="14234" max="14234" width="9.125" style="3038" bestFit="1" customWidth="1"/>
    <col min="14235" max="14235" width="9.875" style="3038" bestFit="1" customWidth="1"/>
    <col min="14236" max="14236" width="11.125" style="3038" bestFit="1" customWidth="1"/>
    <col min="14237" max="14237" width="7.875" style="3038" customWidth="1"/>
    <col min="14238" max="14239" width="9.875" style="3038" bestFit="1" customWidth="1"/>
    <col min="14240" max="14240" width="7.875" style="3038"/>
    <col min="14241" max="14242" width="9.875" style="3038" bestFit="1" customWidth="1"/>
    <col min="14243" max="14243" width="7.875" style="3038"/>
    <col min="14244" max="14245" width="9.875" style="3038" bestFit="1" customWidth="1"/>
    <col min="14246" max="14246" width="7.875" style="3038"/>
    <col min="14247" max="14248" width="9.875" style="3038" bestFit="1" customWidth="1"/>
    <col min="14249" max="14249" width="7.875" style="3038"/>
    <col min="14250" max="14250" width="9.875" style="3038" bestFit="1" customWidth="1"/>
    <col min="14251" max="14251" width="8.875" style="3038" bestFit="1" customWidth="1"/>
    <col min="14252" max="14252" width="7.875" style="3038"/>
    <col min="14253" max="14253" width="9.875" style="3038" bestFit="1" customWidth="1"/>
    <col min="14254" max="14254" width="8.875" style="3038" bestFit="1" customWidth="1"/>
    <col min="14255" max="14255" width="7.875" style="3038"/>
    <col min="14256" max="14256" width="9.875" style="3038" bestFit="1" customWidth="1"/>
    <col min="14257" max="14257" width="8.875" style="3038" bestFit="1" customWidth="1"/>
    <col min="14258" max="14258" width="7.875" style="3038"/>
    <col min="14259" max="14259" width="9.875" style="3038" bestFit="1" customWidth="1"/>
    <col min="14260" max="14260" width="8.875" style="3038" bestFit="1" customWidth="1"/>
    <col min="14261" max="14261" width="7.875" style="3038"/>
    <col min="14262" max="14262" width="9.875" style="3038" bestFit="1" customWidth="1"/>
    <col min="14263" max="14263" width="8.875" style="3038" bestFit="1" customWidth="1"/>
    <col min="14264" max="14264" width="7.875" style="3038"/>
    <col min="14265" max="14265" width="9.875" style="3038" bestFit="1" customWidth="1"/>
    <col min="14266" max="14266" width="11.125" style="3038" bestFit="1" customWidth="1"/>
    <col min="14267" max="14267" width="9.125" style="3038" bestFit="1" customWidth="1"/>
    <col min="14268" max="14268" width="9.875" style="3038" bestFit="1" customWidth="1"/>
    <col min="14269" max="14269" width="11.125" style="3038" bestFit="1" customWidth="1"/>
    <col min="14270" max="14270" width="7.875" style="3038"/>
    <col min="14271" max="14271" width="9.25" style="3038" customWidth="1"/>
    <col min="14272" max="14336" width="7.875" style="3038"/>
    <col min="14337" max="14337" width="3.875" style="3038" customWidth="1"/>
    <col min="14338" max="14338" width="10.375" style="3038" customWidth="1"/>
    <col min="14339" max="14339" width="11.375" style="3038" bestFit="1" customWidth="1"/>
    <col min="14340" max="14340" width="10.5" style="3038" customWidth="1"/>
    <col min="14341" max="14341" width="11.625" style="3038" customWidth="1"/>
    <col min="14342" max="14342" width="9.875" style="3038" customWidth="1"/>
    <col min="14343" max="14343" width="11.875" style="3038" customWidth="1"/>
    <col min="14344" max="14344" width="12.75" style="3038" customWidth="1"/>
    <col min="14345" max="14345" width="11" style="3038" customWidth="1"/>
    <col min="14346" max="14346" width="12.75" style="3038" customWidth="1"/>
    <col min="14347" max="14347" width="14" style="3038" customWidth="1"/>
    <col min="14348" max="14348" width="9.375" style="3038" customWidth="1"/>
    <col min="14349" max="14349" width="10.875" style="3038" customWidth="1"/>
    <col min="14350" max="14350" width="12.25" style="3038" customWidth="1"/>
    <col min="14351" max="14351" width="10.375" style="3038" customWidth="1"/>
    <col min="14352" max="14352" width="8.5" style="3038" customWidth="1"/>
    <col min="14353" max="14353" width="12" style="3038" customWidth="1"/>
    <col min="14354" max="14354" width="10.875" style="3038" bestFit="1" customWidth="1"/>
    <col min="14355" max="14355" width="10.5" style="3038" bestFit="1" customWidth="1"/>
    <col min="14356" max="14356" width="10.875" style="3038" bestFit="1" customWidth="1"/>
    <col min="14357" max="14358" width="11" style="3038" customWidth="1"/>
    <col min="14359" max="14359" width="9.375" style="3038" customWidth="1"/>
    <col min="14360" max="14360" width="7.125" style="3038" customWidth="1"/>
    <col min="14361" max="14362" width="11.75" style="3038" customWidth="1"/>
    <col min="14363" max="14363" width="13" style="3038" customWidth="1"/>
    <col min="14364" max="14364" width="10.75" style="3038" customWidth="1"/>
    <col min="14365" max="14366" width="7.375" style="3038" customWidth="1"/>
    <col min="14367" max="14367" width="10.25" style="3038" customWidth="1"/>
    <col min="14368" max="14377" width="8.625" style="3038" customWidth="1"/>
    <col min="14378" max="14379" width="14.125" style="3038" bestFit="1" customWidth="1"/>
    <col min="14380" max="14381" width="10.25" style="3038" customWidth="1"/>
    <col min="14382" max="14382" width="10.125" style="3038" customWidth="1"/>
    <col min="14383" max="14383" width="8.875" style="3038" customWidth="1"/>
    <col min="14384" max="14384" width="9.375" style="3038" customWidth="1"/>
    <col min="14385" max="14385" width="13.25" style="3038" customWidth="1"/>
    <col min="14386" max="14386" width="13" style="3038" customWidth="1"/>
    <col min="14387" max="14387" width="10.875" style="3038" customWidth="1"/>
    <col min="14388" max="14388" width="9.375" style="3038" customWidth="1"/>
    <col min="14389" max="14389" width="10.875" style="3038" customWidth="1"/>
    <col min="14390" max="14390" width="10.5" style="3038" customWidth="1"/>
    <col min="14391" max="14391" width="8.125" style="3038" customWidth="1"/>
    <col min="14392" max="14392" width="8.625" style="3038" customWidth="1"/>
    <col min="14393" max="14393" width="10.75" style="3038" customWidth="1"/>
    <col min="14394" max="14394" width="9.625" style="3038" customWidth="1"/>
    <col min="14395" max="14395" width="9.5" style="3038" customWidth="1"/>
    <col min="14396" max="14396" width="11" style="3038" customWidth="1"/>
    <col min="14397" max="14397" width="9.25" style="3038" customWidth="1"/>
    <col min="14398" max="14399" width="11" style="3038" customWidth="1"/>
    <col min="14400" max="14400" width="9.625" style="3038" customWidth="1"/>
    <col min="14401" max="14403" width="10.75" style="3038" bestFit="1" customWidth="1"/>
    <col min="14404" max="14404" width="10.25" style="3038" bestFit="1" customWidth="1"/>
    <col min="14405" max="14405" width="10.75" style="3038" bestFit="1" customWidth="1"/>
    <col min="14406" max="14406" width="10.25" style="3038" bestFit="1" customWidth="1"/>
    <col min="14407" max="14407" width="10.75" style="3038" bestFit="1" customWidth="1"/>
    <col min="14408" max="14408" width="10.25" style="3038" bestFit="1" customWidth="1"/>
    <col min="14409" max="14409" width="10.75" style="3038" bestFit="1" customWidth="1"/>
    <col min="14410" max="14410" width="10.25" style="3038" bestFit="1" customWidth="1"/>
    <col min="14411" max="14411" width="10.75" style="3038" bestFit="1" customWidth="1"/>
    <col min="14412" max="14412" width="10.25" style="3038" bestFit="1" customWidth="1"/>
    <col min="14413" max="14413" width="10.375" style="3038" customWidth="1"/>
    <col min="14414" max="14414" width="10.25" style="3038" customWidth="1"/>
    <col min="14415" max="14415" width="10.375" style="3038" customWidth="1"/>
    <col min="14416" max="14417" width="10.5" style="3038" customWidth="1"/>
    <col min="14418" max="14418" width="11.125" style="3038" customWidth="1"/>
    <col min="14419" max="14419" width="9.875" style="3038" customWidth="1"/>
    <col min="14420" max="14420" width="10.25" style="3038" customWidth="1"/>
    <col min="14421" max="14421" width="9.875" style="3038" customWidth="1"/>
    <col min="14422" max="14422" width="10" style="3038" customWidth="1"/>
    <col min="14423" max="14423" width="9.75" style="3038" customWidth="1"/>
    <col min="14424" max="14448" width="9.625" style="3038" customWidth="1"/>
    <col min="14449" max="14449" width="13.625" style="3038" bestFit="1" customWidth="1"/>
    <col min="14450" max="14450" width="12.375" style="3038" bestFit="1" customWidth="1"/>
    <col min="14451" max="14451" width="9.875" style="3038" bestFit="1" customWidth="1"/>
    <col min="14452" max="14452" width="10.375" style="3038" customWidth="1"/>
    <col min="14453" max="14453" width="9.25" style="3038" customWidth="1"/>
    <col min="14454" max="14454" width="12.625" style="3038" customWidth="1"/>
    <col min="14455" max="14455" width="9.875" style="3038" bestFit="1" customWidth="1"/>
    <col min="14456" max="14456" width="9.125" style="3038" bestFit="1" customWidth="1"/>
    <col min="14457" max="14458" width="9.875" style="3038" bestFit="1" customWidth="1"/>
    <col min="14459" max="14459" width="9.125" style="3038" bestFit="1" customWidth="1"/>
    <col min="14460" max="14461" width="9.875" style="3038" bestFit="1" customWidth="1"/>
    <col min="14462" max="14462" width="11.125" style="3038" bestFit="1" customWidth="1"/>
    <col min="14463" max="14464" width="9.875" style="3038" bestFit="1" customWidth="1"/>
    <col min="14465" max="14465" width="11.125" style="3038" bestFit="1" customWidth="1"/>
    <col min="14466" max="14467" width="9.875" style="3038" bestFit="1" customWidth="1"/>
    <col min="14468" max="14468" width="11.125" style="3038" bestFit="1" customWidth="1"/>
    <col min="14469" max="14469" width="9.125" style="3038" bestFit="1" customWidth="1"/>
    <col min="14470" max="14470" width="9.875" style="3038" bestFit="1" customWidth="1"/>
    <col min="14471" max="14471" width="11.125" style="3038" bestFit="1" customWidth="1"/>
    <col min="14472" max="14472" width="9.125" style="3038" bestFit="1" customWidth="1"/>
    <col min="14473" max="14473" width="9.875" style="3038" bestFit="1" customWidth="1"/>
    <col min="14474" max="14474" width="11.125" style="3038" bestFit="1" customWidth="1"/>
    <col min="14475" max="14475" width="9.125" style="3038" bestFit="1" customWidth="1"/>
    <col min="14476" max="14476" width="9.875" style="3038" bestFit="1" customWidth="1"/>
    <col min="14477" max="14477" width="11.125" style="3038" bestFit="1" customWidth="1"/>
    <col min="14478" max="14478" width="9.125" style="3038" bestFit="1" customWidth="1"/>
    <col min="14479" max="14479" width="9.875" style="3038" bestFit="1" customWidth="1"/>
    <col min="14480" max="14480" width="11.125" style="3038" bestFit="1" customWidth="1"/>
    <col min="14481" max="14481" width="9.125" style="3038" bestFit="1" customWidth="1"/>
    <col min="14482" max="14482" width="9.875" style="3038" bestFit="1" customWidth="1"/>
    <col min="14483" max="14483" width="11.125" style="3038" bestFit="1" customWidth="1"/>
    <col min="14484" max="14484" width="9.125" style="3038" bestFit="1" customWidth="1"/>
    <col min="14485" max="14485" width="9.875" style="3038" bestFit="1" customWidth="1"/>
    <col min="14486" max="14486" width="11.125" style="3038" bestFit="1" customWidth="1"/>
    <col min="14487" max="14487" width="9.125" style="3038" bestFit="1" customWidth="1"/>
    <col min="14488" max="14488" width="9.875" style="3038" bestFit="1" customWidth="1"/>
    <col min="14489" max="14489" width="11.125" style="3038" bestFit="1" customWidth="1"/>
    <col min="14490" max="14490" width="9.125" style="3038" bestFit="1" customWidth="1"/>
    <col min="14491" max="14491" width="9.875" style="3038" bestFit="1" customWidth="1"/>
    <col min="14492" max="14492" width="11.125" style="3038" bestFit="1" customWidth="1"/>
    <col min="14493" max="14493" width="7.875" style="3038" customWidth="1"/>
    <col min="14494" max="14495" width="9.875" style="3038" bestFit="1" customWidth="1"/>
    <col min="14496" max="14496" width="7.875" style="3038"/>
    <col min="14497" max="14498" width="9.875" style="3038" bestFit="1" customWidth="1"/>
    <col min="14499" max="14499" width="7.875" style="3038"/>
    <col min="14500" max="14501" width="9.875" style="3038" bestFit="1" customWidth="1"/>
    <col min="14502" max="14502" width="7.875" style="3038"/>
    <col min="14503" max="14504" width="9.875" style="3038" bestFit="1" customWidth="1"/>
    <col min="14505" max="14505" width="7.875" style="3038"/>
    <col min="14506" max="14506" width="9.875" style="3038" bestFit="1" customWidth="1"/>
    <col min="14507" max="14507" width="8.875" style="3038" bestFit="1" customWidth="1"/>
    <col min="14508" max="14508" width="7.875" style="3038"/>
    <col min="14509" max="14509" width="9.875" style="3038" bestFit="1" customWidth="1"/>
    <col min="14510" max="14510" width="8.875" style="3038" bestFit="1" customWidth="1"/>
    <col min="14511" max="14511" width="7.875" style="3038"/>
    <col min="14512" max="14512" width="9.875" style="3038" bestFit="1" customWidth="1"/>
    <col min="14513" max="14513" width="8.875" style="3038" bestFit="1" customWidth="1"/>
    <col min="14514" max="14514" width="7.875" style="3038"/>
    <col min="14515" max="14515" width="9.875" style="3038" bestFit="1" customWidth="1"/>
    <col min="14516" max="14516" width="8.875" style="3038" bestFit="1" customWidth="1"/>
    <col min="14517" max="14517" width="7.875" style="3038"/>
    <col min="14518" max="14518" width="9.875" style="3038" bestFit="1" customWidth="1"/>
    <col min="14519" max="14519" width="8.875" style="3038" bestFit="1" customWidth="1"/>
    <col min="14520" max="14520" width="7.875" style="3038"/>
    <col min="14521" max="14521" width="9.875" style="3038" bestFit="1" customWidth="1"/>
    <col min="14522" max="14522" width="11.125" style="3038" bestFit="1" customWidth="1"/>
    <col min="14523" max="14523" width="9.125" style="3038" bestFit="1" customWidth="1"/>
    <col min="14524" max="14524" width="9.875" style="3038" bestFit="1" customWidth="1"/>
    <col min="14525" max="14525" width="11.125" style="3038" bestFit="1" customWidth="1"/>
    <col min="14526" max="14526" width="7.875" style="3038"/>
    <col min="14527" max="14527" width="9.25" style="3038" customWidth="1"/>
    <col min="14528" max="14592" width="7.875" style="3038"/>
    <col min="14593" max="14593" width="3.875" style="3038" customWidth="1"/>
    <col min="14594" max="14594" width="10.375" style="3038" customWidth="1"/>
    <col min="14595" max="14595" width="11.375" style="3038" bestFit="1" customWidth="1"/>
    <col min="14596" max="14596" width="10.5" style="3038" customWidth="1"/>
    <col min="14597" max="14597" width="11.625" style="3038" customWidth="1"/>
    <col min="14598" max="14598" width="9.875" style="3038" customWidth="1"/>
    <col min="14599" max="14599" width="11.875" style="3038" customWidth="1"/>
    <col min="14600" max="14600" width="12.75" style="3038" customWidth="1"/>
    <col min="14601" max="14601" width="11" style="3038" customWidth="1"/>
    <col min="14602" max="14602" width="12.75" style="3038" customWidth="1"/>
    <col min="14603" max="14603" width="14" style="3038" customWidth="1"/>
    <col min="14604" max="14604" width="9.375" style="3038" customWidth="1"/>
    <col min="14605" max="14605" width="10.875" style="3038" customWidth="1"/>
    <col min="14606" max="14606" width="12.25" style="3038" customWidth="1"/>
    <col min="14607" max="14607" width="10.375" style="3038" customWidth="1"/>
    <col min="14608" max="14608" width="8.5" style="3038" customWidth="1"/>
    <col min="14609" max="14609" width="12" style="3038" customWidth="1"/>
    <col min="14610" max="14610" width="10.875" style="3038" bestFit="1" customWidth="1"/>
    <col min="14611" max="14611" width="10.5" style="3038" bestFit="1" customWidth="1"/>
    <col min="14612" max="14612" width="10.875" style="3038" bestFit="1" customWidth="1"/>
    <col min="14613" max="14614" width="11" style="3038" customWidth="1"/>
    <col min="14615" max="14615" width="9.375" style="3038" customWidth="1"/>
    <col min="14616" max="14616" width="7.125" style="3038" customWidth="1"/>
    <col min="14617" max="14618" width="11.75" style="3038" customWidth="1"/>
    <col min="14619" max="14619" width="13" style="3038" customWidth="1"/>
    <col min="14620" max="14620" width="10.75" style="3038" customWidth="1"/>
    <col min="14621" max="14622" width="7.375" style="3038" customWidth="1"/>
    <col min="14623" max="14623" width="10.25" style="3038" customWidth="1"/>
    <col min="14624" max="14633" width="8.625" style="3038" customWidth="1"/>
    <col min="14634" max="14635" width="14.125" style="3038" bestFit="1" customWidth="1"/>
    <col min="14636" max="14637" width="10.25" style="3038" customWidth="1"/>
    <col min="14638" max="14638" width="10.125" style="3038" customWidth="1"/>
    <col min="14639" max="14639" width="8.875" style="3038" customWidth="1"/>
    <col min="14640" max="14640" width="9.375" style="3038" customWidth="1"/>
    <col min="14641" max="14641" width="13.25" style="3038" customWidth="1"/>
    <col min="14642" max="14642" width="13" style="3038" customWidth="1"/>
    <col min="14643" max="14643" width="10.875" style="3038" customWidth="1"/>
    <col min="14644" max="14644" width="9.375" style="3038" customWidth="1"/>
    <col min="14645" max="14645" width="10.875" style="3038" customWidth="1"/>
    <col min="14646" max="14646" width="10.5" style="3038" customWidth="1"/>
    <col min="14647" max="14647" width="8.125" style="3038" customWidth="1"/>
    <col min="14648" max="14648" width="8.625" style="3038" customWidth="1"/>
    <col min="14649" max="14649" width="10.75" style="3038" customWidth="1"/>
    <col min="14650" max="14650" width="9.625" style="3038" customWidth="1"/>
    <col min="14651" max="14651" width="9.5" style="3038" customWidth="1"/>
    <col min="14652" max="14652" width="11" style="3038" customWidth="1"/>
    <col min="14653" max="14653" width="9.25" style="3038" customWidth="1"/>
    <col min="14654" max="14655" width="11" style="3038" customWidth="1"/>
    <col min="14656" max="14656" width="9.625" style="3038" customWidth="1"/>
    <col min="14657" max="14659" width="10.75" style="3038" bestFit="1" customWidth="1"/>
    <col min="14660" max="14660" width="10.25" style="3038" bestFit="1" customWidth="1"/>
    <col min="14661" max="14661" width="10.75" style="3038" bestFit="1" customWidth="1"/>
    <col min="14662" max="14662" width="10.25" style="3038" bestFit="1" customWidth="1"/>
    <col min="14663" max="14663" width="10.75" style="3038" bestFit="1" customWidth="1"/>
    <col min="14664" max="14664" width="10.25" style="3038" bestFit="1" customWidth="1"/>
    <col min="14665" max="14665" width="10.75" style="3038" bestFit="1" customWidth="1"/>
    <col min="14666" max="14666" width="10.25" style="3038" bestFit="1" customWidth="1"/>
    <col min="14667" max="14667" width="10.75" style="3038" bestFit="1" customWidth="1"/>
    <col min="14668" max="14668" width="10.25" style="3038" bestFit="1" customWidth="1"/>
    <col min="14669" max="14669" width="10.375" style="3038" customWidth="1"/>
    <col min="14670" max="14670" width="10.25" style="3038" customWidth="1"/>
    <col min="14671" max="14671" width="10.375" style="3038" customWidth="1"/>
    <col min="14672" max="14673" width="10.5" style="3038" customWidth="1"/>
    <col min="14674" max="14674" width="11.125" style="3038" customWidth="1"/>
    <col min="14675" max="14675" width="9.875" style="3038" customWidth="1"/>
    <col min="14676" max="14676" width="10.25" style="3038" customWidth="1"/>
    <col min="14677" max="14677" width="9.875" style="3038" customWidth="1"/>
    <col min="14678" max="14678" width="10" style="3038" customWidth="1"/>
    <col min="14679" max="14679" width="9.75" style="3038" customWidth="1"/>
    <col min="14680" max="14704" width="9.625" style="3038" customWidth="1"/>
    <col min="14705" max="14705" width="13.625" style="3038" bestFit="1" customWidth="1"/>
    <col min="14706" max="14706" width="12.375" style="3038" bestFit="1" customWidth="1"/>
    <col min="14707" max="14707" width="9.875" style="3038" bestFit="1" customWidth="1"/>
    <col min="14708" max="14708" width="10.375" style="3038" customWidth="1"/>
    <col min="14709" max="14709" width="9.25" style="3038" customWidth="1"/>
    <col min="14710" max="14710" width="12.625" style="3038" customWidth="1"/>
    <col min="14711" max="14711" width="9.875" style="3038" bestFit="1" customWidth="1"/>
    <col min="14712" max="14712" width="9.125" style="3038" bestFit="1" customWidth="1"/>
    <col min="14713" max="14714" width="9.875" style="3038" bestFit="1" customWidth="1"/>
    <col min="14715" max="14715" width="9.125" style="3038" bestFit="1" customWidth="1"/>
    <col min="14716" max="14717" width="9.875" style="3038" bestFit="1" customWidth="1"/>
    <col min="14718" max="14718" width="11.125" style="3038" bestFit="1" customWidth="1"/>
    <col min="14719" max="14720" width="9.875" style="3038" bestFit="1" customWidth="1"/>
    <col min="14721" max="14721" width="11.125" style="3038" bestFit="1" customWidth="1"/>
    <col min="14722" max="14723" width="9.875" style="3038" bestFit="1" customWidth="1"/>
    <col min="14724" max="14724" width="11.125" style="3038" bestFit="1" customWidth="1"/>
    <col min="14725" max="14725" width="9.125" style="3038" bestFit="1" customWidth="1"/>
    <col min="14726" max="14726" width="9.875" style="3038" bestFit="1" customWidth="1"/>
    <col min="14727" max="14727" width="11.125" style="3038" bestFit="1" customWidth="1"/>
    <col min="14728" max="14728" width="9.125" style="3038" bestFit="1" customWidth="1"/>
    <col min="14729" max="14729" width="9.875" style="3038" bestFit="1" customWidth="1"/>
    <col min="14730" max="14730" width="11.125" style="3038" bestFit="1" customWidth="1"/>
    <col min="14731" max="14731" width="9.125" style="3038" bestFit="1" customWidth="1"/>
    <col min="14732" max="14732" width="9.875" style="3038" bestFit="1" customWidth="1"/>
    <col min="14733" max="14733" width="11.125" style="3038" bestFit="1" customWidth="1"/>
    <col min="14734" max="14734" width="9.125" style="3038" bestFit="1" customWidth="1"/>
    <col min="14735" max="14735" width="9.875" style="3038" bestFit="1" customWidth="1"/>
    <col min="14736" max="14736" width="11.125" style="3038" bestFit="1" customWidth="1"/>
    <col min="14737" max="14737" width="9.125" style="3038" bestFit="1" customWidth="1"/>
    <col min="14738" max="14738" width="9.875" style="3038" bestFit="1" customWidth="1"/>
    <col min="14739" max="14739" width="11.125" style="3038" bestFit="1" customWidth="1"/>
    <col min="14740" max="14740" width="9.125" style="3038" bestFit="1" customWidth="1"/>
    <col min="14741" max="14741" width="9.875" style="3038" bestFit="1" customWidth="1"/>
    <col min="14742" max="14742" width="11.125" style="3038" bestFit="1" customWidth="1"/>
    <col min="14743" max="14743" width="9.125" style="3038" bestFit="1" customWidth="1"/>
    <col min="14744" max="14744" width="9.875" style="3038" bestFit="1" customWidth="1"/>
    <col min="14745" max="14745" width="11.125" style="3038" bestFit="1" customWidth="1"/>
    <col min="14746" max="14746" width="9.125" style="3038" bestFit="1" customWidth="1"/>
    <col min="14747" max="14747" width="9.875" style="3038" bestFit="1" customWidth="1"/>
    <col min="14748" max="14748" width="11.125" style="3038" bestFit="1" customWidth="1"/>
    <col min="14749" max="14749" width="7.875" style="3038" customWidth="1"/>
    <col min="14750" max="14751" width="9.875" style="3038" bestFit="1" customWidth="1"/>
    <col min="14752" max="14752" width="7.875" style="3038"/>
    <col min="14753" max="14754" width="9.875" style="3038" bestFit="1" customWidth="1"/>
    <col min="14755" max="14755" width="7.875" style="3038"/>
    <col min="14756" max="14757" width="9.875" style="3038" bestFit="1" customWidth="1"/>
    <col min="14758" max="14758" width="7.875" style="3038"/>
    <col min="14759" max="14760" width="9.875" style="3038" bestFit="1" customWidth="1"/>
    <col min="14761" max="14761" width="7.875" style="3038"/>
    <col min="14762" max="14762" width="9.875" style="3038" bestFit="1" customWidth="1"/>
    <col min="14763" max="14763" width="8.875" style="3038" bestFit="1" customWidth="1"/>
    <col min="14764" max="14764" width="7.875" style="3038"/>
    <col min="14765" max="14765" width="9.875" style="3038" bestFit="1" customWidth="1"/>
    <col min="14766" max="14766" width="8.875" style="3038" bestFit="1" customWidth="1"/>
    <col min="14767" max="14767" width="7.875" style="3038"/>
    <col min="14768" max="14768" width="9.875" style="3038" bestFit="1" customWidth="1"/>
    <col min="14769" max="14769" width="8.875" style="3038" bestFit="1" customWidth="1"/>
    <col min="14770" max="14770" width="7.875" style="3038"/>
    <col min="14771" max="14771" width="9.875" style="3038" bestFit="1" customWidth="1"/>
    <col min="14772" max="14772" width="8.875" style="3038" bestFit="1" customWidth="1"/>
    <col min="14773" max="14773" width="7.875" style="3038"/>
    <col min="14774" max="14774" width="9.875" style="3038" bestFit="1" customWidth="1"/>
    <col min="14775" max="14775" width="8.875" style="3038" bestFit="1" customWidth="1"/>
    <col min="14776" max="14776" width="7.875" style="3038"/>
    <col min="14777" max="14777" width="9.875" style="3038" bestFit="1" customWidth="1"/>
    <col min="14778" max="14778" width="11.125" style="3038" bestFit="1" customWidth="1"/>
    <col min="14779" max="14779" width="9.125" style="3038" bestFit="1" customWidth="1"/>
    <col min="14780" max="14780" width="9.875" style="3038" bestFit="1" customWidth="1"/>
    <col min="14781" max="14781" width="11.125" style="3038" bestFit="1" customWidth="1"/>
    <col min="14782" max="14782" width="7.875" style="3038"/>
    <col min="14783" max="14783" width="9.25" style="3038" customWidth="1"/>
    <col min="14784" max="14848" width="7.875" style="3038"/>
    <col min="14849" max="14849" width="3.875" style="3038" customWidth="1"/>
    <col min="14850" max="14850" width="10.375" style="3038" customWidth="1"/>
    <col min="14851" max="14851" width="11.375" style="3038" bestFit="1" customWidth="1"/>
    <col min="14852" max="14852" width="10.5" style="3038" customWidth="1"/>
    <col min="14853" max="14853" width="11.625" style="3038" customWidth="1"/>
    <col min="14854" max="14854" width="9.875" style="3038" customWidth="1"/>
    <col min="14855" max="14855" width="11.875" style="3038" customWidth="1"/>
    <col min="14856" max="14856" width="12.75" style="3038" customWidth="1"/>
    <col min="14857" max="14857" width="11" style="3038" customWidth="1"/>
    <col min="14858" max="14858" width="12.75" style="3038" customWidth="1"/>
    <col min="14859" max="14859" width="14" style="3038" customWidth="1"/>
    <col min="14860" max="14860" width="9.375" style="3038" customWidth="1"/>
    <col min="14861" max="14861" width="10.875" style="3038" customWidth="1"/>
    <col min="14862" max="14862" width="12.25" style="3038" customWidth="1"/>
    <col min="14863" max="14863" width="10.375" style="3038" customWidth="1"/>
    <col min="14864" max="14864" width="8.5" style="3038" customWidth="1"/>
    <col min="14865" max="14865" width="12" style="3038" customWidth="1"/>
    <col min="14866" max="14866" width="10.875" style="3038" bestFit="1" customWidth="1"/>
    <col min="14867" max="14867" width="10.5" style="3038" bestFit="1" customWidth="1"/>
    <col min="14868" max="14868" width="10.875" style="3038" bestFit="1" customWidth="1"/>
    <col min="14869" max="14870" width="11" style="3038" customWidth="1"/>
    <col min="14871" max="14871" width="9.375" style="3038" customWidth="1"/>
    <col min="14872" max="14872" width="7.125" style="3038" customWidth="1"/>
    <col min="14873" max="14874" width="11.75" style="3038" customWidth="1"/>
    <col min="14875" max="14875" width="13" style="3038" customWidth="1"/>
    <col min="14876" max="14876" width="10.75" style="3038" customWidth="1"/>
    <col min="14877" max="14878" width="7.375" style="3038" customWidth="1"/>
    <col min="14879" max="14879" width="10.25" style="3038" customWidth="1"/>
    <col min="14880" max="14889" width="8.625" style="3038" customWidth="1"/>
    <col min="14890" max="14891" width="14.125" style="3038" bestFit="1" customWidth="1"/>
    <col min="14892" max="14893" width="10.25" style="3038" customWidth="1"/>
    <col min="14894" max="14894" width="10.125" style="3038" customWidth="1"/>
    <col min="14895" max="14895" width="8.875" style="3038" customWidth="1"/>
    <col min="14896" max="14896" width="9.375" style="3038" customWidth="1"/>
    <col min="14897" max="14897" width="13.25" style="3038" customWidth="1"/>
    <col min="14898" max="14898" width="13" style="3038" customWidth="1"/>
    <col min="14899" max="14899" width="10.875" style="3038" customWidth="1"/>
    <col min="14900" max="14900" width="9.375" style="3038" customWidth="1"/>
    <col min="14901" max="14901" width="10.875" style="3038" customWidth="1"/>
    <col min="14902" max="14902" width="10.5" style="3038" customWidth="1"/>
    <col min="14903" max="14903" width="8.125" style="3038" customWidth="1"/>
    <col min="14904" max="14904" width="8.625" style="3038" customWidth="1"/>
    <col min="14905" max="14905" width="10.75" style="3038" customWidth="1"/>
    <col min="14906" max="14906" width="9.625" style="3038" customWidth="1"/>
    <col min="14907" max="14907" width="9.5" style="3038" customWidth="1"/>
    <col min="14908" max="14908" width="11" style="3038" customWidth="1"/>
    <col min="14909" max="14909" width="9.25" style="3038" customWidth="1"/>
    <col min="14910" max="14911" width="11" style="3038" customWidth="1"/>
    <col min="14912" max="14912" width="9.625" style="3038" customWidth="1"/>
    <col min="14913" max="14915" width="10.75" style="3038" bestFit="1" customWidth="1"/>
    <col min="14916" max="14916" width="10.25" style="3038" bestFit="1" customWidth="1"/>
    <col min="14917" max="14917" width="10.75" style="3038" bestFit="1" customWidth="1"/>
    <col min="14918" max="14918" width="10.25" style="3038" bestFit="1" customWidth="1"/>
    <col min="14919" max="14919" width="10.75" style="3038" bestFit="1" customWidth="1"/>
    <col min="14920" max="14920" width="10.25" style="3038" bestFit="1" customWidth="1"/>
    <col min="14921" max="14921" width="10.75" style="3038" bestFit="1" customWidth="1"/>
    <col min="14922" max="14922" width="10.25" style="3038" bestFit="1" customWidth="1"/>
    <col min="14923" max="14923" width="10.75" style="3038" bestFit="1" customWidth="1"/>
    <col min="14924" max="14924" width="10.25" style="3038" bestFit="1" customWidth="1"/>
    <col min="14925" max="14925" width="10.375" style="3038" customWidth="1"/>
    <col min="14926" max="14926" width="10.25" style="3038" customWidth="1"/>
    <col min="14927" max="14927" width="10.375" style="3038" customWidth="1"/>
    <col min="14928" max="14929" width="10.5" style="3038" customWidth="1"/>
    <col min="14930" max="14930" width="11.125" style="3038" customWidth="1"/>
    <col min="14931" max="14931" width="9.875" style="3038" customWidth="1"/>
    <col min="14932" max="14932" width="10.25" style="3038" customWidth="1"/>
    <col min="14933" max="14933" width="9.875" style="3038" customWidth="1"/>
    <col min="14934" max="14934" width="10" style="3038" customWidth="1"/>
    <col min="14935" max="14935" width="9.75" style="3038" customWidth="1"/>
    <col min="14936" max="14960" width="9.625" style="3038" customWidth="1"/>
    <col min="14961" max="14961" width="13.625" style="3038" bestFit="1" customWidth="1"/>
    <col min="14962" max="14962" width="12.375" style="3038" bestFit="1" customWidth="1"/>
    <col min="14963" max="14963" width="9.875" style="3038" bestFit="1" customWidth="1"/>
    <col min="14964" max="14964" width="10.375" style="3038" customWidth="1"/>
    <col min="14965" max="14965" width="9.25" style="3038" customWidth="1"/>
    <col min="14966" max="14966" width="12.625" style="3038" customWidth="1"/>
    <col min="14967" max="14967" width="9.875" style="3038" bestFit="1" customWidth="1"/>
    <col min="14968" max="14968" width="9.125" style="3038" bestFit="1" customWidth="1"/>
    <col min="14969" max="14970" width="9.875" style="3038" bestFit="1" customWidth="1"/>
    <col min="14971" max="14971" width="9.125" style="3038" bestFit="1" customWidth="1"/>
    <col min="14972" max="14973" width="9.875" style="3038" bestFit="1" customWidth="1"/>
    <col min="14974" max="14974" width="11.125" style="3038" bestFit="1" customWidth="1"/>
    <col min="14975" max="14976" width="9.875" style="3038" bestFit="1" customWidth="1"/>
    <col min="14977" max="14977" width="11.125" style="3038" bestFit="1" customWidth="1"/>
    <col min="14978" max="14979" width="9.875" style="3038" bestFit="1" customWidth="1"/>
    <col min="14980" max="14980" width="11.125" style="3038" bestFit="1" customWidth="1"/>
    <col min="14981" max="14981" width="9.125" style="3038" bestFit="1" customWidth="1"/>
    <col min="14982" max="14982" width="9.875" style="3038" bestFit="1" customWidth="1"/>
    <col min="14983" max="14983" width="11.125" style="3038" bestFit="1" customWidth="1"/>
    <col min="14984" max="14984" width="9.125" style="3038" bestFit="1" customWidth="1"/>
    <col min="14985" max="14985" width="9.875" style="3038" bestFit="1" customWidth="1"/>
    <col min="14986" max="14986" width="11.125" style="3038" bestFit="1" customWidth="1"/>
    <col min="14987" max="14987" width="9.125" style="3038" bestFit="1" customWidth="1"/>
    <col min="14988" max="14988" width="9.875" style="3038" bestFit="1" customWidth="1"/>
    <col min="14989" max="14989" width="11.125" style="3038" bestFit="1" customWidth="1"/>
    <col min="14990" max="14990" width="9.125" style="3038" bestFit="1" customWidth="1"/>
    <col min="14991" max="14991" width="9.875" style="3038" bestFit="1" customWidth="1"/>
    <col min="14992" max="14992" width="11.125" style="3038" bestFit="1" customWidth="1"/>
    <col min="14993" max="14993" width="9.125" style="3038" bestFit="1" customWidth="1"/>
    <col min="14994" max="14994" width="9.875" style="3038" bestFit="1" customWidth="1"/>
    <col min="14995" max="14995" width="11.125" style="3038" bestFit="1" customWidth="1"/>
    <col min="14996" max="14996" width="9.125" style="3038" bestFit="1" customWidth="1"/>
    <col min="14997" max="14997" width="9.875" style="3038" bestFit="1" customWidth="1"/>
    <col min="14998" max="14998" width="11.125" style="3038" bestFit="1" customWidth="1"/>
    <col min="14999" max="14999" width="9.125" style="3038" bestFit="1" customWidth="1"/>
    <col min="15000" max="15000" width="9.875" style="3038" bestFit="1" customWidth="1"/>
    <col min="15001" max="15001" width="11.125" style="3038" bestFit="1" customWidth="1"/>
    <col min="15002" max="15002" width="9.125" style="3038" bestFit="1" customWidth="1"/>
    <col min="15003" max="15003" width="9.875" style="3038" bestFit="1" customWidth="1"/>
    <col min="15004" max="15004" width="11.125" style="3038" bestFit="1" customWidth="1"/>
    <col min="15005" max="15005" width="7.875" style="3038" customWidth="1"/>
    <col min="15006" max="15007" width="9.875" style="3038" bestFit="1" customWidth="1"/>
    <col min="15008" max="15008" width="7.875" style="3038"/>
    <col min="15009" max="15010" width="9.875" style="3038" bestFit="1" customWidth="1"/>
    <col min="15011" max="15011" width="7.875" style="3038"/>
    <col min="15012" max="15013" width="9.875" style="3038" bestFit="1" customWidth="1"/>
    <col min="15014" max="15014" width="7.875" style="3038"/>
    <col min="15015" max="15016" width="9.875" style="3038" bestFit="1" customWidth="1"/>
    <col min="15017" max="15017" width="7.875" style="3038"/>
    <col min="15018" max="15018" width="9.875" style="3038" bestFit="1" customWidth="1"/>
    <col min="15019" max="15019" width="8.875" style="3038" bestFit="1" customWidth="1"/>
    <col min="15020" max="15020" width="7.875" style="3038"/>
    <col min="15021" max="15021" width="9.875" style="3038" bestFit="1" customWidth="1"/>
    <col min="15022" max="15022" width="8.875" style="3038" bestFit="1" customWidth="1"/>
    <col min="15023" max="15023" width="7.875" style="3038"/>
    <col min="15024" max="15024" width="9.875" style="3038" bestFit="1" customWidth="1"/>
    <col min="15025" max="15025" width="8.875" style="3038" bestFit="1" customWidth="1"/>
    <col min="15026" max="15026" width="7.875" style="3038"/>
    <col min="15027" max="15027" width="9.875" style="3038" bestFit="1" customWidth="1"/>
    <col min="15028" max="15028" width="8.875" style="3038" bestFit="1" customWidth="1"/>
    <col min="15029" max="15029" width="7.875" style="3038"/>
    <col min="15030" max="15030" width="9.875" style="3038" bestFit="1" customWidth="1"/>
    <col min="15031" max="15031" width="8.875" style="3038" bestFit="1" customWidth="1"/>
    <col min="15032" max="15032" width="7.875" style="3038"/>
    <col min="15033" max="15033" width="9.875" style="3038" bestFit="1" customWidth="1"/>
    <col min="15034" max="15034" width="11.125" style="3038" bestFit="1" customWidth="1"/>
    <col min="15035" max="15035" width="9.125" style="3038" bestFit="1" customWidth="1"/>
    <col min="15036" max="15036" width="9.875" style="3038" bestFit="1" customWidth="1"/>
    <col min="15037" max="15037" width="11.125" style="3038" bestFit="1" customWidth="1"/>
    <col min="15038" max="15038" width="7.875" style="3038"/>
    <col min="15039" max="15039" width="9.25" style="3038" customWidth="1"/>
    <col min="15040" max="15104" width="7.875" style="3038"/>
    <col min="15105" max="15105" width="3.875" style="3038" customWidth="1"/>
    <col min="15106" max="15106" width="10.375" style="3038" customWidth="1"/>
    <col min="15107" max="15107" width="11.375" style="3038" bestFit="1" customWidth="1"/>
    <col min="15108" max="15108" width="10.5" style="3038" customWidth="1"/>
    <col min="15109" max="15109" width="11.625" style="3038" customWidth="1"/>
    <col min="15110" max="15110" width="9.875" style="3038" customWidth="1"/>
    <col min="15111" max="15111" width="11.875" style="3038" customWidth="1"/>
    <col min="15112" max="15112" width="12.75" style="3038" customWidth="1"/>
    <col min="15113" max="15113" width="11" style="3038" customWidth="1"/>
    <col min="15114" max="15114" width="12.75" style="3038" customWidth="1"/>
    <col min="15115" max="15115" width="14" style="3038" customWidth="1"/>
    <col min="15116" max="15116" width="9.375" style="3038" customWidth="1"/>
    <col min="15117" max="15117" width="10.875" style="3038" customWidth="1"/>
    <col min="15118" max="15118" width="12.25" style="3038" customWidth="1"/>
    <col min="15119" max="15119" width="10.375" style="3038" customWidth="1"/>
    <col min="15120" max="15120" width="8.5" style="3038" customWidth="1"/>
    <col min="15121" max="15121" width="12" style="3038" customWidth="1"/>
    <col min="15122" max="15122" width="10.875" style="3038" bestFit="1" customWidth="1"/>
    <col min="15123" max="15123" width="10.5" style="3038" bestFit="1" customWidth="1"/>
    <col min="15124" max="15124" width="10.875" style="3038" bestFit="1" customWidth="1"/>
    <col min="15125" max="15126" width="11" style="3038" customWidth="1"/>
    <col min="15127" max="15127" width="9.375" style="3038" customWidth="1"/>
    <col min="15128" max="15128" width="7.125" style="3038" customWidth="1"/>
    <col min="15129" max="15130" width="11.75" style="3038" customWidth="1"/>
    <col min="15131" max="15131" width="13" style="3038" customWidth="1"/>
    <col min="15132" max="15132" width="10.75" style="3038" customWidth="1"/>
    <col min="15133" max="15134" width="7.375" style="3038" customWidth="1"/>
    <col min="15135" max="15135" width="10.25" style="3038" customWidth="1"/>
    <col min="15136" max="15145" width="8.625" style="3038" customWidth="1"/>
    <col min="15146" max="15147" width="14.125" style="3038" bestFit="1" customWidth="1"/>
    <col min="15148" max="15149" width="10.25" style="3038" customWidth="1"/>
    <col min="15150" max="15150" width="10.125" style="3038" customWidth="1"/>
    <col min="15151" max="15151" width="8.875" style="3038" customWidth="1"/>
    <col min="15152" max="15152" width="9.375" style="3038" customWidth="1"/>
    <col min="15153" max="15153" width="13.25" style="3038" customWidth="1"/>
    <col min="15154" max="15154" width="13" style="3038" customWidth="1"/>
    <col min="15155" max="15155" width="10.875" style="3038" customWidth="1"/>
    <col min="15156" max="15156" width="9.375" style="3038" customWidth="1"/>
    <col min="15157" max="15157" width="10.875" style="3038" customWidth="1"/>
    <col min="15158" max="15158" width="10.5" style="3038" customWidth="1"/>
    <col min="15159" max="15159" width="8.125" style="3038" customWidth="1"/>
    <col min="15160" max="15160" width="8.625" style="3038" customWidth="1"/>
    <col min="15161" max="15161" width="10.75" style="3038" customWidth="1"/>
    <col min="15162" max="15162" width="9.625" style="3038" customWidth="1"/>
    <col min="15163" max="15163" width="9.5" style="3038" customWidth="1"/>
    <col min="15164" max="15164" width="11" style="3038" customWidth="1"/>
    <col min="15165" max="15165" width="9.25" style="3038" customWidth="1"/>
    <col min="15166" max="15167" width="11" style="3038" customWidth="1"/>
    <col min="15168" max="15168" width="9.625" style="3038" customWidth="1"/>
    <col min="15169" max="15171" width="10.75" style="3038" bestFit="1" customWidth="1"/>
    <col min="15172" max="15172" width="10.25" style="3038" bestFit="1" customWidth="1"/>
    <col min="15173" max="15173" width="10.75" style="3038" bestFit="1" customWidth="1"/>
    <col min="15174" max="15174" width="10.25" style="3038" bestFit="1" customWidth="1"/>
    <col min="15175" max="15175" width="10.75" style="3038" bestFit="1" customWidth="1"/>
    <col min="15176" max="15176" width="10.25" style="3038" bestFit="1" customWidth="1"/>
    <col min="15177" max="15177" width="10.75" style="3038" bestFit="1" customWidth="1"/>
    <col min="15178" max="15178" width="10.25" style="3038" bestFit="1" customWidth="1"/>
    <col min="15179" max="15179" width="10.75" style="3038" bestFit="1" customWidth="1"/>
    <col min="15180" max="15180" width="10.25" style="3038" bestFit="1" customWidth="1"/>
    <col min="15181" max="15181" width="10.375" style="3038" customWidth="1"/>
    <col min="15182" max="15182" width="10.25" style="3038" customWidth="1"/>
    <col min="15183" max="15183" width="10.375" style="3038" customWidth="1"/>
    <col min="15184" max="15185" width="10.5" style="3038" customWidth="1"/>
    <col min="15186" max="15186" width="11.125" style="3038" customWidth="1"/>
    <col min="15187" max="15187" width="9.875" style="3038" customWidth="1"/>
    <col min="15188" max="15188" width="10.25" style="3038" customWidth="1"/>
    <col min="15189" max="15189" width="9.875" style="3038" customWidth="1"/>
    <col min="15190" max="15190" width="10" style="3038" customWidth="1"/>
    <col min="15191" max="15191" width="9.75" style="3038" customWidth="1"/>
    <col min="15192" max="15216" width="9.625" style="3038" customWidth="1"/>
    <col min="15217" max="15217" width="13.625" style="3038" bestFit="1" customWidth="1"/>
    <col min="15218" max="15218" width="12.375" style="3038" bestFit="1" customWidth="1"/>
    <col min="15219" max="15219" width="9.875" style="3038" bestFit="1" customWidth="1"/>
    <col min="15220" max="15220" width="10.375" style="3038" customWidth="1"/>
    <col min="15221" max="15221" width="9.25" style="3038" customWidth="1"/>
    <col min="15222" max="15222" width="12.625" style="3038" customWidth="1"/>
    <col min="15223" max="15223" width="9.875" style="3038" bestFit="1" customWidth="1"/>
    <col min="15224" max="15224" width="9.125" style="3038" bestFit="1" customWidth="1"/>
    <col min="15225" max="15226" width="9.875" style="3038" bestFit="1" customWidth="1"/>
    <col min="15227" max="15227" width="9.125" style="3038" bestFit="1" customWidth="1"/>
    <col min="15228" max="15229" width="9.875" style="3038" bestFit="1" customWidth="1"/>
    <col min="15230" max="15230" width="11.125" style="3038" bestFit="1" customWidth="1"/>
    <col min="15231" max="15232" width="9.875" style="3038" bestFit="1" customWidth="1"/>
    <col min="15233" max="15233" width="11.125" style="3038" bestFit="1" customWidth="1"/>
    <col min="15234" max="15235" width="9.875" style="3038" bestFit="1" customWidth="1"/>
    <col min="15236" max="15236" width="11.125" style="3038" bestFit="1" customWidth="1"/>
    <col min="15237" max="15237" width="9.125" style="3038" bestFit="1" customWidth="1"/>
    <col min="15238" max="15238" width="9.875" style="3038" bestFit="1" customWidth="1"/>
    <col min="15239" max="15239" width="11.125" style="3038" bestFit="1" customWidth="1"/>
    <col min="15240" max="15240" width="9.125" style="3038" bestFit="1" customWidth="1"/>
    <col min="15241" max="15241" width="9.875" style="3038" bestFit="1" customWidth="1"/>
    <col min="15242" max="15242" width="11.125" style="3038" bestFit="1" customWidth="1"/>
    <col min="15243" max="15243" width="9.125" style="3038" bestFit="1" customWidth="1"/>
    <col min="15244" max="15244" width="9.875" style="3038" bestFit="1" customWidth="1"/>
    <col min="15245" max="15245" width="11.125" style="3038" bestFit="1" customWidth="1"/>
    <col min="15246" max="15246" width="9.125" style="3038" bestFit="1" customWidth="1"/>
    <col min="15247" max="15247" width="9.875" style="3038" bestFit="1" customWidth="1"/>
    <col min="15248" max="15248" width="11.125" style="3038" bestFit="1" customWidth="1"/>
    <col min="15249" max="15249" width="9.125" style="3038" bestFit="1" customWidth="1"/>
    <col min="15250" max="15250" width="9.875" style="3038" bestFit="1" customWidth="1"/>
    <col min="15251" max="15251" width="11.125" style="3038" bestFit="1" customWidth="1"/>
    <col min="15252" max="15252" width="9.125" style="3038" bestFit="1" customWidth="1"/>
    <col min="15253" max="15253" width="9.875" style="3038" bestFit="1" customWidth="1"/>
    <col min="15254" max="15254" width="11.125" style="3038" bestFit="1" customWidth="1"/>
    <col min="15255" max="15255" width="9.125" style="3038" bestFit="1" customWidth="1"/>
    <col min="15256" max="15256" width="9.875" style="3038" bestFit="1" customWidth="1"/>
    <col min="15257" max="15257" width="11.125" style="3038" bestFit="1" customWidth="1"/>
    <col min="15258" max="15258" width="9.125" style="3038" bestFit="1" customWidth="1"/>
    <col min="15259" max="15259" width="9.875" style="3038" bestFit="1" customWidth="1"/>
    <col min="15260" max="15260" width="11.125" style="3038" bestFit="1" customWidth="1"/>
    <col min="15261" max="15261" width="7.875" style="3038" customWidth="1"/>
    <col min="15262" max="15263" width="9.875" style="3038" bestFit="1" customWidth="1"/>
    <col min="15264" max="15264" width="7.875" style="3038"/>
    <col min="15265" max="15266" width="9.875" style="3038" bestFit="1" customWidth="1"/>
    <col min="15267" max="15267" width="7.875" style="3038"/>
    <col min="15268" max="15269" width="9.875" style="3038" bestFit="1" customWidth="1"/>
    <col min="15270" max="15270" width="7.875" style="3038"/>
    <col min="15271" max="15272" width="9.875" style="3038" bestFit="1" customWidth="1"/>
    <col min="15273" max="15273" width="7.875" style="3038"/>
    <col min="15274" max="15274" width="9.875" style="3038" bestFit="1" customWidth="1"/>
    <col min="15275" max="15275" width="8.875" style="3038" bestFit="1" customWidth="1"/>
    <col min="15276" max="15276" width="7.875" style="3038"/>
    <col min="15277" max="15277" width="9.875" style="3038" bestFit="1" customWidth="1"/>
    <col min="15278" max="15278" width="8.875" style="3038" bestFit="1" customWidth="1"/>
    <col min="15279" max="15279" width="7.875" style="3038"/>
    <col min="15280" max="15280" width="9.875" style="3038" bestFit="1" customWidth="1"/>
    <col min="15281" max="15281" width="8.875" style="3038" bestFit="1" customWidth="1"/>
    <col min="15282" max="15282" width="7.875" style="3038"/>
    <col min="15283" max="15283" width="9.875" style="3038" bestFit="1" customWidth="1"/>
    <col min="15284" max="15284" width="8.875" style="3038" bestFit="1" customWidth="1"/>
    <col min="15285" max="15285" width="7.875" style="3038"/>
    <col min="15286" max="15286" width="9.875" style="3038" bestFit="1" customWidth="1"/>
    <col min="15287" max="15287" width="8.875" style="3038" bestFit="1" customWidth="1"/>
    <col min="15288" max="15288" width="7.875" style="3038"/>
    <col min="15289" max="15289" width="9.875" style="3038" bestFit="1" customWidth="1"/>
    <col min="15290" max="15290" width="11.125" style="3038" bestFit="1" customWidth="1"/>
    <col min="15291" max="15291" width="9.125" style="3038" bestFit="1" customWidth="1"/>
    <col min="15292" max="15292" width="9.875" style="3038" bestFit="1" customWidth="1"/>
    <col min="15293" max="15293" width="11.125" style="3038" bestFit="1" customWidth="1"/>
    <col min="15294" max="15294" width="7.875" style="3038"/>
    <col min="15295" max="15295" width="9.25" style="3038" customWidth="1"/>
    <col min="15296" max="15360" width="7.875" style="3038"/>
    <col min="15361" max="15361" width="3.875" style="3038" customWidth="1"/>
    <col min="15362" max="15362" width="10.375" style="3038" customWidth="1"/>
    <col min="15363" max="15363" width="11.375" style="3038" bestFit="1" customWidth="1"/>
    <col min="15364" max="15364" width="10.5" style="3038" customWidth="1"/>
    <col min="15365" max="15365" width="11.625" style="3038" customWidth="1"/>
    <col min="15366" max="15366" width="9.875" style="3038" customWidth="1"/>
    <col min="15367" max="15367" width="11.875" style="3038" customWidth="1"/>
    <col min="15368" max="15368" width="12.75" style="3038" customWidth="1"/>
    <col min="15369" max="15369" width="11" style="3038" customWidth="1"/>
    <col min="15370" max="15370" width="12.75" style="3038" customWidth="1"/>
    <col min="15371" max="15371" width="14" style="3038" customWidth="1"/>
    <col min="15372" max="15372" width="9.375" style="3038" customWidth="1"/>
    <col min="15373" max="15373" width="10.875" style="3038" customWidth="1"/>
    <col min="15374" max="15374" width="12.25" style="3038" customWidth="1"/>
    <col min="15375" max="15375" width="10.375" style="3038" customWidth="1"/>
    <col min="15376" max="15376" width="8.5" style="3038" customWidth="1"/>
    <col min="15377" max="15377" width="12" style="3038" customWidth="1"/>
    <col min="15378" max="15378" width="10.875" style="3038" bestFit="1" customWidth="1"/>
    <col min="15379" max="15379" width="10.5" style="3038" bestFit="1" customWidth="1"/>
    <col min="15380" max="15380" width="10.875" style="3038" bestFit="1" customWidth="1"/>
    <col min="15381" max="15382" width="11" style="3038" customWidth="1"/>
    <col min="15383" max="15383" width="9.375" style="3038" customWidth="1"/>
    <col min="15384" max="15384" width="7.125" style="3038" customWidth="1"/>
    <col min="15385" max="15386" width="11.75" style="3038" customWidth="1"/>
    <col min="15387" max="15387" width="13" style="3038" customWidth="1"/>
    <col min="15388" max="15388" width="10.75" style="3038" customWidth="1"/>
    <col min="15389" max="15390" width="7.375" style="3038" customWidth="1"/>
    <col min="15391" max="15391" width="10.25" style="3038" customWidth="1"/>
    <col min="15392" max="15401" width="8.625" style="3038" customWidth="1"/>
    <col min="15402" max="15403" width="14.125" style="3038" bestFit="1" customWidth="1"/>
    <col min="15404" max="15405" width="10.25" style="3038" customWidth="1"/>
    <col min="15406" max="15406" width="10.125" style="3038" customWidth="1"/>
    <col min="15407" max="15407" width="8.875" style="3038" customWidth="1"/>
    <col min="15408" max="15408" width="9.375" style="3038" customWidth="1"/>
    <col min="15409" max="15409" width="13.25" style="3038" customWidth="1"/>
    <col min="15410" max="15410" width="13" style="3038" customWidth="1"/>
    <col min="15411" max="15411" width="10.875" style="3038" customWidth="1"/>
    <col min="15412" max="15412" width="9.375" style="3038" customWidth="1"/>
    <col min="15413" max="15413" width="10.875" style="3038" customWidth="1"/>
    <col min="15414" max="15414" width="10.5" style="3038" customWidth="1"/>
    <col min="15415" max="15415" width="8.125" style="3038" customWidth="1"/>
    <col min="15416" max="15416" width="8.625" style="3038" customWidth="1"/>
    <col min="15417" max="15417" width="10.75" style="3038" customWidth="1"/>
    <col min="15418" max="15418" width="9.625" style="3038" customWidth="1"/>
    <col min="15419" max="15419" width="9.5" style="3038" customWidth="1"/>
    <col min="15420" max="15420" width="11" style="3038" customWidth="1"/>
    <col min="15421" max="15421" width="9.25" style="3038" customWidth="1"/>
    <col min="15422" max="15423" width="11" style="3038" customWidth="1"/>
    <col min="15424" max="15424" width="9.625" style="3038" customWidth="1"/>
    <col min="15425" max="15427" width="10.75" style="3038" bestFit="1" customWidth="1"/>
    <col min="15428" max="15428" width="10.25" style="3038" bestFit="1" customWidth="1"/>
    <col min="15429" max="15429" width="10.75" style="3038" bestFit="1" customWidth="1"/>
    <col min="15430" max="15430" width="10.25" style="3038" bestFit="1" customWidth="1"/>
    <col min="15431" max="15431" width="10.75" style="3038" bestFit="1" customWidth="1"/>
    <col min="15432" max="15432" width="10.25" style="3038" bestFit="1" customWidth="1"/>
    <col min="15433" max="15433" width="10.75" style="3038" bestFit="1" customWidth="1"/>
    <col min="15434" max="15434" width="10.25" style="3038" bestFit="1" customWidth="1"/>
    <col min="15435" max="15435" width="10.75" style="3038" bestFit="1" customWidth="1"/>
    <col min="15436" max="15436" width="10.25" style="3038" bestFit="1" customWidth="1"/>
    <col min="15437" max="15437" width="10.375" style="3038" customWidth="1"/>
    <col min="15438" max="15438" width="10.25" style="3038" customWidth="1"/>
    <col min="15439" max="15439" width="10.375" style="3038" customWidth="1"/>
    <col min="15440" max="15441" width="10.5" style="3038" customWidth="1"/>
    <col min="15442" max="15442" width="11.125" style="3038" customWidth="1"/>
    <col min="15443" max="15443" width="9.875" style="3038" customWidth="1"/>
    <col min="15444" max="15444" width="10.25" style="3038" customWidth="1"/>
    <col min="15445" max="15445" width="9.875" style="3038" customWidth="1"/>
    <col min="15446" max="15446" width="10" style="3038" customWidth="1"/>
    <col min="15447" max="15447" width="9.75" style="3038" customWidth="1"/>
    <col min="15448" max="15472" width="9.625" style="3038" customWidth="1"/>
    <col min="15473" max="15473" width="13.625" style="3038" bestFit="1" customWidth="1"/>
    <col min="15474" max="15474" width="12.375" style="3038" bestFit="1" customWidth="1"/>
    <col min="15475" max="15475" width="9.875" style="3038" bestFit="1" customWidth="1"/>
    <col min="15476" max="15476" width="10.375" style="3038" customWidth="1"/>
    <col min="15477" max="15477" width="9.25" style="3038" customWidth="1"/>
    <col min="15478" max="15478" width="12.625" style="3038" customWidth="1"/>
    <col min="15479" max="15479" width="9.875" style="3038" bestFit="1" customWidth="1"/>
    <col min="15480" max="15480" width="9.125" style="3038" bestFit="1" customWidth="1"/>
    <col min="15481" max="15482" width="9.875" style="3038" bestFit="1" customWidth="1"/>
    <col min="15483" max="15483" width="9.125" style="3038" bestFit="1" customWidth="1"/>
    <col min="15484" max="15485" width="9.875" style="3038" bestFit="1" customWidth="1"/>
    <col min="15486" max="15486" width="11.125" style="3038" bestFit="1" customWidth="1"/>
    <col min="15487" max="15488" width="9.875" style="3038" bestFit="1" customWidth="1"/>
    <col min="15489" max="15489" width="11.125" style="3038" bestFit="1" customWidth="1"/>
    <col min="15490" max="15491" width="9.875" style="3038" bestFit="1" customWidth="1"/>
    <col min="15492" max="15492" width="11.125" style="3038" bestFit="1" customWidth="1"/>
    <col min="15493" max="15493" width="9.125" style="3038" bestFit="1" customWidth="1"/>
    <col min="15494" max="15494" width="9.875" style="3038" bestFit="1" customWidth="1"/>
    <col min="15495" max="15495" width="11.125" style="3038" bestFit="1" customWidth="1"/>
    <col min="15496" max="15496" width="9.125" style="3038" bestFit="1" customWidth="1"/>
    <col min="15497" max="15497" width="9.875" style="3038" bestFit="1" customWidth="1"/>
    <col min="15498" max="15498" width="11.125" style="3038" bestFit="1" customWidth="1"/>
    <col min="15499" max="15499" width="9.125" style="3038" bestFit="1" customWidth="1"/>
    <col min="15500" max="15500" width="9.875" style="3038" bestFit="1" customWidth="1"/>
    <col min="15501" max="15501" width="11.125" style="3038" bestFit="1" customWidth="1"/>
    <col min="15502" max="15502" width="9.125" style="3038" bestFit="1" customWidth="1"/>
    <col min="15503" max="15503" width="9.875" style="3038" bestFit="1" customWidth="1"/>
    <col min="15504" max="15504" width="11.125" style="3038" bestFit="1" customWidth="1"/>
    <col min="15505" max="15505" width="9.125" style="3038" bestFit="1" customWidth="1"/>
    <col min="15506" max="15506" width="9.875" style="3038" bestFit="1" customWidth="1"/>
    <col min="15507" max="15507" width="11.125" style="3038" bestFit="1" customWidth="1"/>
    <col min="15508" max="15508" width="9.125" style="3038" bestFit="1" customWidth="1"/>
    <col min="15509" max="15509" width="9.875" style="3038" bestFit="1" customWidth="1"/>
    <col min="15510" max="15510" width="11.125" style="3038" bestFit="1" customWidth="1"/>
    <col min="15511" max="15511" width="9.125" style="3038" bestFit="1" customWidth="1"/>
    <col min="15512" max="15512" width="9.875" style="3038" bestFit="1" customWidth="1"/>
    <col min="15513" max="15513" width="11.125" style="3038" bestFit="1" customWidth="1"/>
    <col min="15514" max="15514" width="9.125" style="3038" bestFit="1" customWidth="1"/>
    <col min="15515" max="15515" width="9.875" style="3038" bestFit="1" customWidth="1"/>
    <col min="15516" max="15516" width="11.125" style="3038" bestFit="1" customWidth="1"/>
    <col min="15517" max="15517" width="7.875" style="3038" customWidth="1"/>
    <col min="15518" max="15519" width="9.875" style="3038" bestFit="1" customWidth="1"/>
    <col min="15520" max="15520" width="7.875" style="3038"/>
    <col min="15521" max="15522" width="9.875" style="3038" bestFit="1" customWidth="1"/>
    <col min="15523" max="15523" width="7.875" style="3038"/>
    <col min="15524" max="15525" width="9.875" style="3038" bestFit="1" customWidth="1"/>
    <col min="15526" max="15526" width="7.875" style="3038"/>
    <col min="15527" max="15528" width="9.875" style="3038" bestFit="1" customWidth="1"/>
    <col min="15529" max="15529" width="7.875" style="3038"/>
    <col min="15530" max="15530" width="9.875" style="3038" bestFit="1" customWidth="1"/>
    <col min="15531" max="15531" width="8.875" style="3038" bestFit="1" customWidth="1"/>
    <col min="15532" max="15532" width="7.875" style="3038"/>
    <col min="15533" max="15533" width="9.875" style="3038" bestFit="1" customWidth="1"/>
    <col min="15534" max="15534" width="8.875" style="3038" bestFit="1" customWidth="1"/>
    <col min="15535" max="15535" width="7.875" style="3038"/>
    <col min="15536" max="15536" width="9.875" style="3038" bestFit="1" customWidth="1"/>
    <col min="15537" max="15537" width="8.875" style="3038" bestFit="1" customWidth="1"/>
    <col min="15538" max="15538" width="7.875" style="3038"/>
    <col min="15539" max="15539" width="9.875" style="3038" bestFit="1" customWidth="1"/>
    <col min="15540" max="15540" width="8.875" style="3038" bestFit="1" customWidth="1"/>
    <col min="15541" max="15541" width="7.875" style="3038"/>
    <col min="15542" max="15542" width="9.875" style="3038" bestFit="1" customWidth="1"/>
    <col min="15543" max="15543" width="8.875" style="3038" bestFit="1" customWidth="1"/>
    <col min="15544" max="15544" width="7.875" style="3038"/>
    <col min="15545" max="15545" width="9.875" style="3038" bestFit="1" customWidth="1"/>
    <col min="15546" max="15546" width="11.125" style="3038" bestFit="1" customWidth="1"/>
    <col min="15547" max="15547" width="9.125" style="3038" bestFit="1" customWidth="1"/>
    <col min="15548" max="15548" width="9.875" style="3038" bestFit="1" customWidth="1"/>
    <col min="15549" max="15549" width="11.125" style="3038" bestFit="1" customWidth="1"/>
    <col min="15550" max="15550" width="7.875" style="3038"/>
    <col min="15551" max="15551" width="9.25" style="3038" customWidth="1"/>
    <col min="15552" max="15616" width="7.875" style="3038"/>
    <col min="15617" max="15617" width="3.875" style="3038" customWidth="1"/>
    <col min="15618" max="15618" width="10.375" style="3038" customWidth="1"/>
    <col min="15619" max="15619" width="11.375" style="3038" bestFit="1" customWidth="1"/>
    <col min="15620" max="15620" width="10.5" style="3038" customWidth="1"/>
    <col min="15621" max="15621" width="11.625" style="3038" customWidth="1"/>
    <col min="15622" max="15622" width="9.875" style="3038" customWidth="1"/>
    <col min="15623" max="15623" width="11.875" style="3038" customWidth="1"/>
    <col min="15624" max="15624" width="12.75" style="3038" customWidth="1"/>
    <col min="15625" max="15625" width="11" style="3038" customWidth="1"/>
    <col min="15626" max="15626" width="12.75" style="3038" customWidth="1"/>
    <col min="15627" max="15627" width="14" style="3038" customWidth="1"/>
    <col min="15628" max="15628" width="9.375" style="3038" customWidth="1"/>
    <col min="15629" max="15629" width="10.875" style="3038" customWidth="1"/>
    <col min="15630" max="15630" width="12.25" style="3038" customWidth="1"/>
    <col min="15631" max="15631" width="10.375" style="3038" customWidth="1"/>
    <col min="15632" max="15632" width="8.5" style="3038" customWidth="1"/>
    <col min="15633" max="15633" width="12" style="3038" customWidth="1"/>
    <col min="15634" max="15634" width="10.875" style="3038" bestFit="1" customWidth="1"/>
    <col min="15635" max="15635" width="10.5" style="3038" bestFit="1" customWidth="1"/>
    <col min="15636" max="15636" width="10.875" style="3038" bestFit="1" customWidth="1"/>
    <col min="15637" max="15638" width="11" style="3038" customWidth="1"/>
    <col min="15639" max="15639" width="9.375" style="3038" customWidth="1"/>
    <col min="15640" max="15640" width="7.125" style="3038" customWidth="1"/>
    <col min="15641" max="15642" width="11.75" style="3038" customWidth="1"/>
    <col min="15643" max="15643" width="13" style="3038" customWidth="1"/>
    <col min="15644" max="15644" width="10.75" style="3038" customWidth="1"/>
    <col min="15645" max="15646" width="7.375" style="3038" customWidth="1"/>
    <col min="15647" max="15647" width="10.25" style="3038" customWidth="1"/>
    <col min="15648" max="15657" width="8.625" style="3038" customWidth="1"/>
    <col min="15658" max="15659" width="14.125" style="3038" bestFit="1" customWidth="1"/>
    <col min="15660" max="15661" width="10.25" style="3038" customWidth="1"/>
    <col min="15662" max="15662" width="10.125" style="3038" customWidth="1"/>
    <col min="15663" max="15663" width="8.875" style="3038" customWidth="1"/>
    <col min="15664" max="15664" width="9.375" style="3038" customWidth="1"/>
    <col min="15665" max="15665" width="13.25" style="3038" customWidth="1"/>
    <col min="15666" max="15666" width="13" style="3038" customWidth="1"/>
    <col min="15667" max="15667" width="10.875" style="3038" customWidth="1"/>
    <col min="15668" max="15668" width="9.375" style="3038" customWidth="1"/>
    <col min="15669" max="15669" width="10.875" style="3038" customWidth="1"/>
    <col min="15670" max="15670" width="10.5" style="3038" customWidth="1"/>
    <col min="15671" max="15671" width="8.125" style="3038" customWidth="1"/>
    <col min="15672" max="15672" width="8.625" style="3038" customWidth="1"/>
    <col min="15673" max="15673" width="10.75" style="3038" customWidth="1"/>
    <col min="15674" max="15674" width="9.625" style="3038" customWidth="1"/>
    <col min="15675" max="15675" width="9.5" style="3038" customWidth="1"/>
    <col min="15676" max="15676" width="11" style="3038" customWidth="1"/>
    <col min="15677" max="15677" width="9.25" style="3038" customWidth="1"/>
    <col min="15678" max="15679" width="11" style="3038" customWidth="1"/>
    <col min="15680" max="15680" width="9.625" style="3038" customWidth="1"/>
    <col min="15681" max="15683" width="10.75" style="3038" bestFit="1" customWidth="1"/>
    <col min="15684" max="15684" width="10.25" style="3038" bestFit="1" customWidth="1"/>
    <col min="15685" max="15685" width="10.75" style="3038" bestFit="1" customWidth="1"/>
    <col min="15686" max="15686" width="10.25" style="3038" bestFit="1" customWidth="1"/>
    <col min="15687" max="15687" width="10.75" style="3038" bestFit="1" customWidth="1"/>
    <col min="15688" max="15688" width="10.25" style="3038" bestFit="1" customWidth="1"/>
    <col min="15689" max="15689" width="10.75" style="3038" bestFit="1" customWidth="1"/>
    <col min="15690" max="15690" width="10.25" style="3038" bestFit="1" customWidth="1"/>
    <col min="15691" max="15691" width="10.75" style="3038" bestFit="1" customWidth="1"/>
    <col min="15692" max="15692" width="10.25" style="3038" bestFit="1" customWidth="1"/>
    <col min="15693" max="15693" width="10.375" style="3038" customWidth="1"/>
    <col min="15694" max="15694" width="10.25" style="3038" customWidth="1"/>
    <col min="15695" max="15695" width="10.375" style="3038" customWidth="1"/>
    <col min="15696" max="15697" width="10.5" style="3038" customWidth="1"/>
    <col min="15698" max="15698" width="11.125" style="3038" customWidth="1"/>
    <col min="15699" max="15699" width="9.875" style="3038" customWidth="1"/>
    <col min="15700" max="15700" width="10.25" style="3038" customWidth="1"/>
    <col min="15701" max="15701" width="9.875" style="3038" customWidth="1"/>
    <col min="15702" max="15702" width="10" style="3038" customWidth="1"/>
    <col min="15703" max="15703" width="9.75" style="3038" customWidth="1"/>
    <col min="15704" max="15728" width="9.625" style="3038" customWidth="1"/>
    <col min="15729" max="15729" width="13.625" style="3038" bestFit="1" customWidth="1"/>
    <col min="15730" max="15730" width="12.375" style="3038" bestFit="1" customWidth="1"/>
    <col min="15731" max="15731" width="9.875" style="3038" bestFit="1" customWidth="1"/>
    <col min="15732" max="15732" width="10.375" style="3038" customWidth="1"/>
    <col min="15733" max="15733" width="9.25" style="3038" customWidth="1"/>
    <col min="15734" max="15734" width="12.625" style="3038" customWidth="1"/>
    <col min="15735" max="15735" width="9.875" style="3038" bestFit="1" customWidth="1"/>
    <col min="15736" max="15736" width="9.125" style="3038" bestFit="1" customWidth="1"/>
    <col min="15737" max="15738" width="9.875" style="3038" bestFit="1" customWidth="1"/>
    <col min="15739" max="15739" width="9.125" style="3038" bestFit="1" customWidth="1"/>
    <col min="15740" max="15741" width="9.875" style="3038" bestFit="1" customWidth="1"/>
    <col min="15742" max="15742" width="11.125" style="3038" bestFit="1" customWidth="1"/>
    <col min="15743" max="15744" width="9.875" style="3038" bestFit="1" customWidth="1"/>
    <col min="15745" max="15745" width="11.125" style="3038" bestFit="1" customWidth="1"/>
    <col min="15746" max="15747" width="9.875" style="3038" bestFit="1" customWidth="1"/>
    <col min="15748" max="15748" width="11.125" style="3038" bestFit="1" customWidth="1"/>
    <col min="15749" max="15749" width="9.125" style="3038" bestFit="1" customWidth="1"/>
    <col min="15750" max="15750" width="9.875" style="3038" bestFit="1" customWidth="1"/>
    <col min="15751" max="15751" width="11.125" style="3038" bestFit="1" customWidth="1"/>
    <col min="15752" max="15752" width="9.125" style="3038" bestFit="1" customWidth="1"/>
    <col min="15753" max="15753" width="9.875" style="3038" bestFit="1" customWidth="1"/>
    <col min="15754" max="15754" width="11.125" style="3038" bestFit="1" customWidth="1"/>
    <col min="15755" max="15755" width="9.125" style="3038" bestFit="1" customWidth="1"/>
    <col min="15756" max="15756" width="9.875" style="3038" bestFit="1" customWidth="1"/>
    <col min="15757" max="15757" width="11.125" style="3038" bestFit="1" customWidth="1"/>
    <col min="15758" max="15758" width="9.125" style="3038" bestFit="1" customWidth="1"/>
    <col min="15759" max="15759" width="9.875" style="3038" bestFit="1" customWidth="1"/>
    <col min="15760" max="15760" width="11.125" style="3038" bestFit="1" customWidth="1"/>
    <col min="15761" max="15761" width="9.125" style="3038" bestFit="1" customWidth="1"/>
    <col min="15762" max="15762" width="9.875" style="3038" bestFit="1" customWidth="1"/>
    <col min="15763" max="15763" width="11.125" style="3038" bestFit="1" customWidth="1"/>
    <col min="15764" max="15764" width="9.125" style="3038" bestFit="1" customWidth="1"/>
    <col min="15765" max="15765" width="9.875" style="3038" bestFit="1" customWidth="1"/>
    <col min="15766" max="15766" width="11.125" style="3038" bestFit="1" customWidth="1"/>
    <col min="15767" max="15767" width="9.125" style="3038" bestFit="1" customWidth="1"/>
    <col min="15768" max="15768" width="9.875" style="3038" bestFit="1" customWidth="1"/>
    <col min="15769" max="15769" width="11.125" style="3038" bestFit="1" customWidth="1"/>
    <col min="15770" max="15770" width="9.125" style="3038" bestFit="1" customWidth="1"/>
    <col min="15771" max="15771" width="9.875" style="3038" bestFit="1" customWidth="1"/>
    <col min="15772" max="15772" width="11.125" style="3038" bestFit="1" customWidth="1"/>
    <col min="15773" max="15773" width="7.875" style="3038" customWidth="1"/>
    <col min="15774" max="15775" width="9.875" style="3038" bestFit="1" customWidth="1"/>
    <col min="15776" max="15776" width="7.875" style="3038"/>
    <col min="15777" max="15778" width="9.875" style="3038" bestFit="1" customWidth="1"/>
    <col min="15779" max="15779" width="7.875" style="3038"/>
    <col min="15780" max="15781" width="9.875" style="3038" bestFit="1" customWidth="1"/>
    <col min="15782" max="15782" width="7.875" style="3038"/>
    <col min="15783" max="15784" width="9.875" style="3038" bestFit="1" customWidth="1"/>
    <col min="15785" max="15785" width="7.875" style="3038"/>
    <col min="15786" max="15786" width="9.875" style="3038" bestFit="1" customWidth="1"/>
    <col min="15787" max="15787" width="8.875" style="3038" bestFit="1" customWidth="1"/>
    <col min="15788" max="15788" width="7.875" style="3038"/>
    <col min="15789" max="15789" width="9.875" style="3038" bestFit="1" customWidth="1"/>
    <col min="15790" max="15790" width="8.875" style="3038" bestFit="1" customWidth="1"/>
    <col min="15791" max="15791" width="7.875" style="3038"/>
    <col min="15792" max="15792" width="9.875" style="3038" bestFit="1" customWidth="1"/>
    <col min="15793" max="15793" width="8.875" style="3038" bestFit="1" customWidth="1"/>
    <col min="15794" max="15794" width="7.875" style="3038"/>
    <col min="15795" max="15795" width="9.875" style="3038" bestFit="1" customWidth="1"/>
    <col min="15796" max="15796" width="8.875" style="3038" bestFit="1" customWidth="1"/>
    <col min="15797" max="15797" width="7.875" style="3038"/>
    <col min="15798" max="15798" width="9.875" style="3038" bestFit="1" customWidth="1"/>
    <col min="15799" max="15799" width="8.875" style="3038" bestFit="1" customWidth="1"/>
    <col min="15800" max="15800" width="7.875" style="3038"/>
    <col min="15801" max="15801" width="9.875" style="3038" bestFit="1" customWidth="1"/>
    <col min="15802" max="15802" width="11.125" style="3038" bestFit="1" customWidth="1"/>
    <col min="15803" max="15803" width="9.125" style="3038" bestFit="1" customWidth="1"/>
    <col min="15804" max="15804" width="9.875" style="3038" bestFit="1" customWidth="1"/>
    <col min="15805" max="15805" width="11.125" style="3038" bestFit="1" customWidth="1"/>
    <col min="15806" max="15806" width="7.875" style="3038"/>
    <col min="15807" max="15807" width="9.25" style="3038" customWidth="1"/>
    <col min="15808" max="15872" width="7.875" style="3038"/>
    <col min="15873" max="15873" width="3.875" style="3038" customWidth="1"/>
    <col min="15874" max="15874" width="10.375" style="3038" customWidth="1"/>
    <col min="15875" max="15875" width="11.375" style="3038" bestFit="1" customWidth="1"/>
    <col min="15876" max="15876" width="10.5" style="3038" customWidth="1"/>
    <col min="15877" max="15877" width="11.625" style="3038" customWidth="1"/>
    <col min="15878" max="15878" width="9.875" style="3038" customWidth="1"/>
    <col min="15879" max="15879" width="11.875" style="3038" customWidth="1"/>
    <col min="15880" max="15880" width="12.75" style="3038" customWidth="1"/>
    <col min="15881" max="15881" width="11" style="3038" customWidth="1"/>
    <col min="15882" max="15882" width="12.75" style="3038" customWidth="1"/>
    <col min="15883" max="15883" width="14" style="3038" customWidth="1"/>
    <col min="15884" max="15884" width="9.375" style="3038" customWidth="1"/>
    <col min="15885" max="15885" width="10.875" style="3038" customWidth="1"/>
    <col min="15886" max="15886" width="12.25" style="3038" customWidth="1"/>
    <col min="15887" max="15887" width="10.375" style="3038" customWidth="1"/>
    <col min="15888" max="15888" width="8.5" style="3038" customWidth="1"/>
    <col min="15889" max="15889" width="12" style="3038" customWidth="1"/>
    <col min="15890" max="15890" width="10.875" style="3038" bestFit="1" customWidth="1"/>
    <col min="15891" max="15891" width="10.5" style="3038" bestFit="1" customWidth="1"/>
    <col min="15892" max="15892" width="10.875" style="3038" bestFit="1" customWidth="1"/>
    <col min="15893" max="15894" width="11" style="3038" customWidth="1"/>
    <col min="15895" max="15895" width="9.375" style="3038" customWidth="1"/>
    <col min="15896" max="15896" width="7.125" style="3038" customWidth="1"/>
    <col min="15897" max="15898" width="11.75" style="3038" customWidth="1"/>
    <col min="15899" max="15899" width="13" style="3038" customWidth="1"/>
    <col min="15900" max="15900" width="10.75" style="3038" customWidth="1"/>
    <col min="15901" max="15902" width="7.375" style="3038" customWidth="1"/>
    <col min="15903" max="15903" width="10.25" style="3038" customWidth="1"/>
    <col min="15904" max="15913" width="8.625" style="3038" customWidth="1"/>
    <col min="15914" max="15915" width="14.125" style="3038" bestFit="1" customWidth="1"/>
    <col min="15916" max="15917" width="10.25" style="3038" customWidth="1"/>
    <col min="15918" max="15918" width="10.125" style="3038" customWidth="1"/>
    <col min="15919" max="15919" width="8.875" style="3038" customWidth="1"/>
    <col min="15920" max="15920" width="9.375" style="3038" customWidth="1"/>
    <col min="15921" max="15921" width="13.25" style="3038" customWidth="1"/>
    <col min="15922" max="15922" width="13" style="3038" customWidth="1"/>
    <col min="15923" max="15923" width="10.875" style="3038" customWidth="1"/>
    <col min="15924" max="15924" width="9.375" style="3038" customWidth="1"/>
    <col min="15925" max="15925" width="10.875" style="3038" customWidth="1"/>
    <col min="15926" max="15926" width="10.5" style="3038" customWidth="1"/>
    <col min="15927" max="15927" width="8.125" style="3038" customWidth="1"/>
    <col min="15928" max="15928" width="8.625" style="3038" customWidth="1"/>
    <col min="15929" max="15929" width="10.75" style="3038" customWidth="1"/>
    <col min="15930" max="15930" width="9.625" style="3038" customWidth="1"/>
    <col min="15931" max="15931" width="9.5" style="3038" customWidth="1"/>
    <col min="15932" max="15932" width="11" style="3038" customWidth="1"/>
    <col min="15933" max="15933" width="9.25" style="3038" customWidth="1"/>
    <col min="15934" max="15935" width="11" style="3038" customWidth="1"/>
    <col min="15936" max="15936" width="9.625" style="3038" customWidth="1"/>
    <col min="15937" max="15939" width="10.75" style="3038" bestFit="1" customWidth="1"/>
    <col min="15940" max="15940" width="10.25" style="3038" bestFit="1" customWidth="1"/>
    <col min="15941" max="15941" width="10.75" style="3038" bestFit="1" customWidth="1"/>
    <col min="15942" max="15942" width="10.25" style="3038" bestFit="1" customWidth="1"/>
    <col min="15943" max="15943" width="10.75" style="3038" bestFit="1" customWidth="1"/>
    <col min="15944" max="15944" width="10.25" style="3038" bestFit="1" customWidth="1"/>
    <col min="15945" max="15945" width="10.75" style="3038" bestFit="1" customWidth="1"/>
    <col min="15946" max="15946" width="10.25" style="3038" bestFit="1" customWidth="1"/>
    <col min="15947" max="15947" width="10.75" style="3038" bestFit="1" customWidth="1"/>
    <col min="15948" max="15948" width="10.25" style="3038" bestFit="1" customWidth="1"/>
    <col min="15949" max="15949" width="10.375" style="3038" customWidth="1"/>
    <col min="15950" max="15950" width="10.25" style="3038" customWidth="1"/>
    <col min="15951" max="15951" width="10.375" style="3038" customWidth="1"/>
    <col min="15952" max="15953" width="10.5" style="3038" customWidth="1"/>
    <col min="15954" max="15954" width="11.125" style="3038" customWidth="1"/>
    <col min="15955" max="15955" width="9.875" style="3038" customWidth="1"/>
    <col min="15956" max="15956" width="10.25" style="3038" customWidth="1"/>
    <col min="15957" max="15957" width="9.875" style="3038" customWidth="1"/>
    <col min="15958" max="15958" width="10" style="3038" customWidth="1"/>
    <col min="15959" max="15959" width="9.75" style="3038" customWidth="1"/>
    <col min="15960" max="15984" width="9.625" style="3038" customWidth="1"/>
    <col min="15985" max="15985" width="13.625" style="3038" bestFit="1" customWidth="1"/>
    <col min="15986" max="15986" width="12.375" style="3038" bestFit="1" customWidth="1"/>
    <col min="15987" max="15987" width="9.875" style="3038" bestFit="1" customWidth="1"/>
    <col min="15988" max="15988" width="10.375" style="3038" customWidth="1"/>
    <col min="15989" max="15989" width="9.25" style="3038" customWidth="1"/>
    <col min="15990" max="15990" width="12.625" style="3038" customWidth="1"/>
    <col min="15991" max="15991" width="9.875" style="3038" bestFit="1" customWidth="1"/>
    <col min="15992" max="15992" width="9.125" style="3038" bestFit="1" customWidth="1"/>
    <col min="15993" max="15994" width="9.875" style="3038" bestFit="1" customWidth="1"/>
    <col min="15995" max="15995" width="9.125" style="3038" bestFit="1" customWidth="1"/>
    <col min="15996" max="15997" width="9.875" style="3038" bestFit="1" customWidth="1"/>
    <col min="15998" max="15998" width="11.125" style="3038" bestFit="1" customWidth="1"/>
    <col min="15999" max="16000" width="9.875" style="3038" bestFit="1" customWidth="1"/>
    <col min="16001" max="16001" width="11.125" style="3038" bestFit="1" customWidth="1"/>
    <col min="16002" max="16003" width="9.875" style="3038" bestFit="1" customWidth="1"/>
    <col min="16004" max="16004" width="11.125" style="3038" bestFit="1" customWidth="1"/>
    <col min="16005" max="16005" width="9.125" style="3038" bestFit="1" customWidth="1"/>
    <col min="16006" max="16006" width="9.875" style="3038" bestFit="1" customWidth="1"/>
    <col min="16007" max="16007" width="11.125" style="3038" bestFit="1" customWidth="1"/>
    <col min="16008" max="16008" width="9.125" style="3038" bestFit="1" customWidth="1"/>
    <col min="16009" max="16009" width="9.875" style="3038" bestFit="1" customWidth="1"/>
    <col min="16010" max="16010" width="11.125" style="3038" bestFit="1" customWidth="1"/>
    <col min="16011" max="16011" width="9.125" style="3038" bestFit="1" customWidth="1"/>
    <col min="16012" max="16012" width="9.875" style="3038" bestFit="1" customWidth="1"/>
    <col min="16013" max="16013" width="11.125" style="3038" bestFit="1" customWidth="1"/>
    <col min="16014" max="16014" width="9.125" style="3038" bestFit="1" customWidth="1"/>
    <col min="16015" max="16015" width="9.875" style="3038" bestFit="1" customWidth="1"/>
    <col min="16016" max="16016" width="11.125" style="3038" bestFit="1" customWidth="1"/>
    <col min="16017" max="16017" width="9.125" style="3038" bestFit="1" customWidth="1"/>
    <col min="16018" max="16018" width="9.875" style="3038" bestFit="1" customWidth="1"/>
    <col min="16019" max="16019" width="11.125" style="3038" bestFit="1" customWidth="1"/>
    <col min="16020" max="16020" width="9.125" style="3038" bestFit="1" customWidth="1"/>
    <col min="16021" max="16021" width="9.875" style="3038" bestFit="1" customWidth="1"/>
    <col min="16022" max="16022" width="11.125" style="3038" bestFit="1" customWidth="1"/>
    <col min="16023" max="16023" width="9.125" style="3038" bestFit="1" customWidth="1"/>
    <col min="16024" max="16024" width="9.875" style="3038" bestFit="1" customWidth="1"/>
    <col min="16025" max="16025" width="11.125" style="3038" bestFit="1" customWidth="1"/>
    <col min="16026" max="16026" width="9.125" style="3038" bestFit="1" customWidth="1"/>
    <col min="16027" max="16027" width="9.875" style="3038" bestFit="1" customWidth="1"/>
    <col min="16028" max="16028" width="11.125" style="3038" bestFit="1" customWidth="1"/>
    <col min="16029" max="16029" width="7.875" style="3038" customWidth="1"/>
    <col min="16030" max="16031" width="9.875" style="3038" bestFit="1" customWidth="1"/>
    <col min="16032" max="16032" width="7.875" style="3038"/>
    <col min="16033" max="16034" width="9.875" style="3038" bestFit="1" customWidth="1"/>
    <col min="16035" max="16035" width="7.875" style="3038"/>
    <col min="16036" max="16037" width="9.875" style="3038" bestFit="1" customWidth="1"/>
    <col min="16038" max="16038" width="7.875" style="3038"/>
    <col min="16039" max="16040" width="9.875" style="3038" bestFit="1" customWidth="1"/>
    <col min="16041" max="16041" width="7.875" style="3038"/>
    <col min="16042" max="16042" width="9.875" style="3038" bestFit="1" customWidth="1"/>
    <col min="16043" max="16043" width="8.875" style="3038" bestFit="1" customWidth="1"/>
    <col min="16044" max="16044" width="7.875" style="3038"/>
    <col min="16045" max="16045" width="9.875" style="3038" bestFit="1" customWidth="1"/>
    <col min="16046" max="16046" width="8.875" style="3038" bestFit="1" customWidth="1"/>
    <col min="16047" max="16047" width="7.875" style="3038"/>
    <col min="16048" max="16048" width="9.875" style="3038" bestFit="1" customWidth="1"/>
    <col min="16049" max="16049" width="8.875" style="3038" bestFit="1" customWidth="1"/>
    <col min="16050" max="16050" width="7.875" style="3038"/>
    <col min="16051" max="16051" width="9.875" style="3038" bestFit="1" customWidth="1"/>
    <col min="16052" max="16052" width="8.875" style="3038" bestFit="1" customWidth="1"/>
    <col min="16053" max="16053" width="7.875" style="3038"/>
    <col min="16054" max="16054" width="9.875" style="3038" bestFit="1" customWidth="1"/>
    <col min="16055" max="16055" width="8.875" style="3038" bestFit="1" customWidth="1"/>
    <col min="16056" max="16056" width="7.875" style="3038"/>
    <col min="16057" max="16057" width="9.875" style="3038" bestFit="1" customWidth="1"/>
    <col min="16058" max="16058" width="11.125" style="3038" bestFit="1" customWidth="1"/>
    <col min="16059" max="16059" width="9.125" style="3038" bestFit="1" customWidth="1"/>
    <col min="16060" max="16060" width="9.875" style="3038" bestFit="1" customWidth="1"/>
    <col min="16061" max="16061" width="11.125" style="3038" bestFit="1" customWidth="1"/>
    <col min="16062" max="16062" width="7.875" style="3038"/>
    <col min="16063" max="16063" width="9.25" style="3038" customWidth="1"/>
    <col min="16064" max="16128" width="7.875" style="3038"/>
    <col min="16129" max="16129" width="3.875" style="3038" customWidth="1"/>
    <col min="16130" max="16130" width="10.375" style="3038" customWidth="1"/>
    <col min="16131" max="16131" width="11.375" style="3038" bestFit="1" customWidth="1"/>
    <col min="16132" max="16132" width="10.5" style="3038" customWidth="1"/>
    <col min="16133" max="16133" width="11.625" style="3038" customWidth="1"/>
    <col min="16134" max="16134" width="9.875" style="3038" customWidth="1"/>
    <col min="16135" max="16135" width="11.875" style="3038" customWidth="1"/>
    <col min="16136" max="16136" width="12.75" style="3038" customWidth="1"/>
    <col min="16137" max="16137" width="11" style="3038" customWidth="1"/>
    <col min="16138" max="16138" width="12.75" style="3038" customWidth="1"/>
    <col min="16139" max="16139" width="14" style="3038" customWidth="1"/>
    <col min="16140" max="16140" width="9.375" style="3038" customWidth="1"/>
    <col min="16141" max="16141" width="10.875" style="3038" customWidth="1"/>
    <col min="16142" max="16142" width="12.25" style="3038" customWidth="1"/>
    <col min="16143" max="16143" width="10.375" style="3038" customWidth="1"/>
    <col min="16144" max="16144" width="8.5" style="3038" customWidth="1"/>
    <col min="16145" max="16145" width="12" style="3038" customWidth="1"/>
    <col min="16146" max="16146" width="10.875" style="3038" bestFit="1" customWidth="1"/>
    <col min="16147" max="16147" width="10.5" style="3038" bestFit="1" customWidth="1"/>
    <col min="16148" max="16148" width="10.875" style="3038" bestFit="1" customWidth="1"/>
    <col min="16149" max="16150" width="11" style="3038" customWidth="1"/>
    <col min="16151" max="16151" width="9.375" style="3038" customWidth="1"/>
    <col min="16152" max="16152" width="7.125" style="3038" customWidth="1"/>
    <col min="16153" max="16154" width="11.75" style="3038" customWidth="1"/>
    <col min="16155" max="16155" width="13" style="3038" customWidth="1"/>
    <col min="16156" max="16156" width="10.75" style="3038" customWidth="1"/>
    <col min="16157" max="16158" width="7.375" style="3038" customWidth="1"/>
    <col min="16159" max="16159" width="10.25" style="3038" customWidth="1"/>
    <col min="16160" max="16169" width="8.625" style="3038" customWidth="1"/>
    <col min="16170" max="16171" width="14.125" style="3038" bestFit="1" customWidth="1"/>
    <col min="16172" max="16173" width="10.25" style="3038" customWidth="1"/>
    <col min="16174" max="16174" width="10.125" style="3038" customWidth="1"/>
    <col min="16175" max="16175" width="8.875" style="3038" customWidth="1"/>
    <col min="16176" max="16176" width="9.375" style="3038" customWidth="1"/>
    <col min="16177" max="16177" width="13.25" style="3038" customWidth="1"/>
    <col min="16178" max="16178" width="13" style="3038" customWidth="1"/>
    <col min="16179" max="16179" width="10.875" style="3038" customWidth="1"/>
    <col min="16180" max="16180" width="9.375" style="3038" customWidth="1"/>
    <col min="16181" max="16181" width="10.875" style="3038" customWidth="1"/>
    <col min="16182" max="16182" width="10.5" style="3038" customWidth="1"/>
    <col min="16183" max="16183" width="8.125" style="3038" customWidth="1"/>
    <col min="16184" max="16184" width="8.625" style="3038" customWidth="1"/>
    <col min="16185" max="16185" width="10.75" style="3038" customWidth="1"/>
    <col min="16186" max="16186" width="9.625" style="3038" customWidth="1"/>
    <col min="16187" max="16187" width="9.5" style="3038" customWidth="1"/>
    <col min="16188" max="16188" width="11" style="3038" customWidth="1"/>
    <col min="16189" max="16189" width="9.25" style="3038" customWidth="1"/>
    <col min="16190" max="16191" width="11" style="3038" customWidth="1"/>
    <col min="16192" max="16192" width="9.625" style="3038" customWidth="1"/>
    <col min="16193" max="16195" width="10.75" style="3038" bestFit="1" customWidth="1"/>
    <col min="16196" max="16196" width="10.25" style="3038" bestFit="1" customWidth="1"/>
    <col min="16197" max="16197" width="10.75" style="3038" bestFit="1" customWidth="1"/>
    <col min="16198" max="16198" width="10.25" style="3038" bestFit="1" customWidth="1"/>
    <col min="16199" max="16199" width="10.75" style="3038" bestFit="1" customWidth="1"/>
    <col min="16200" max="16200" width="10.25" style="3038" bestFit="1" customWidth="1"/>
    <col min="16201" max="16201" width="10.75" style="3038" bestFit="1" customWidth="1"/>
    <col min="16202" max="16202" width="10.25" style="3038" bestFit="1" customWidth="1"/>
    <col min="16203" max="16203" width="10.75" style="3038" bestFit="1" customWidth="1"/>
    <col min="16204" max="16204" width="10.25" style="3038" bestFit="1" customWidth="1"/>
    <col min="16205" max="16205" width="10.375" style="3038" customWidth="1"/>
    <col min="16206" max="16206" width="10.25" style="3038" customWidth="1"/>
    <col min="16207" max="16207" width="10.375" style="3038" customWidth="1"/>
    <col min="16208" max="16209" width="10.5" style="3038" customWidth="1"/>
    <col min="16210" max="16210" width="11.125" style="3038" customWidth="1"/>
    <col min="16211" max="16211" width="9.875" style="3038" customWidth="1"/>
    <col min="16212" max="16212" width="10.25" style="3038" customWidth="1"/>
    <col min="16213" max="16213" width="9.875" style="3038" customWidth="1"/>
    <col min="16214" max="16214" width="10" style="3038" customWidth="1"/>
    <col min="16215" max="16215" width="9.75" style="3038" customWidth="1"/>
    <col min="16216" max="16240" width="9.625" style="3038" customWidth="1"/>
    <col min="16241" max="16241" width="13.625" style="3038" bestFit="1" customWidth="1"/>
    <col min="16242" max="16242" width="12.375" style="3038" bestFit="1" customWidth="1"/>
    <col min="16243" max="16243" width="9.875" style="3038" bestFit="1" customWidth="1"/>
    <col min="16244" max="16244" width="10.375" style="3038" customWidth="1"/>
    <col min="16245" max="16245" width="9.25" style="3038" customWidth="1"/>
    <col min="16246" max="16246" width="12.625" style="3038" customWidth="1"/>
    <col min="16247" max="16247" width="9.875" style="3038" bestFit="1" customWidth="1"/>
    <col min="16248" max="16248" width="9.125" style="3038" bestFit="1" customWidth="1"/>
    <col min="16249" max="16250" width="9.875" style="3038" bestFit="1" customWidth="1"/>
    <col min="16251" max="16251" width="9.125" style="3038" bestFit="1" customWidth="1"/>
    <col min="16252" max="16253" width="9.875" style="3038" bestFit="1" customWidth="1"/>
    <col min="16254" max="16254" width="11.125" style="3038" bestFit="1" customWidth="1"/>
    <col min="16255" max="16256" width="9.875" style="3038" bestFit="1" customWidth="1"/>
    <col min="16257" max="16257" width="11.125" style="3038" bestFit="1" customWidth="1"/>
    <col min="16258" max="16259" width="9.875" style="3038" bestFit="1" customWidth="1"/>
    <col min="16260" max="16260" width="11.125" style="3038" bestFit="1" customWidth="1"/>
    <col min="16261" max="16261" width="9.125" style="3038" bestFit="1" customWidth="1"/>
    <col min="16262" max="16262" width="9.875" style="3038" bestFit="1" customWidth="1"/>
    <col min="16263" max="16263" width="11.125" style="3038" bestFit="1" customWidth="1"/>
    <col min="16264" max="16264" width="9.125" style="3038" bestFit="1" customWidth="1"/>
    <col min="16265" max="16265" width="9.875" style="3038" bestFit="1" customWidth="1"/>
    <col min="16266" max="16266" width="11.125" style="3038" bestFit="1" customWidth="1"/>
    <col min="16267" max="16267" width="9.125" style="3038" bestFit="1" customWidth="1"/>
    <col min="16268" max="16268" width="9.875" style="3038" bestFit="1" customWidth="1"/>
    <col min="16269" max="16269" width="11.125" style="3038" bestFit="1" customWidth="1"/>
    <col min="16270" max="16270" width="9.125" style="3038" bestFit="1" customWidth="1"/>
    <col min="16271" max="16271" width="9.875" style="3038" bestFit="1" customWidth="1"/>
    <col min="16272" max="16272" width="11.125" style="3038" bestFit="1" customWidth="1"/>
    <col min="16273" max="16273" width="9.125" style="3038" bestFit="1" customWidth="1"/>
    <col min="16274" max="16274" width="9.875" style="3038" bestFit="1" customWidth="1"/>
    <col min="16275" max="16275" width="11.125" style="3038" bestFit="1" customWidth="1"/>
    <col min="16276" max="16276" width="9.125" style="3038" bestFit="1" customWidth="1"/>
    <col min="16277" max="16277" width="9.875" style="3038" bestFit="1" customWidth="1"/>
    <col min="16278" max="16278" width="11.125" style="3038" bestFit="1" customWidth="1"/>
    <col min="16279" max="16279" width="9.125" style="3038" bestFit="1" customWidth="1"/>
    <col min="16280" max="16280" width="9.875" style="3038" bestFit="1" customWidth="1"/>
    <col min="16281" max="16281" width="11.125" style="3038" bestFit="1" customWidth="1"/>
    <col min="16282" max="16282" width="9.125" style="3038" bestFit="1" customWidth="1"/>
    <col min="16283" max="16283" width="9.875" style="3038" bestFit="1" customWidth="1"/>
    <col min="16284" max="16284" width="11.125" style="3038" bestFit="1" customWidth="1"/>
    <col min="16285" max="16285" width="7.875" style="3038" customWidth="1"/>
    <col min="16286" max="16287" width="9.875" style="3038" bestFit="1" customWidth="1"/>
    <col min="16288" max="16288" width="7.875" style="3038"/>
    <col min="16289" max="16290" width="9.875" style="3038" bestFit="1" customWidth="1"/>
    <col min="16291" max="16291" width="7.875" style="3038"/>
    <col min="16292" max="16293" width="9.875" style="3038" bestFit="1" customWidth="1"/>
    <col min="16294" max="16294" width="7.875" style="3038"/>
    <col min="16295" max="16296" width="9.875" style="3038" bestFit="1" customWidth="1"/>
    <col min="16297" max="16297" width="7.875" style="3038"/>
    <col min="16298" max="16298" width="9.875" style="3038" bestFit="1" customWidth="1"/>
    <col min="16299" max="16299" width="8.875" style="3038" bestFit="1" customWidth="1"/>
    <col min="16300" max="16300" width="7.875" style="3038"/>
    <col min="16301" max="16301" width="9.875" style="3038" bestFit="1" customWidth="1"/>
    <col min="16302" max="16302" width="8.875" style="3038" bestFit="1" customWidth="1"/>
    <col min="16303" max="16303" width="7.875" style="3038"/>
    <col min="16304" max="16304" width="9.875" style="3038" bestFit="1" customWidth="1"/>
    <col min="16305" max="16305" width="8.875" style="3038" bestFit="1" customWidth="1"/>
    <col min="16306" max="16306" width="7.875" style="3038"/>
    <col min="16307" max="16307" width="9.875" style="3038" bestFit="1" customWidth="1"/>
    <col min="16308" max="16308" width="8.875" style="3038" bestFit="1" customWidth="1"/>
    <col min="16309" max="16309" width="7.875" style="3038"/>
    <col min="16310" max="16310" width="9.875" style="3038" bestFit="1" customWidth="1"/>
    <col min="16311" max="16311" width="8.875" style="3038" bestFit="1" customWidth="1"/>
    <col min="16312" max="16312" width="7.875" style="3038"/>
    <col min="16313" max="16313" width="9.875" style="3038" bestFit="1" customWidth="1"/>
    <col min="16314" max="16314" width="11.125" style="3038" bestFit="1" customWidth="1"/>
    <col min="16315" max="16315" width="9.125" style="3038" bestFit="1" customWidth="1"/>
    <col min="16316" max="16316" width="9.875" style="3038" bestFit="1" customWidth="1"/>
    <col min="16317" max="16317" width="11.125" style="3038" bestFit="1" customWidth="1"/>
    <col min="16318" max="16318" width="7.875" style="3038"/>
    <col min="16319" max="16319" width="9.25" style="3038" customWidth="1"/>
    <col min="16320" max="16384" width="7.875" style="3038"/>
  </cols>
  <sheetData>
    <row r="1" spans="1:114" s="2983" customFormat="1" ht="24.95" customHeight="1">
      <c r="A1" s="2971" t="s">
        <v>3186</v>
      </c>
      <c r="B1" s="2971"/>
      <c r="C1" s="2972"/>
      <c r="D1" s="2972"/>
      <c r="E1" s="2972"/>
      <c r="F1" s="2973" t="s">
        <v>3187</v>
      </c>
      <c r="G1" s="2974"/>
      <c r="H1" s="2974"/>
      <c r="I1" s="2974"/>
      <c r="J1" s="2974"/>
      <c r="K1" s="2974"/>
      <c r="L1" s="2971"/>
      <c r="M1" s="2971"/>
      <c r="N1" s="2971"/>
      <c r="O1" s="2975"/>
      <c r="P1" s="2976"/>
      <c r="Q1" s="2975"/>
      <c r="R1" s="2975"/>
      <c r="S1" s="2975"/>
      <c r="T1" s="2975"/>
      <c r="U1" s="2975"/>
      <c r="V1" s="2975"/>
      <c r="W1" s="2977"/>
      <c r="X1" s="2978"/>
      <c r="Y1" s="2977"/>
      <c r="Z1" s="2978"/>
      <c r="AA1" s="3109"/>
      <c r="AB1" s="2975"/>
      <c r="AC1" s="2975"/>
      <c r="AD1" s="2975"/>
      <c r="AE1" s="3128"/>
      <c r="AF1" s="2978"/>
      <c r="AG1" s="2978"/>
      <c r="AH1" s="2975"/>
      <c r="AI1" s="2975"/>
      <c r="AJ1" s="2975"/>
      <c r="AK1" s="2977"/>
      <c r="AL1" s="2977"/>
      <c r="AM1" s="2977"/>
      <c r="AN1" s="2977"/>
      <c r="AO1" s="2977"/>
      <c r="AP1" s="2977"/>
      <c r="AQ1" s="2977"/>
      <c r="AR1" s="2978"/>
      <c r="AS1" s="2978"/>
      <c r="AT1" s="2977"/>
      <c r="AU1" s="2975"/>
      <c r="AV1" s="2977"/>
      <c r="AW1" s="2977"/>
      <c r="AX1" s="2975"/>
      <c r="AY1" s="2979"/>
      <c r="AZ1" s="2979"/>
      <c r="BA1" s="2979"/>
      <c r="BB1" s="2980"/>
      <c r="BC1" s="2980"/>
      <c r="BD1" s="2975"/>
      <c r="BE1" s="2975"/>
      <c r="BF1" s="2975"/>
      <c r="BG1" s="2975"/>
      <c r="BH1" s="2975"/>
      <c r="BI1" s="2977"/>
      <c r="BJ1" s="2981"/>
      <c r="BK1" s="2981"/>
      <c r="BL1" s="2981"/>
      <c r="BM1" s="2975"/>
      <c r="BN1" s="2975"/>
      <c r="BO1" s="2975"/>
      <c r="BP1" s="2975"/>
      <c r="BQ1" s="2976"/>
      <c r="BR1" s="2976"/>
      <c r="BS1" s="2976"/>
      <c r="BT1" s="2976"/>
      <c r="BU1" s="2982"/>
      <c r="DI1" s="2984"/>
      <c r="DJ1" s="2984"/>
    </row>
    <row r="2" spans="1:114" s="2983" customFormat="1" ht="24.95" customHeight="1">
      <c r="A2" s="2985" t="s">
        <v>3188</v>
      </c>
      <c r="B2" s="2985"/>
      <c r="C2" s="2972"/>
      <c r="D2" s="2972"/>
      <c r="E2" s="2972"/>
      <c r="F2" s="2985"/>
      <c r="G2" s="2985"/>
      <c r="H2" s="2985"/>
      <c r="I2" s="2985"/>
      <c r="J2" s="2985"/>
      <c r="K2" s="2985"/>
      <c r="L2" s="2985"/>
      <c r="M2" s="2985"/>
      <c r="N2" s="2985"/>
      <c r="O2" s="2986"/>
      <c r="P2" s="2987"/>
      <c r="Q2" s="2986"/>
      <c r="R2" s="2986"/>
      <c r="S2" s="2986"/>
      <c r="T2" s="2986"/>
      <c r="U2" s="2986"/>
      <c r="V2" s="2986"/>
      <c r="W2" s="2977"/>
      <c r="X2" s="2978"/>
      <c r="Y2" s="2977"/>
      <c r="Z2" s="2978"/>
      <c r="AA2" s="3109"/>
      <c r="AB2" s="2986"/>
      <c r="AC2" s="2986"/>
      <c r="AD2" s="2986"/>
      <c r="AE2" s="3128"/>
      <c r="AF2" s="2978"/>
      <c r="AG2" s="2978"/>
      <c r="AH2" s="2986"/>
      <c r="AI2" s="2986"/>
      <c r="AJ2" s="2986"/>
      <c r="AK2" s="2977"/>
      <c r="AL2" s="2977"/>
      <c r="AM2" s="2977"/>
      <c r="AN2" s="2977"/>
      <c r="AO2" s="2977"/>
      <c r="AP2" s="2977"/>
      <c r="AQ2" s="2977"/>
      <c r="AR2" s="2978"/>
      <c r="AS2" s="2978"/>
      <c r="AT2" s="2977"/>
      <c r="AU2" s="2986"/>
      <c r="AV2" s="2977"/>
      <c r="AW2" s="2977"/>
      <c r="AX2" s="2986"/>
      <c r="AY2" s="2988"/>
      <c r="AZ2" s="2988"/>
      <c r="BA2" s="2988"/>
      <c r="BB2" s="2989"/>
      <c r="BC2" s="2989"/>
      <c r="BD2" s="2986"/>
      <c r="BE2" s="2986"/>
      <c r="BF2" s="2986"/>
      <c r="BG2" s="2986"/>
      <c r="BH2" s="2986"/>
      <c r="BI2" s="2977"/>
      <c r="BJ2" s="2990"/>
      <c r="BK2" s="2990"/>
      <c r="BL2" s="2990"/>
      <c r="BM2" s="2986"/>
      <c r="BN2" s="2986"/>
      <c r="BO2" s="2986"/>
      <c r="BP2" s="2986"/>
      <c r="BQ2" s="2987"/>
      <c r="BR2" s="2987"/>
      <c r="BS2" s="2987"/>
      <c r="BT2" s="2987"/>
      <c r="BU2" s="2979"/>
      <c r="DI2" s="2984"/>
      <c r="DJ2" s="2984"/>
    </row>
    <row r="3" spans="1:114" s="2991" customFormat="1" ht="15.75" customHeight="1">
      <c r="A3" s="3659" t="s">
        <v>3189</v>
      </c>
      <c r="B3" s="3662" t="s">
        <v>3190</v>
      </c>
      <c r="C3" s="3662" t="s">
        <v>3191</v>
      </c>
      <c r="D3" s="3662" t="s">
        <v>3192</v>
      </c>
      <c r="E3" s="3662" t="s">
        <v>3193</v>
      </c>
      <c r="F3" s="3662" t="s">
        <v>3194</v>
      </c>
      <c r="G3" s="3662" t="s">
        <v>3195</v>
      </c>
      <c r="H3" s="3663" t="s">
        <v>3196</v>
      </c>
      <c r="I3" s="3662" t="s">
        <v>3197</v>
      </c>
      <c r="J3" s="3662" t="s">
        <v>3198</v>
      </c>
      <c r="K3" s="3662" t="s">
        <v>3199</v>
      </c>
      <c r="L3" s="3662" t="s">
        <v>3200</v>
      </c>
      <c r="M3" s="3662" t="s">
        <v>3201</v>
      </c>
      <c r="N3" s="3662" t="s">
        <v>3202</v>
      </c>
      <c r="O3" s="3662" t="s">
        <v>3203</v>
      </c>
      <c r="P3" s="3663" t="s">
        <v>3204</v>
      </c>
      <c r="Q3" s="3662" t="s">
        <v>3205</v>
      </c>
      <c r="R3" s="3662"/>
      <c r="S3" s="3662"/>
      <c r="T3" s="3663" t="s">
        <v>3206</v>
      </c>
      <c r="U3" s="3666" t="s">
        <v>3207</v>
      </c>
      <c r="V3" s="3666"/>
      <c r="W3" s="3666"/>
      <c r="X3" s="3666"/>
      <c r="Y3" s="3659" t="s">
        <v>3208</v>
      </c>
      <c r="Z3" s="3666" t="s">
        <v>3209</v>
      </c>
      <c r="AA3" s="3666"/>
      <c r="AB3" s="3666"/>
      <c r="AC3" s="3666"/>
      <c r="AD3" s="3666"/>
      <c r="AE3" s="3666"/>
      <c r="AF3" s="3666"/>
      <c r="AG3" s="3666"/>
      <c r="AH3" s="3666"/>
      <c r="AI3" s="3666"/>
      <c r="AJ3" s="3666"/>
      <c r="AK3" s="3666"/>
      <c r="AL3" s="3666"/>
      <c r="AM3" s="3666"/>
      <c r="AN3" s="3666"/>
      <c r="AO3" s="3666"/>
      <c r="AP3" s="3667" t="s">
        <v>3210</v>
      </c>
      <c r="AQ3" s="3668"/>
      <c r="AR3" s="3669"/>
      <c r="AS3" s="3666" t="s">
        <v>3211</v>
      </c>
      <c r="AT3" s="3666"/>
      <c r="AU3" s="3666"/>
      <c r="AV3" s="3666"/>
      <c r="AW3" s="3666"/>
      <c r="AX3" s="3666"/>
      <c r="AY3" s="3666"/>
      <c r="AZ3" s="3662" t="s">
        <v>3212</v>
      </c>
      <c r="BA3" s="3666" t="s">
        <v>3213</v>
      </c>
      <c r="BB3" s="3666"/>
      <c r="BC3" s="3666"/>
      <c r="BD3" s="3666"/>
      <c r="BE3" s="3666"/>
      <c r="BF3" s="3666"/>
      <c r="BG3" s="3666" t="s">
        <v>3214</v>
      </c>
      <c r="BH3" s="3666"/>
      <c r="BI3" s="3666"/>
      <c r="BJ3" s="3662" t="s">
        <v>3215</v>
      </c>
      <c r="BK3" s="3662" t="s">
        <v>3216</v>
      </c>
      <c r="BL3" s="3662" t="s">
        <v>3217</v>
      </c>
      <c r="BM3" s="3672">
        <v>42736</v>
      </c>
      <c r="BN3" s="3672"/>
      <c r="BO3" s="3672">
        <v>42767</v>
      </c>
      <c r="BP3" s="3672"/>
      <c r="BQ3" s="3672">
        <v>42795</v>
      </c>
      <c r="BR3" s="3672"/>
      <c r="BS3" s="3672">
        <v>42826</v>
      </c>
      <c r="BT3" s="3672"/>
      <c r="BU3" s="3672">
        <v>42856</v>
      </c>
      <c r="BV3" s="3672"/>
      <c r="BW3" s="3672">
        <v>42887</v>
      </c>
      <c r="BX3" s="3672"/>
      <c r="BY3" s="3672">
        <v>42917</v>
      </c>
      <c r="BZ3" s="3672"/>
      <c r="CA3" s="3672">
        <v>42948</v>
      </c>
      <c r="CB3" s="3672"/>
      <c r="CC3" s="3672">
        <v>42979</v>
      </c>
      <c r="CD3" s="3672"/>
      <c r="CE3" s="3672">
        <v>43009</v>
      </c>
      <c r="CF3" s="3672"/>
      <c r="CG3" s="3672">
        <v>43040</v>
      </c>
      <c r="CH3" s="3672"/>
      <c r="CI3" s="3672">
        <v>43070</v>
      </c>
      <c r="CJ3" s="3672"/>
      <c r="CK3" s="3677">
        <v>43101</v>
      </c>
      <c r="CL3" s="3678"/>
      <c r="CM3" s="3677">
        <v>43132</v>
      </c>
      <c r="CN3" s="3678"/>
      <c r="CO3" s="3677">
        <v>43160</v>
      </c>
      <c r="CP3" s="3678"/>
      <c r="CQ3" s="3677">
        <v>43191</v>
      </c>
      <c r="CR3" s="3678"/>
      <c r="CS3" s="3677">
        <v>43221</v>
      </c>
      <c r="CT3" s="3678"/>
      <c r="CU3" s="3677">
        <v>43252</v>
      </c>
      <c r="CV3" s="3678"/>
      <c r="CW3" s="3677">
        <v>43282</v>
      </c>
      <c r="CX3" s="3678"/>
      <c r="CY3" s="3677">
        <v>43313</v>
      </c>
      <c r="CZ3" s="3678"/>
      <c r="DA3" s="3677">
        <v>43344</v>
      </c>
      <c r="DB3" s="3678"/>
      <c r="DC3" s="3677">
        <v>43374</v>
      </c>
      <c r="DD3" s="3678"/>
      <c r="DE3" s="3677">
        <v>43405</v>
      </c>
      <c r="DF3" s="3678"/>
      <c r="DG3" s="3677">
        <v>43435</v>
      </c>
      <c r="DH3" s="3678"/>
      <c r="DI3" s="3666" t="s">
        <v>3218</v>
      </c>
      <c r="DJ3" s="3666"/>
    </row>
    <row r="4" spans="1:114" s="2991" customFormat="1" ht="15.75" customHeight="1">
      <c r="A4" s="3660"/>
      <c r="B4" s="3662"/>
      <c r="C4" s="3662"/>
      <c r="D4" s="3662"/>
      <c r="E4" s="3662"/>
      <c r="F4" s="3662"/>
      <c r="G4" s="3662"/>
      <c r="H4" s="3664"/>
      <c r="I4" s="3662"/>
      <c r="J4" s="3662"/>
      <c r="K4" s="3662"/>
      <c r="L4" s="3662"/>
      <c r="M4" s="3662"/>
      <c r="N4" s="3662"/>
      <c r="O4" s="3662"/>
      <c r="P4" s="3664"/>
      <c r="Q4" s="3673" t="s">
        <v>3219</v>
      </c>
      <c r="R4" s="3663" t="s">
        <v>3220</v>
      </c>
      <c r="S4" s="3663" t="s">
        <v>3221</v>
      </c>
      <c r="T4" s="3664"/>
      <c r="U4" s="3659" t="s">
        <v>3222</v>
      </c>
      <c r="V4" s="3659" t="s">
        <v>3223</v>
      </c>
      <c r="W4" s="3659" t="s">
        <v>3224</v>
      </c>
      <c r="X4" s="3659" t="s">
        <v>3225</v>
      </c>
      <c r="Y4" s="3660"/>
      <c r="Z4" s="3659" t="s">
        <v>3222</v>
      </c>
      <c r="AA4" s="3675" t="s">
        <v>3223</v>
      </c>
      <c r="AB4" s="3659" t="s">
        <v>3226</v>
      </c>
      <c r="AC4" s="3662" t="s">
        <v>3227</v>
      </c>
      <c r="AD4" s="3662" t="s">
        <v>3228</v>
      </c>
      <c r="AE4" s="3679" t="s">
        <v>3890</v>
      </c>
      <c r="AF4" s="3671" t="s">
        <v>3229</v>
      </c>
      <c r="AG4" s="3671"/>
      <c r="AH4" s="3671" t="s">
        <v>3230</v>
      </c>
      <c r="AI4" s="3671"/>
      <c r="AJ4" s="3671" t="s">
        <v>3231</v>
      </c>
      <c r="AK4" s="3671"/>
      <c r="AL4" s="3671" t="s">
        <v>3232</v>
      </c>
      <c r="AM4" s="3671"/>
      <c r="AN4" s="3671" t="s">
        <v>3233</v>
      </c>
      <c r="AO4" s="3671"/>
      <c r="AP4" s="3662" t="s">
        <v>3234</v>
      </c>
      <c r="AQ4" s="3662" t="s">
        <v>3235</v>
      </c>
      <c r="AR4" s="3663" t="s">
        <v>3236</v>
      </c>
      <c r="AS4" s="3660" t="s">
        <v>3237</v>
      </c>
      <c r="AT4" s="3664" t="s">
        <v>3238</v>
      </c>
      <c r="AU4" s="3664" t="s">
        <v>3239</v>
      </c>
      <c r="AV4" s="3664" t="s">
        <v>3240</v>
      </c>
      <c r="AW4" s="3664" t="s">
        <v>3241</v>
      </c>
      <c r="AX4" s="3664" t="s">
        <v>3242</v>
      </c>
      <c r="AY4" s="3664" t="s">
        <v>3236</v>
      </c>
      <c r="AZ4" s="3662"/>
      <c r="BA4" s="3659" t="s">
        <v>3222</v>
      </c>
      <c r="BB4" s="3659" t="s">
        <v>3223</v>
      </c>
      <c r="BC4" s="3659" t="s">
        <v>3224</v>
      </c>
      <c r="BD4" s="3659" t="s">
        <v>3225</v>
      </c>
      <c r="BE4" s="3663" t="s">
        <v>3243</v>
      </c>
      <c r="BF4" s="3663" t="s">
        <v>3244</v>
      </c>
      <c r="BG4" s="3663" t="s">
        <v>3245</v>
      </c>
      <c r="BH4" s="3663" t="s">
        <v>3246</v>
      </c>
      <c r="BI4" s="3663" t="s">
        <v>3247</v>
      </c>
      <c r="BJ4" s="3662"/>
      <c r="BK4" s="3662"/>
      <c r="BL4" s="3662"/>
      <c r="BM4" s="3659" t="s">
        <v>3248</v>
      </c>
      <c r="BN4" s="3659" t="s">
        <v>3249</v>
      </c>
      <c r="BO4" s="3659" t="s">
        <v>3248</v>
      </c>
      <c r="BP4" s="3659" t="s">
        <v>3249</v>
      </c>
      <c r="BQ4" s="3659" t="s">
        <v>3248</v>
      </c>
      <c r="BR4" s="3659" t="s">
        <v>3249</v>
      </c>
      <c r="BS4" s="3659" t="s">
        <v>3248</v>
      </c>
      <c r="BT4" s="3659" t="s">
        <v>3249</v>
      </c>
      <c r="BU4" s="3659" t="s">
        <v>3248</v>
      </c>
      <c r="BV4" s="3659" t="s">
        <v>3249</v>
      </c>
      <c r="BW4" s="3659" t="s">
        <v>3248</v>
      </c>
      <c r="BX4" s="3659" t="s">
        <v>3249</v>
      </c>
      <c r="BY4" s="3659" t="s">
        <v>3248</v>
      </c>
      <c r="BZ4" s="3659" t="s">
        <v>3249</v>
      </c>
      <c r="CA4" s="3659" t="s">
        <v>3248</v>
      </c>
      <c r="CB4" s="3659" t="s">
        <v>3249</v>
      </c>
      <c r="CC4" s="3659" t="s">
        <v>3248</v>
      </c>
      <c r="CD4" s="3659" t="s">
        <v>3249</v>
      </c>
      <c r="CE4" s="3659" t="s">
        <v>3248</v>
      </c>
      <c r="CF4" s="3659" t="s">
        <v>3249</v>
      </c>
      <c r="CG4" s="3659" t="s">
        <v>3248</v>
      </c>
      <c r="CH4" s="3659" t="s">
        <v>3249</v>
      </c>
      <c r="CI4" s="3659" t="s">
        <v>3248</v>
      </c>
      <c r="CJ4" s="3659" t="s">
        <v>3249</v>
      </c>
      <c r="CK4" s="3659" t="s">
        <v>3248</v>
      </c>
      <c r="CL4" s="3659" t="s">
        <v>3249</v>
      </c>
      <c r="CM4" s="3659" t="s">
        <v>3248</v>
      </c>
      <c r="CN4" s="3659" t="s">
        <v>3249</v>
      </c>
      <c r="CO4" s="3659" t="s">
        <v>3248</v>
      </c>
      <c r="CP4" s="3659" t="s">
        <v>3249</v>
      </c>
      <c r="CQ4" s="3659" t="s">
        <v>3248</v>
      </c>
      <c r="CR4" s="3659" t="s">
        <v>3249</v>
      </c>
      <c r="CS4" s="3659" t="s">
        <v>3248</v>
      </c>
      <c r="CT4" s="3659" t="s">
        <v>3249</v>
      </c>
      <c r="CU4" s="3659" t="s">
        <v>3248</v>
      </c>
      <c r="CV4" s="3659" t="s">
        <v>3249</v>
      </c>
      <c r="CW4" s="3659" t="s">
        <v>3248</v>
      </c>
      <c r="CX4" s="3659" t="s">
        <v>3249</v>
      </c>
      <c r="CY4" s="3659" t="s">
        <v>3248</v>
      </c>
      <c r="CZ4" s="3659" t="s">
        <v>3249</v>
      </c>
      <c r="DA4" s="3659" t="s">
        <v>3248</v>
      </c>
      <c r="DB4" s="3659" t="s">
        <v>3249</v>
      </c>
      <c r="DC4" s="3659" t="s">
        <v>3248</v>
      </c>
      <c r="DD4" s="3659" t="s">
        <v>3249</v>
      </c>
      <c r="DE4" s="3659" t="s">
        <v>3248</v>
      </c>
      <c r="DF4" s="3659" t="s">
        <v>3249</v>
      </c>
      <c r="DG4" s="3659" t="s">
        <v>3248</v>
      </c>
      <c r="DH4" s="3659" t="s">
        <v>3249</v>
      </c>
      <c r="DI4" s="3659" t="s">
        <v>3248</v>
      </c>
      <c r="DJ4" s="3659" t="s">
        <v>3249</v>
      </c>
    </row>
    <row r="5" spans="1:114" s="2991" customFormat="1">
      <c r="A5" s="3661"/>
      <c r="B5" s="3662"/>
      <c r="C5" s="3662"/>
      <c r="D5" s="3662"/>
      <c r="E5" s="3662"/>
      <c r="F5" s="3662"/>
      <c r="G5" s="3662"/>
      <c r="H5" s="3665"/>
      <c r="I5" s="3662"/>
      <c r="J5" s="3662"/>
      <c r="K5" s="3662"/>
      <c r="L5" s="3662"/>
      <c r="M5" s="3662"/>
      <c r="N5" s="3662"/>
      <c r="O5" s="3662"/>
      <c r="P5" s="3665"/>
      <c r="Q5" s="3674"/>
      <c r="R5" s="3665"/>
      <c r="S5" s="3665"/>
      <c r="T5" s="3665"/>
      <c r="U5" s="3661"/>
      <c r="V5" s="3661"/>
      <c r="W5" s="3661"/>
      <c r="X5" s="3661"/>
      <c r="Y5" s="3661"/>
      <c r="Z5" s="3661"/>
      <c r="AA5" s="3676"/>
      <c r="AB5" s="3661"/>
      <c r="AC5" s="3662"/>
      <c r="AD5" s="3662"/>
      <c r="AE5" s="3679"/>
      <c r="AF5" s="2992" t="s">
        <v>3250</v>
      </c>
      <c r="AG5" s="2992" t="s">
        <v>3224</v>
      </c>
      <c r="AH5" s="2992" t="s">
        <v>3250</v>
      </c>
      <c r="AI5" s="2992" t="s">
        <v>3224</v>
      </c>
      <c r="AJ5" s="2992" t="s">
        <v>3250</v>
      </c>
      <c r="AK5" s="2992" t="s">
        <v>3224</v>
      </c>
      <c r="AL5" s="2992" t="s">
        <v>3250</v>
      </c>
      <c r="AM5" s="2992" t="s">
        <v>3224</v>
      </c>
      <c r="AN5" s="2992" t="s">
        <v>3250</v>
      </c>
      <c r="AO5" s="2992" t="s">
        <v>3224</v>
      </c>
      <c r="AP5" s="3662"/>
      <c r="AQ5" s="3662"/>
      <c r="AR5" s="3665"/>
      <c r="AS5" s="3661"/>
      <c r="AT5" s="3665"/>
      <c r="AU5" s="3665"/>
      <c r="AV5" s="3665"/>
      <c r="AW5" s="3665"/>
      <c r="AX5" s="3665"/>
      <c r="AY5" s="3665"/>
      <c r="AZ5" s="3662"/>
      <c r="BA5" s="3661"/>
      <c r="BB5" s="3661"/>
      <c r="BC5" s="3661"/>
      <c r="BD5" s="3661"/>
      <c r="BE5" s="3665"/>
      <c r="BF5" s="3665"/>
      <c r="BG5" s="3665"/>
      <c r="BH5" s="3665"/>
      <c r="BI5" s="3665"/>
      <c r="BJ5" s="3662"/>
      <c r="BK5" s="3662"/>
      <c r="BL5" s="3662"/>
      <c r="BM5" s="3661"/>
      <c r="BN5" s="3661"/>
      <c r="BO5" s="3661"/>
      <c r="BP5" s="3661"/>
      <c r="BQ5" s="3661"/>
      <c r="BR5" s="3661"/>
      <c r="BS5" s="3661"/>
      <c r="BT5" s="3661"/>
      <c r="BU5" s="3661"/>
      <c r="BV5" s="3661"/>
      <c r="BW5" s="3661"/>
      <c r="BX5" s="3661"/>
      <c r="BY5" s="3661"/>
      <c r="BZ5" s="3661"/>
      <c r="CA5" s="3661"/>
      <c r="CB5" s="3661"/>
      <c r="CC5" s="3661"/>
      <c r="CD5" s="3661"/>
      <c r="CE5" s="3661"/>
      <c r="CF5" s="3661"/>
      <c r="CG5" s="3661"/>
      <c r="CH5" s="3661"/>
      <c r="CI5" s="3661"/>
      <c r="CJ5" s="3661"/>
      <c r="CK5" s="3661"/>
      <c r="CL5" s="3661"/>
      <c r="CM5" s="3661"/>
      <c r="CN5" s="3661"/>
      <c r="CO5" s="3661"/>
      <c r="CP5" s="3661"/>
      <c r="CQ5" s="3661"/>
      <c r="CR5" s="3661"/>
      <c r="CS5" s="3661"/>
      <c r="CT5" s="3661"/>
      <c r="CU5" s="3661"/>
      <c r="CV5" s="3661"/>
      <c r="CW5" s="3661"/>
      <c r="CX5" s="3661"/>
      <c r="CY5" s="3661"/>
      <c r="CZ5" s="3661"/>
      <c r="DA5" s="3661"/>
      <c r="DB5" s="3661"/>
      <c r="DC5" s="3661"/>
      <c r="DD5" s="3661"/>
      <c r="DE5" s="3661"/>
      <c r="DF5" s="3661"/>
      <c r="DG5" s="3661"/>
      <c r="DH5" s="3661"/>
      <c r="DI5" s="3661"/>
      <c r="DJ5" s="3661"/>
    </row>
    <row r="6" spans="1:114" s="3011" customFormat="1" ht="30" customHeight="1">
      <c r="A6" s="2993">
        <f t="shared" ref="A6:A29" si="0">ROW()-5</f>
        <v>1</v>
      </c>
      <c r="B6" s="2994">
        <v>42935</v>
      </c>
      <c r="C6" s="2994">
        <v>42947</v>
      </c>
      <c r="D6" s="2995" t="s">
        <v>3251</v>
      </c>
      <c r="E6" s="2995" t="s">
        <v>3252</v>
      </c>
      <c r="F6" s="2995">
        <v>500689</v>
      </c>
      <c r="G6" s="2995" t="s">
        <v>3253</v>
      </c>
      <c r="H6" s="2996" t="s">
        <v>3254</v>
      </c>
      <c r="I6" s="2995" t="s">
        <v>3255</v>
      </c>
      <c r="J6" s="2995" t="s">
        <v>3253</v>
      </c>
      <c r="K6" s="2995">
        <v>13651014680</v>
      </c>
      <c r="L6" s="2997" t="s">
        <v>3256</v>
      </c>
      <c r="M6" s="2997" t="s">
        <v>3257</v>
      </c>
      <c r="N6" s="2995" t="s">
        <v>3258</v>
      </c>
      <c r="O6" s="2995">
        <v>210</v>
      </c>
      <c r="P6" s="2996"/>
      <c r="Q6" s="2998">
        <v>22260</v>
      </c>
      <c r="R6" s="2999">
        <v>42936</v>
      </c>
      <c r="S6" s="2998">
        <v>22260</v>
      </c>
      <c r="T6" s="2999">
        <v>42962</v>
      </c>
      <c r="U6" s="3000">
        <v>43084</v>
      </c>
      <c r="V6" s="3000">
        <v>43145</v>
      </c>
      <c r="W6" s="2993">
        <v>2</v>
      </c>
      <c r="X6" s="2993"/>
      <c r="Y6" s="3000">
        <v>43146</v>
      </c>
      <c r="Z6" s="3000">
        <v>42962</v>
      </c>
      <c r="AA6" s="3110">
        <v>45152</v>
      </c>
      <c r="AB6" s="2993">
        <v>6</v>
      </c>
      <c r="AC6" s="2995" t="s">
        <v>3259</v>
      </c>
      <c r="AD6" s="2995">
        <v>5</v>
      </c>
      <c r="AE6" s="3129">
        <f>ROUND(AG6*12*O6,0)</f>
        <v>267120</v>
      </c>
      <c r="AF6" s="3001"/>
      <c r="AG6" s="3134">
        <v>106</v>
      </c>
      <c r="AH6" s="3001"/>
      <c r="AI6" s="2998">
        <v>106</v>
      </c>
      <c r="AJ6" s="3001"/>
      <c r="AK6" s="2998">
        <v>111.3</v>
      </c>
      <c r="AL6" s="3001"/>
      <c r="AM6" s="2998">
        <v>116.87</v>
      </c>
      <c r="AN6" s="3001"/>
      <c r="AO6" s="3001"/>
      <c r="AP6" s="2994">
        <v>43146</v>
      </c>
      <c r="AQ6" s="2994">
        <v>43234</v>
      </c>
      <c r="AR6" s="3002" t="s">
        <v>3260</v>
      </c>
      <c r="AS6" s="2993">
        <v>9581.25</v>
      </c>
      <c r="AT6" s="2998">
        <v>0</v>
      </c>
      <c r="AU6" s="2998">
        <v>1.5</v>
      </c>
      <c r="AV6" s="2996"/>
      <c r="AW6" s="3003">
        <v>43084</v>
      </c>
      <c r="AX6" s="3003">
        <v>43234</v>
      </c>
      <c r="AY6" s="3004" t="s">
        <v>3260</v>
      </c>
      <c r="AZ6" s="2995"/>
      <c r="BA6" s="3000">
        <v>42962</v>
      </c>
      <c r="BB6" s="3000">
        <v>43083</v>
      </c>
      <c r="BC6" s="2993">
        <v>4</v>
      </c>
      <c r="BD6" s="2993"/>
      <c r="BE6" s="3005">
        <v>0</v>
      </c>
      <c r="BF6" s="2998">
        <v>2100</v>
      </c>
      <c r="BG6" s="2996"/>
      <c r="BH6" s="2996"/>
      <c r="BI6" s="2996"/>
      <c r="BJ6" s="2995"/>
      <c r="BK6" s="2995" t="s">
        <v>3261</v>
      </c>
      <c r="BL6" s="3006"/>
      <c r="BM6" s="3007"/>
      <c r="BN6" s="3007"/>
      <c r="BO6" s="3007"/>
      <c r="BP6" s="3007"/>
      <c r="BQ6" s="3007"/>
      <c r="BR6" s="3007"/>
      <c r="BS6" s="3007"/>
      <c r="BT6" s="3007"/>
      <c r="BU6" s="3007"/>
      <c r="BV6" s="3007"/>
      <c r="BW6" s="3007"/>
      <c r="BX6" s="3007"/>
      <c r="BY6" s="3007"/>
      <c r="BZ6" s="3007"/>
      <c r="CA6" s="3007"/>
      <c r="CB6" s="3007"/>
      <c r="CC6" s="3007"/>
      <c r="CD6" s="3007"/>
      <c r="CE6" s="3007"/>
      <c r="CF6" s="3007"/>
      <c r="CG6" s="3007"/>
      <c r="CH6" s="3007"/>
      <c r="CI6" s="3008"/>
      <c r="CJ6" s="3008">
        <v>5355</v>
      </c>
      <c r="CK6" s="3008"/>
      <c r="CL6" s="3008">
        <v>9765</v>
      </c>
      <c r="CM6" s="3008">
        <v>11130</v>
      </c>
      <c r="CN6" s="3008">
        <v>8820</v>
      </c>
      <c r="CO6" s="3008">
        <v>22260</v>
      </c>
      <c r="CP6" s="3008">
        <v>9765</v>
      </c>
      <c r="CQ6" s="3008">
        <v>22260</v>
      </c>
      <c r="CR6" s="3008">
        <v>9450</v>
      </c>
      <c r="CS6" s="3008">
        <v>10052.9</v>
      </c>
      <c r="CT6" s="3008">
        <v>4410</v>
      </c>
      <c r="CU6" s="3009"/>
      <c r="CV6" s="3009"/>
      <c r="CW6" s="3009"/>
      <c r="CX6" s="3009"/>
      <c r="CY6" s="3009"/>
      <c r="CZ6" s="3009"/>
      <c r="DA6" s="3009"/>
      <c r="DB6" s="3009"/>
      <c r="DC6" s="3009"/>
      <c r="DD6" s="3009"/>
      <c r="DE6" s="3009"/>
      <c r="DF6" s="3009"/>
      <c r="DG6" s="3009"/>
      <c r="DH6" s="3009"/>
      <c r="DI6" s="3010">
        <f ca="1">SUMIF($BM$4:$DH$5,DI$4,$BM6:$DH6)</f>
        <v>65702.899999999994</v>
      </c>
      <c r="DJ6" s="3010">
        <f ca="1">SUMIF($BM$4:$DH$5,DJ$4,$BM6:$DH6)</f>
        <v>47565</v>
      </c>
    </row>
    <row r="7" spans="1:114" s="3015" customFormat="1" ht="30" customHeight="1">
      <c r="A7" s="3012">
        <f t="shared" si="0"/>
        <v>2</v>
      </c>
      <c r="B7" s="2994">
        <v>41778</v>
      </c>
      <c r="C7" s="2999">
        <v>41778</v>
      </c>
      <c r="D7" s="3012" t="s">
        <v>3262</v>
      </c>
      <c r="E7" s="2997" t="s">
        <v>3263</v>
      </c>
      <c r="F7" s="2995">
        <v>500417</v>
      </c>
      <c r="G7" s="2995" t="s">
        <v>3264</v>
      </c>
      <c r="H7" s="3012" t="s">
        <v>3254</v>
      </c>
      <c r="I7" s="2997" t="s">
        <v>3265</v>
      </c>
      <c r="J7" s="2995" t="s">
        <v>3264</v>
      </c>
      <c r="K7" s="2997" t="s">
        <v>3266</v>
      </c>
      <c r="L7" s="2997" t="s">
        <v>3256</v>
      </c>
      <c r="M7" s="2997" t="s">
        <v>3257</v>
      </c>
      <c r="N7" s="2997" t="s">
        <v>3267</v>
      </c>
      <c r="O7" s="2995">
        <v>313</v>
      </c>
      <c r="P7" s="3012"/>
      <c r="Q7" s="2998">
        <v>15000</v>
      </c>
      <c r="R7" s="2999" t="s">
        <v>3268</v>
      </c>
      <c r="S7" s="2998">
        <v>15000</v>
      </c>
      <c r="T7" s="2999" t="s">
        <v>3269</v>
      </c>
      <c r="U7" s="2999"/>
      <c r="V7" s="2999"/>
      <c r="W7" s="2995"/>
      <c r="X7" s="2995"/>
      <c r="Y7" s="2999">
        <v>42934</v>
      </c>
      <c r="Z7" s="2999" t="s">
        <v>3270</v>
      </c>
      <c r="AA7" s="3107">
        <v>43100</v>
      </c>
      <c r="AB7" s="2997" t="s">
        <v>3271</v>
      </c>
      <c r="AC7" s="3012"/>
      <c r="AD7" s="3012"/>
      <c r="AE7" s="3129">
        <f>ROUND(AK7*12*O7,0)</f>
        <v>200007</v>
      </c>
      <c r="AF7" s="2998">
        <v>1.57</v>
      </c>
      <c r="AG7" s="2998">
        <v>47.92</v>
      </c>
      <c r="AH7" s="2998">
        <v>1.75</v>
      </c>
      <c r="AI7" s="2998">
        <v>53.23</v>
      </c>
      <c r="AJ7" s="2998"/>
      <c r="AK7" s="3134">
        <v>53.25</v>
      </c>
      <c r="AL7" s="2998"/>
      <c r="AM7" s="3008"/>
      <c r="AN7" s="2998"/>
      <c r="AO7" s="3008"/>
      <c r="AP7" s="2994">
        <v>41869</v>
      </c>
      <c r="AQ7" s="2994">
        <v>43039</v>
      </c>
      <c r="AR7" s="3002" t="s">
        <v>3260</v>
      </c>
      <c r="AS7" s="2998"/>
      <c r="AT7" s="2998">
        <v>0</v>
      </c>
      <c r="AU7" s="2998"/>
      <c r="AV7" s="2998">
        <v>20.100000000000001</v>
      </c>
      <c r="AW7" s="2994">
        <v>42569</v>
      </c>
      <c r="AX7" s="2994">
        <v>43039</v>
      </c>
      <c r="AY7" s="3004" t="s">
        <v>3260</v>
      </c>
      <c r="AZ7" s="2998"/>
      <c r="BA7" s="2999">
        <v>41775</v>
      </c>
      <c r="BB7" s="2999">
        <v>41834</v>
      </c>
      <c r="BC7" s="2995"/>
      <c r="BD7" s="2995">
        <v>60</v>
      </c>
      <c r="BE7" s="2998">
        <v>5000</v>
      </c>
      <c r="BF7" s="2998">
        <v>1400</v>
      </c>
      <c r="BG7" s="2994"/>
      <c r="BH7" s="2994"/>
      <c r="BI7" s="2998"/>
      <c r="BJ7" s="3012"/>
      <c r="BK7" s="3012" t="s">
        <v>3261</v>
      </c>
      <c r="BL7" s="3013"/>
      <c r="BM7" s="3014"/>
      <c r="BN7" s="3014"/>
      <c r="BO7" s="3009">
        <v>16667.25</v>
      </c>
      <c r="BP7" s="3009">
        <v>6291.3</v>
      </c>
      <c r="BQ7" s="3009">
        <v>16667.25</v>
      </c>
      <c r="BR7" s="3009">
        <v>6291.3</v>
      </c>
      <c r="BS7" s="3009">
        <v>16667.25</v>
      </c>
      <c r="BT7" s="3009">
        <v>6291.3</v>
      </c>
      <c r="BU7" s="3009">
        <v>16667.25</v>
      </c>
      <c r="BV7" s="3009">
        <v>6291.3</v>
      </c>
      <c r="BW7" s="3009">
        <v>16667.25</v>
      </c>
      <c r="BX7" s="3009">
        <v>6291.3</v>
      </c>
      <c r="BY7" s="3009">
        <v>16667.25</v>
      </c>
      <c r="BZ7" s="3009">
        <v>6291.3</v>
      </c>
      <c r="CA7" s="3009">
        <v>16667.25</v>
      </c>
      <c r="CB7" s="3009">
        <v>6291.3</v>
      </c>
      <c r="CC7" s="3009">
        <v>16667.25</v>
      </c>
      <c r="CD7" s="3009">
        <v>6291.3</v>
      </c>
      <c r="CE7" s="3009">
        <v>16667.25</v>
      </c>
      <c r="CF7" s="3009">
        <v>6291.3</v>
      </c>
      <c r="CG7" s="3009"/>
      <c r="CH7" s="3009"/>
      <c r="CI7" s="3009"/>
      <c r="CJ7" s="3009"/>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10">
        <f t="shared" ref="DI7:DJ29" ca="1" si="1">SUMIF($BM$4:$DH$5,DI$4,$BM7:$DH7)</f>
        <v>150005.25</v>
      </c>
      <c r="DJ7" s="3010">
        <f t="shared" ca="1" si="1"/>
        <v>56621.700000000012</v>
      </c>
    </row>
    <row r="8" spans="1:114" s="3015" customFormat="1" ht="30" customHeight="1">
      <c r="A8" s="3012">
        <f t="shared" si="0"/>
        <v>3</v>
      </c>
      <c r="B8" s="2994">
        <v>42206</v>
      </c>
      <c r="C8" s="2999">
        <v>42206</v>
      </c>
      <c r="D8" s="3012" t="s">
        <v>3272</v>
      </c>
      <c r="E8" s="2997" t="s">
        <v>3273</v>
      </c>
      <c r="F8" s="2995">
        <v>500532</v>
      </c>
      <c r="G8" s="2995" t="s">
        <v>3274</v>
      </c>
      <c r="H8" s="3012" t="s">
        <v>3275</v>
      </c>
      <c r="I8" s="2997" t="s">
        <v>3276</v>
      </c>
      <c r="J8" s="2995" t="s">
        <v>3274</v>
      </c>
      <c r="K8" s="2997" t="s">
        <v>3277</v>
      </c>
      <c r="L8" s="2997" t="s">
        <v>3278</v>
      </c>
      <c r="M8" s="2997" t="s">
        <v>3279</v>
      </c>
      <c r="N8" s="2997" t="s">
        <v>3280</v>
      </c>
      <c r="O8" s="2995">
        <v>38</v>
      </c>
      <c r="P8" s="3012"/>
      <c r="Q8" s="2998">
        <f>2000+8431</f>
        <v>10431</v>
      </c>
      <c r="R8" s="2999" t="s">
        <v>3281</v>
      </c>
      <c r="S8" s="2998">
        <f>2000+8431</f>
        <v>10431</v>
      </c>
      <c r="T8" s="2999">
        <v>42221</v>
      </c>
      <c r="U8" s="2999"/>
      <c r="V8" s="2999"/>
      <c r="W8" s="2995"/>
      <c r="X8" s="2995"/>
      <c r="Y8" s="2999">
        <v>42962</v>
      </c>
      <c r="Z8" s="2999">
        <v>42231</v>
      </c>
      <c r="AA8" s="3107">
        <v>44057</v>
      </c>
      <c r="AB8" s="2997" t="s">
        <v>3282</v>
      </c>
      <c r="AC8" s="3012"/>
      <c r="AD8" s="3012"/>
      <c r="AE8" s="3129">
        <f>ROUND(AK8*12*O8,0)</f>
        <v>43822</v>
      </c>
      <c r="AF8" s="2998"/>
      <c r="AG8" s="2998">
        <v>61</v>
      </c>
      <c r="AH8" s="2998"/>
      <c r="AI8" s="2998">
        <v>76.040000000000006</v>
      </c>
      <c r="AJ8" s="2998"/>
      <c r="AK8" s="3135">
        <v>96.1</v>
      </c>
      <c r="AL8" s="2998"/>
      <c r="AM8" s="3008">
        <v>100.9</v>
      </c>
      <c r="AN8" s="2998"/>
      <c r="AO8" s="3008"/>
      <c r="AP8" s="2994">
        <v>42231</v>
      </c>
      <c r="AQ8" s="2994">
        <v>43039</v>
      </c>
      <c r="AR8" s="3002" t="s">
        <v>3283</v>
      </c>
      <c r="AS8" s="2998">
        <v>5130</v>
      </c>
      <c r="AT8" s="2998">
        <v>270</v>
      </c>
      <c r="AU8" s="2998"/>
      <c r="AV8" s="2998">
        <v>45</v>
      </c>
      <c r="AW8" s="2994">
        <v>42231</v>
      </c>
      <c r="AX8" s="2994">
        <v>43039</v>
      </c>
      <c r="AY8" s="3004" t="s">
        <v>3283</v>
      </c>
      <c r="AZ8" s="2998"/>
      <c r="BA8" s="2999">
        <v>42221</v>
      </c>
      <c r="BB8" s="2999">
        <v>42230</v>
      </c>
      <c r="BC8" s="2995"/>
      <c r="BD8" s="2995">
        <v>10</v>
      </c>
      <c r="BE8" s="2998">
        <v>3000</v>
      </c>
      <c r="BF8" s="2998">
        <v>270</v>
      </c>
      <c r="BG8" s="2994"/>
      <c r="BH8" s="2994"/>
      <c r="BI8" s="2998"/>
      <c r="BJ8" s="3012"/>
      <c r="BK8" s="3012" t="s">
        <v>3284</v>
      </c>
      <c r="BL8" s="3013"/>
      <c r="BM8" s="3014"/>
      <c r="BN8" s="3014"/>
      <c r="BO8" s="3009">
        <v>2053.08</v>
      </c>
      <c r="BP8" s="3009">
        <v>810</v>
      </c>
      <c r="BQ8" s="3009">
        <v>2053.08</v>
      </c>
      <c r="BR8" s="3009">
        <v>810</v>
      </c>
      <c r="BS8" s="3009">
        <v>2053.08</v>
      </c>
      <c r="BT8" s="3009">
        <v>810</v>
      </c>
      <c r="BU8" s="3009">
        <v>2053.08</v>
      </c>
      <c r="BV8" s="3009">
        <v>810</v>
      </c>
      <c r="BW8" s="3009">
        <v>2053.08</v>
      </c>
      <c r="BX8" s="3009">
        <v>810</v>
      </c>
      <c r="BY8" s="3009">
        <v>2053.08</v>
      </c>
      <c r="BZ8" s="3009">
        <v>810</v>
      </c>
      <c r="CA8" s="3009">
        <f>927.2+1906.74</f>
        <v>2833.94</v>
      </c>
      <c r="CB8" s="3009">
        <f>365.81+937.74</f>
        <v>1303.55</v>
      </c>
      <c r="CC8" s="3009">
        <v>3477</v>
      </c>
      <c r="CD8" s="3009">
        <v>1710</v>
      </c>
      <c r="CE8" s="3009">
        <v>3477</v>
      </c>
      <c r="CF8" s="3009">
        <v>1710</v>
      </c>
      <c r="CG8" s="3009"/>
      <c r="CH8" s="3009"/>
      <c r="CI8" s="3009"/>
      <c r="CJ8" s="3009"/>
      <c r="CK8" s="3009"/>
      <c r="CL8" s="3009"/>
      <c r="CM8" s="3009"/>
      <c r="CN8" s="3009"/>
      <c r="CO8" s="3009"/>
      <c r="CP8" s="3009"/>
      <c r="CQ8" s="3009"/>
      <c r="CR8" s="3009"/>
      <c r="CS8" s="3009"/>
      <c r="CT8" s="3009"/>
      <c r="CU8" s="3009"/>
      <c r="CV8" s="3009"/>
      <c r="CW8" s="3009"/>
      <c r="CX8" s="3009"/>
      <c r="CY8" s="3009"/>
      <c r="CZ8" s="3009"/>
      <c r="DA8" s="3009"/>
      <c r="DB8" s="3009"/>
      <c r="DC8" s="3009"/>
      <c r="DD8" s="3009"/>
      <c r="DE8" s="3009"/>
      <c r="DF8" s="3009"/>
      <c r="DG8" s="3009"/>
      <c r="DH8" s="3009"/>
      <c r="DI8" s="3010">
        <f t="shared" ca="1" si="1"/>
        <v>22106.42</v>
      </c>
      <c r="DJ8" s="3010">
        <f t="shared" ca="1" si="1"/>
        <v>9583.5499999999993</v>
      </c>
    </row>
    <row r="9" spans="1:114" s="3015" customFormat="1" ht="30" customHeight="1">
      <c r="A9" s="3012">
        <f t="shared" si="0"/>
        <v>4</v>
      </c>
      <c r="B9" s="2994">
        <v>41542</v>
      </c>
      <c r="C9" s="2999">
        <v>41542</v>
      </c>
      <c r="D9" s="3012" t="s">
        <v>3285</v>
      </c>
      <c r="E9" s="2997" t="s">
        <v>3286</v>
      </c>
      <c r="F9" s="2995">
        <v>500099</v>
      </c>
      <c r="G9" s="2995" t="s">
        <v>3287</v>
      </c>
      <c r="H9" s="3012" t="s">
        <v>3288</v>
      </c>
      <c r="I9" s="2997" t="s">
        <v>3289</v>
      </c>
      <c r="J9" s="2995" t="s">
        <v>3287</v>
      </c>
      <c r="K9" s="2997" t="s">
        <v>3290</v>
      </c>
      <c r="L9" s="2997" t="s">
        <v>3278</v>
      </c>
      <c r="M9" s="2997" t="s">
        <v>3279</v>
      </c>
      <c r="N9" s="2997" t="s">
        <v>3291</v>
      </c>
      <c r="O9" s="2995">
        <v>184</v>
      </c>
      <c r="P9" s="3012"/>
      <c r="Q9" s="2998">
        <v>27132</v>
      </c>
      <c r="R9" s="2999">
        <v>41542</v>
      </c>
      <c r="S9" s="2998">
        <v>27132</v>
      </c>
      <c r="T9" s="2999">
        <v>41548</v>
      </c>
      <c r="U9" s="2999">
        <v>41777</v>
      </c>
      <c r="V9" s="2999">
        <v>41807</v>
      </c>
      <c r="W9" s="2995">
        <v>1</v>
      </c>
      <c r="X9" s="2995"/>
      <c r="Y9" s="2999">
        <v>41808</v>
      </c>
      <c r="Z9" s="2999">
        <v>41760</v>
      </c>
      <c r="AA9" s="3107">
        <v>43585</v>
      </c>
      <c r="AB9" s="2997" t="s">
        <v>3292</v>
      </c>
      <c r="AC9" s="3012"/>
      <c r="AD9" s="3012"/>
      <c r="AE9" s="3133">
        <f>ROUND(AJ9*365*O9,0)</f>
        <v>255208</v>
      </c>
      <c r="AF9" s="2998">
        <v>3.3</v>
      </c>
      <c r="AG9" s="2998">
        <v>100.38</v>
      </c>
      <c r="AH9" s="2998">
        <v>3.5</v>
      </c>
      <c r="AI9" s="2998">
        <v>106.46</v>
      </c>
      <c r="AJ9" s="3134">
        <v>3.8</v>
      </c>
      <c r="AK9" s="3008"/>
      <c r="AL9" s="2998">
        <v>3.95</v>
      </c>
      <c r="AM9" s="3008"/>
      <c r="AN9" s="2998"/>
      <c r="AO9" s="3008"/>
      <c r="AP9" s="2994">
        <v>41808</v>
      </c>
      <c r="AQ9" s="2994">
        <v>43069</v>
      </c>
      <c r="AR9" s="3002" t="s">
        <v>3283</v>
      </c>
      <c r="AS9" s="2998"/>
      <c r="AT9" s="2998">
        <v>5796</v>
      </c>
      <c r="AU9" s="2998">
        <v>0.7</v>
      </c>
      <c r="AV9" s="2998">
        <v>21</v>
      </c>
      <c r="AW9" s="2994">
        <v>41869</v>
      </c>
      <c r="AX9" s="2994">
        <v>43069</v>
      </c>
      <c r="AY9" s="3004" t="s">
        <v>3283</v>
      </c>
      <c r="AZ9" s="2998"/>
      <c r="BA9" s="2999">
        <v>41548</v>
      </c>
      <c r="BB9" s="2999">
        <v>41592</v>
      </c>
      <c r="BC9" s="2995"/>
      <c r="BD9" s="2995">
        <v>45</v>
      </c>
      <c r="BE9" s="2998">
        <v>5000</v>
      </c>
      <c r="BF9" s="2998">
        <v>1840</v>
      </c>
      <c r="BG9" s="2994"/>
      <c r="BH9" s="2994"/>
      <c r="BI9" s="2998"/>
      <c r="BJ9" s="3012" t="s">
        <v>3293</v>
      </c>
      <c r="BK9" s="3012" t="s">
        <v>3284</v>
      </c>
      <c r="BL9" s="3013"/>
      <c r="BM9" s="3009"/>
      <c r="BN9" s="3009"/>
      <c r="BO9" s="3009"/>
      <c r="BP9" s="3009"/>
      <c r="BQ9" s="3009">
        <v>20427.68</v>
      </c>
      <c r="BR9" s="3009">
        <v>3864</v>
      </c>
      <c r="BS9" s="3009">
        <v>20427.68</v>
      </c>
      <c r="BT9" s="3009">
        <v>3864</v>
      </c>
      <c r="BU9" s="3009">
        <v>21266.720000000001</v>
      </c>
      <c r="BV9" s="3009">
        <v>3864</v>
      </c>
      <c r="BW9" s="3009">
        <v>21266.720000000001</v>
      </c>
      <c r="BX9" s="3009">
        <v>3864</v>
      </c>
      <c r="BY9" s="3009">
        <v>21266.720000000001</v>
      </c>
      <c r="BZ9" s="3009">
        <v>3864</v>
      </c>
      <c r="CA9" s="3009">
        <v>21266.720000000001</v>
      </c>
      <c r="CB9" s="3009">
        <v>3864</v>
      </c>
      <c r="CC9" s="3009">
        <v>21266.720000000001</v>
      </c>
      <c r="CD9" s="3009">
        <v>3864</v>
      </c>
      <c r="CE9" s="3009">
        <v>21266.720000000001</v>
      </c>
      <c r="CF9" s="3009">
        <v>3864</v>
      </c>
      <c r="CG9" s="3009">
        <v>21266.720000000001</v>
      </c>
      <c r="CH9" s="3009">
        <v>3864</v>
      </c>
      <c r="CI9" s="3009">
        <v>3.68</v>
      </c>
      <c r="CJ9" s="3009"/>
      <c r="CK9" s="3009"/>
      <c r="CL9" s="3009"/>
      <c r="CM9" s="3009"/>
      <c r="CN9" s="3009"/>
      <c r="CO9" s="3009"/>
      <c r="CP9" s="3009"/>
      <c r="CQ9" s="3009"/>
      <c r="CR9" s="3009"/>
      <c r="CS9" s="3009"/>
      <c r="CT9" s="3009"/>
      <c r="CU9" s="3009"/>
      <c r="CV9" s="3009"/>
      <c r="CW9" s="3009"/>
      <c r="CX9" s="3009"/>
      <c r="CY9" s="3009"/>
      <c r="CZ9" s="3009"/>
      <c r="DA9" s="3009"/>
      <c r="DB9" s="3009"/>
      <c r="DC9" s="3009"/>
      <c r="DD9" s="3009"/>
      <c r="DE9" s="3009"/>
      <c r="DF9" s="3009"/>
      <c r="DG9" s="3009"/>
      <c r="DH9" s="3009"/>
      <c r="DI9" s="3010">
        <f t="shared" ca="1" si="1"/>
        <v>189726.08000000002</v>
      </c>
      <c r="DJ9" s="3010">
        <f t="shared" ca="1" si="1"/>
        <v>34776</v>
      </c>
    </row>
    <row r="10" spans="1:114" s="3015" customFormat="1" ht="30" customHeight="1">
      <c r="A10" s="3012">
        <f t="shared" si="0"/>
        <v>5</v>
      </c>
      <c r="B10" s="2994">
        <v>41757</v>
      </c>
      <c r="C10" s="2999">
        <v>41757</v>
      </c>
      <c r="D10" s="3012" t="s">
        <v>3294</v>
      </c>
      <c r="E10" s="2997" t="s">
        <v>3295</v>
      </c>
      <c r="F10" s="2995">
        <v>500340</v>
      </c>
      <c r="G10" s="2995" t="s">
        <v>3296</v>
      </c>
      <c r="H10" s="3012" t="s">
        <v>3288</v>
      </c>
      <c r="I10" s="2997" t="s">
        <v>3297</v>
      </c>
      <c r="J10" s="2995" t="s">
        <v>3296</v>
      </c>
      <c r="K10" s="2997" t="s">
        <v>3298</v>
      </c>
      <c r="L10" s="2997" t="s">
        <v>3278</v>
      </c>
      <c r="M10" s="2997" t="s">
        <v>3279</v>
      </c>
      <c r="N10" s="2997" t="s">
        <v>3299</v>
      </c>
      <c r="O10" s="2995">
        <v>173</v>
      </c>
      <c r="P10" s="3012"/>
      <c r="Q10" s="2998">
        <f>18511+40136</f>
        <v>58647</v>
      </c>
      <c r="R10" s="2999">
        <v>41757</v>
      </c>
      <c r="S10" s="2998">
        <v>18511</v>
      </c>
      <c r="T10" s="2999">
        <v>41754</v>
      </c>
      <c r="U10" s="2999"/>
      <c r="V10" s="2999"/>
      <c r="W10" s="2995"/>
      <c r="X10" s="2995"/>
      <c r="Y10" s="2999">
        <v>42979</v>
      </c>
      <c r="Z10" s="2999">
        <v>41883</v>
      </c>
      <c r="AA10" s="3107">
        <v>43677</v>
      </c>
      <c r="AB10" s="2997" t="s">
        <v>3300</v>
      </c>
      <c r="AC10" s="3012"/>
      <c r="AD10" s="3012"/>
      <c r="AE10" s="3129">
        <f>ROUND(AK10*12*O10,0)</f>
        <v>234588</v>
      </c>
      <c r="AF10" s="2998">
        <v>3.51</v>
      </c>
      <c r="AG10" s="2998">
        <v>107</v>
      </c>
      <c r="AH10" s="2998">
        <v>3.51</v>
      </c>
      <c r="AI10" s="2998">
        <v>107</v>
      </c>
      <c r="AJ10" s="2998">
        <v>3.7</v>
      </c>
      <c r="AK10" s="3135">
        <v>113</v>
      </c>
      <c r="AL10" s="2998"/>
      <c r="AM10" s="3008">
        <v>113</v>
      </c>
      <c r="AN10" s="2998"/>
      <c r="AO10" s="3008"/>
      <c r="AP10" s="2994">
        <v>41883</v>
      </c>
      <c r="AQ10" s="2994">
        <v>42978</v>
      </c>
      <c r="AR10" s="3002" t="s">
        <v>3301</v>
      </c>
      <c r="AS10" s="2998">
        <v>23355</v>
      </c>
      <c r="AT10" s="2998">
        <v>5449.5</v>
      </c>
      <c r="AU10" s="2998"/>
      <c r="AV10" s="2998">
        <v>45</v>
      </c>
      <c r="AW10" s="2994">
        <v>41883</v>
      </c>
      <c r="AX10" s="2994">
        <v>42978</v>
      </c>
      <c r="AY10" s="3004" t="s">
        <v>3301</v>
      </c>
      <c r="AZ10" s="2998"/>
      <c r="BA10" s="2999">
        <v>41754</v>
      </c>
      <c r="BB10" s="2999">
        <v>41798</v>
      </c>
      <c r="BC10" s="2995"/>
      <c r="BD10" s="2995">
        <v>45</v>
      </c>
      <c r="BE10" s="2998">
        <v>5000</v>
      </c>
      <c r="BF10" s="2998">
        <v>1730</v>
      </c>
      <c r="BG10" s="2994"/>
      <c r="BH10" s="2994"/>
      <c r="BI10" s="2998"/>
      <c r="BJ10" s="3012"/>
      <c r="BK10" s="3012" t="s">
        <v>3302</v>
      </c>
      <c r="BL10" s="3013"/>
      <c r="BM10" s="3009"/>
      <c r="BN10" s="3009"/>
      <c r="BO10" s="3009"/>
      <c r="BP10" s="3009"/>
      <c r="BQ10" s="3009">
        <v>19549</v>
      </c>
      <c r="BR10" s="3009">
        <v>3633</v>
      </c>
      <c r="BS10" s="3009">
        <v>19549</v>
      </c>
      <c r="BT10" s="3009">
        <v>3633</v>
      </c>
      <c r="BU10" s="3009">
        <v>19549</v>
      </c>
      <c r="BV10" s="3009">
        <v>3633</v>
      </c>
      <c r="BW10" s="3009">
        <v>19549</v>
      </c>
      <c r="BX10" s="3009">
        <v>3633</v>
      </c>
      <c r="BY10" s="3009">
        <v>19549</v>
      </c>
      <c r="BZ10" s="3009">
        <v>3633</v>
      </c>
      <c r="CA10" s="3009">
        <v>19549</v>
      </c>
      <c r="CB10" s="3009">
        <v>3633</v>
      </c>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10">
        <f t="shared" ca="1" si="1"/>
        <v>117294</v>
      </c>
      <c r="DJ10" s="3010">
        <f t="shared" ca="1" si="1"/>
        <v>21798</v>
      </c>
    </row>
    <row r="11" spans="1:114" s="3125" customFormat="1" ht="30" customHeight="1">
      <c r="A11" s="3114">
        <f t="shared" si="0"/>
        <v>6</v>
      </c>
      <c r="B11" s="3115">
        <v>42009</v>
      </c>
      <c r="C11" s="3116">
        <v>42010</v>
      </c>
      <c r="D11" s="3114" t="s">
        <v>3303</v>
      </c>
      <c r="E11" s="3117" t="s">
        <v>3304</v>
      </c>
      <c r="F11" s="3118">
        <v>500490</v>
      </c>
      <c r="G11" s="3118" t="s">
        <v>3305</v>
      </c>
      <c r="H11" s="3114" t="s">
        <v>3275</v>
      </c>
      <c r="I11" s="3117" t="s">
        <v>3306</v>
      </c>
      <c r="J11" s="3118" t="s">
        <v>3305</v>
      </c>
      <c r="K11" s="3117" t="s">
        <v>3307</v>
      </c>
      <c r="L11" s="3117" t="s">
        <v>3308</v>
      </c>
      <c r="M11" s="3117" t="s">
        <v>3309</v>
      </c>
      <c r="N11" s="3117" t="s">
        <v>3310</v>
      </c>
      <c r="O11" s="3118">
        <v>0</v>
      </c>
      <c r="P11" s="3114"/>
      <c r="Q11" s="3119">
        <f>3680+9388</f>
        <v>13068</v>
      </c>
      <c r="R11" s="3116" t="s">
        <v>3311</v>
      </c>
      <c r="S11" s="3119">
        <f>3680+9388</f>
        <v>13068</v>
      </c>
      <c r="T11" s="3116">
        <v>42009</v>
      </c>
      <c r="U11" s="3116">
        <v>42009</v>
      </c>
      <c r="V11" s="3116">
        <v>42039</v>
      </c>
      <c r="W11" s="3118">
        <v>1</v>
      </c>
      <c r="X11" s="3118"/>
      <c r="Y11" s="3116">
        <v>42826</v>
      </c>
      <c r="Z11" s="3116">
        <v>42009</v>
      </c>
      <c r="AA11" s="3116">
        <v>43008</v>
      </c>
      <c r="AB11" s="3117" t="s">
        <v>3312</v>
      </c>
      <c r="AC11" s="3114"/>
      <c r="AD11" s="3114"/>
      <c r="AE11" s="3129">
        <v>0</v>
      </c>
      <c r="AF11" s="3119"/>
      <c r="AG11" s="3119">
        <v>88.21</v>
      </c>
      <c r="AH11" s="3119"/>
      <c r="AI11" s="3119" t="s">
        <v>3313</v>
      </c>
      <c r="AJ11" s="3119"/>
      <c r="AK11" s="3134">
        <v>108.68</v>
      </c>
      <c r="AL11" s="3119"/>
      <c r="AM11" s="3120"/>
      <c r="AN11" s="3119"/>
      <c r="AO11" s="3120"/>
      <c r="AP11" s="3115">
        <v>42040</v>
      </c>
      <c r="AQ11" s="3115">
        <v>43039</v>
      </c>
      <c r="AR11" s="3121" t="s">
        <v>3314</v>
      </c>
      <c r="AS11" s="3119">
        <v>5400</v>
      </c>
      <c r="AT11" s="3119"/>
      <c r="AU11" s="3119"/>
      <c r="AV11" s="3119">
        <v>45</v>
      </c>
      <c r="AW11" s="3115">
        <v>42009</v>
      </c>
      <c r="AX11" s="3115">
        <v>43039</v>
      </c>
      <c r="AY11" s="3122" t="s">
        <v>3314</v>
      </c>
      <c r="AZ11" s="3119"/>
      <c r="BA11" s="3116">
        <v>42217</v>
      </c>
      <c r="BB11" s="3116">
        <v>42231</v>
      </c>
      <c r="BC11" s="3118"/>
      <c r="BD11" s="3118">
        <v>15</v>
      </c>
      <c r="BE11" s="3119"/>
      <c r="BF11" s="3119"/>
      <c r="BG11" s="3115"/>
      <c r="BH11" s="3115"/>
      <c r="BI11" s="3119"/>
      <c r="BJ11" s="3114"/>
      <c r="BK11" s="3114" t="s">
        <v>3315</v>
      </c>
      <c r="BL11" s="3123"/>
      <c r="BM11" s="3120"/>
      <c r="BN11" s="3120"/>
      <c r="BO11" s="3120"/>
      <c r="BP11" s="3120"/>
      <c r="BQ11" s="3120"/>
      <c r="BR11" s="3120"/>
      <c r="BS11" s="3120">
        <v>3260.4</v>
      </c>
      <c r="BT11" s="3120">
        <v>1350</v>
      </c>
      <c r="BU11" s="3120">
        <v>3260.4</v>
      </c>
      <c r="BV11" s="3120">
        <v>1350</v>
      </c>
      <c r="BW11" s="3120">
        <v>3260.4</v>
      </c>
      <c r="BX11" s="3120">
        <v>1350</v>
      </c>
      <c r="BY11" s="3120">
        <v>3260.4</v>
      </c>
      <c r="BZ11" s="3120">
        <v>1350</v>
      </c>
      <c r="CA11" s="3120">
        <v>3260.4</v>
      </c>
      <c r="CB11" s="3120">
        <v>1350</v>
      </c>
      <c r="CC11" s="3120">
        <v>3260.4</v>
      </c>
      <c r="CD11" s="3120">
        <v>1350</v>
      </c>
      <c r="CE11" s="3120">
        <v>4356</v>
      </c>
      <c r="CF11" s="3120">
        <v>1800</v>
      </c>
      <c r="CG11" s="3120"/>
      <c r="CH11" s="3120"/>
      <c r="CI11" s="3120"/>
      <c r="CJ11" s="3120"/>
      <c r="CK11" s="3120"/>
      <c r="CL11" s="3120"/>
      <c r="CM11" s="3120"/>
      <c r="CN11" s="3120"/>
      <c r="CO11" s="3120"/>
      <c r="CP11" s="3120"/>
      <c r="CQ11" s="3120"/>
      <c r="CR11" s="3120"/>
      <c r="CS11" s="3120"/>
      <c r="CT11" s="3120"/>
      <c r="CU11" s="3120"/>
      <c r="CV11" s="3120"/>
      <c r="CW11" s="3120"/>
      <c r="CX11" s="3120"/>
      <c r="CY11" s="3120"/>
      <c r="CZ11" s="3120"/>
      <c r="DA11" s="3120"/>
      <c r="DB11" s="3120"/>
      <c r="DC11" s="3120"/>
      <c r="DD11" s="3120"/>
      <c r="DE11" s="3120"/>
      <c r="DF11" s="3120"/>
      <c r="DG11" s="3120"/>
      <c r="DH11" s="3120"/>
      <c r="DI11" s="3124">
        <f t="shared" ca="1" si="1"/>
        <v>23918.400000000001</v>
      </c>
      <c r="DJ11" s="3124">
        <f t="shared" ca="1" si="1"/>
        <v>9900</v>
      </c>
    </row>
    <row r="12" spans="1:114" s="3125" customFormat="1" ht="30" customHeight="1">
      <c r="A12" s="3114">
        <f t="shared" si="0"/>
        <v>7</v>
      </c>
      <c r="B12" s="3115">
        <v>41733</v>
      </c>
      <c r="C12" s="3116">
        <v>41733</v>
      </c>
      <c r="D12" s="3114" t="s">
        <v>3316</v>
      </c>
      <c r="E12" s="3117" t="s">
        <v>3317</v>
      </c>
      <c r="F12" s="3118">
        <v>500258</v>
      </c>
      <c r="G12" s="3118" t="s">
        <v>3318</v>
      </c>
      <c r="H12" s="3114" t="s">
        <v>3319</v>
      </c>
      <c r="I12" s="3117" t="s">
        <v>3320</v>
      </c>
      <c r="J12" s="3118" t="s">
        <v>3318</v>
      </c>
      <c r="K12" s="3117" t="s">
        <v>3321</v>
      </c>
      <c r="L12" s="3117" t="s">
        <v>3322</v>
      </c>
      <c r="M12" s="3117" t="s">
        <v>3323</v>
      </c>
      <c r="N12" s="3117" t="s">
        <v>3324</v>
      </c>
      <c r="O12" s="3118">
        <v>0</v>
      </c>
      <c r="P12" s="3114"/>
      <c r="Q12" s="3119">
        <f>2600+5252.2</f>
        <v>7852.2</v>
      </c>
      <c r="R12" s="3116" t="s">
        <v>3325</v>
      </c>
      <c r="S12" s="3119">
        <f>2600+5252.2</f>
        <v>7852.2</v>
      </c>
      <c r="T12" s="3116">
        <v>41752</v>
      </c>
      <c r="U12" s="3116"/>
      <c r="V12" s="3116"/>
      <c r="W12" s="3118"/>
      <c r="X12" s="3118"/>
      <c r="Y12" s="3116">
        <v>42826</v>
      </c>
      <c r="Z12" s="3116">
        <v>41760</v>
      </c>
      <c r="AA12" s="3116">
        <v>43008</v>
      </c>
      <c r="AB12" s="3117" t="s">
        <v>3326</v>
      </c>
      <c r="AC12" s="3114"/>
      <c r="AD12" s="3114"/>
      <c r="AE12" s="3129">
        <v>0</v>
      </c>
      <c r="AF12" s="3119"/>
      <c r="AG12" s="3119">
        <v>92</v>
      </c>
      <c r="AH12" s="3119"/>
      <c r="AI12" s="3119">
        <v>92</v>
      </c>
      <c r="AJ12" s="3119"/>
      <c r="AK12" s="3134">
        <v>113.34</v>
      </c>
      <c r="AL12" s="3119"/>
      <c r="AM12" s="3120"/>
      <c r="AN12" s="3119"/>
      <c r="AO12" s="3120"/>
      <c r="AP12" s="3115">
        <v>41777</v>
      </c>
      <c r="AQ12" s="3115">
        <v>43039</v>
      </c>
      <c r="AR12" s="3121" t="s">
        <v>3327</v>
      </c>
      <c r="AS12" s="3119">
        <v>3105</v>
      </c>
      <c r="AT12" s="3119">
        <v>0</v>
      </c>
      <c r="AU12" s="3119"/>
      <c r="AV12" s="3119">
        <v>45</v>
      </c>
      <c r="AW12" s="3115">
        <v>41777</v>
      </c>
      <c r="AX12" s="3115">
        <v>43039</v>
      </c>
      <c r="AY12" s="3122" t="s">
        <v>3327</v>
      </c>
      <c r="AZ12" s="3119"/>
      <c r="BA12" s="3116"/>
      <c r="BB12" s="3116"/>
      <c r="BC12" s="3118"/>
      <c r="BD12" s="3118"/>
      <c r="BE12" s="3119"/>
      <c r="BF12" s="3119"/>
      <c r="BG12" s="3115"/>
      <c r="BH12" s="3115"/>
      <c r="BI12" s="3119"/>
      <c r="BJ12" s="3114" t="s">
        <v>3328</v>
      </c>
      <c r="BK12" s="3114" t="s">
        <v>3329</v>
      </c>
      <c r="BL12" s="3123"/>
      <c r="BM12" s="3120"/>
      <c r="BN12" s="3120"/>
      <c r="BO12" s="3120"/>
      <c r="BP12" s="3120"/>
      <c r="BQ12" s="3120"/>
      <c r="BR12" s="3120"/>
      <c r="BS12" s="3120">
        <v>3400.2</v>
      </c>
      <c r="BT12" s="3120">
        <v>1350</v>
      </c>
      <c r="BU12" s="3120">
        <v>3400.2</v>
      </c>
      <c r="BV12" s="3120">
        <v>1350</v>
      </c>
      <c r="BW12" s="3120">
        <v>3400.2</v>
      </c>
      <c r="BX12" s="3120">
        <v>1350</v>
      </c>
      <c r="BY12" s="3120">
        <v>3400.2</v>
      </c>
      <c r="BZ12" s="3120">
        <v>1350</v>
      </c>
      <c r="CA12" s="3120">
        <v>3400.2</v>
      </c>
      <c r="CB12" s="3120">
        <v>1350</v>
      </c>
      <c r="CC12" s="3120">
        <v>3400.2</v>
      </c>
      <c r="CD12" s="3120">
        <v>1350</v>
      </c>
      <c r="CE12" s="3120">
        <v>2617.4</v>
      </c>
      <c r="CF12" s="3120">
        <v>1035</v>
      </c>
      <c r="CG12" s="3120"/>
      <c r="CH12" s="3120"/>
      <c r="CI12" s="3120"/>
      <c r="CJ12" s="3120"/>
      <c r="CK12" s="3120"/>
      <c r="CL12" s="3120"/>
      <c r="CM12" s="3120"/>
      <c r="CN12" s="3120"/>
      <c r="CO12" s="3120"/>
      <c r="CP12" s="3120"/>
      <c r="CQ12" s="3120"/>
      <c r="CR12" s="3120"/>
      <c r="CS12" s="3120"/>
      <c r="CT12" s="3120"/>
      <c r="CU12" s="3120"/>
      <c r="CV12" s="3120"/>
      <c r="CW12" s="3120"/>
      <c r="CX12" s="3120"/>
      <c r="CY12" s="3120"/>
      <c r="CZ12" s="3120"/>
      <c r="DA12" s="3120"/>
      <c r="DB12" s="3120"/>
      <c r="DC12" s="3120"/>
      <c r="DD12" s="3120"/>
      <c r="DE12" s="3120"/>
      <c r="DF12" s="3120"/>
      <c r="DG12" s="3120"/>
      <c r="DH12" s="3120"/>
      <c r="DI12" s="3124">
        <f t="shared" ca="1" si="1"/>
        <v>23018.600000000002</v>
      </c>
      <c r="DJ12" s="3124">
        <f t="shared" ca="1" si="1"/>
        <v>9135</v>
      </c>
    </row>
    <row r="13" spans="1:114" s="3015" customFormat="1" ht="30" customHeight="1">
      <c r="A13" s="3012">
        <f t="shared" si="0"/>
        <v>8</v>
      </c>
      <c r="B13" s="2994">
        <v>41632</v>
      </c>
      <c r="C13" s="2999">
        <v>41632</v>
      </c>
      <c r="D13" s="3012" t="s">
        <v>3330</v>
      </c>
      <c r="E13" s="2997" t="s">
        <v>3331</v>
      </c>
      <c r="F13" s="2995">
        <v>500196</v>
      </c>
      <c r="G13" s="2995" t="s">
        <v>3332</v>
      </c>
      <c r="H13" s="3012" t="s">
        <v>3333</v>
      </c>
      <c r="I13" s="2997" t="s">
        <v>3334</v>
      </c>
      <c r="J13" s="2995" t="s">
        <v>3335</v>
      </c>
      <c r="K13" s="2997" t="s">
        <v>3336</v>
      </c>
      <c r="L13" s="2997" t="s">
        <v>3256</v>
      </c>
      <c r="M13" s="2997" t="s">
        <v>3257</v>
      </c>
      <c r="N13" s="2997" t="s">
        <v>3337</v>
      </c>
      <c r="O13" s="2995">
        <v>411</v>
      </c>
      <c r="P13" s="3012"/>
      <c r="Q13" s="2998">
        <v>20000</v>
      </c>
      <c r="R13" s="2999">
        <v>41633</v>
      </c>
      <c r="S13" s="2998">
        <v>20000</v>
      </c>
      <c r="T13" s="2999">
        <v>41671</v>
      </c>
      <c r="U13" s="2999" t="s">
        <v>3338</v>
      </c>
      <c r="V13" s="2999" t="s">
        <v>3339</v>
      </c>
      <c r="W13" s="2995" t="s">
        <v>3340</v>
      </c>
      <c r="X13" s="2995"/>
      <c r="Y13" s="2999">
        <v>41858</v>
      </c>
      <c r="Z13" s="2999">
        <v>41671</v>
      </c>
      <c r="AA13" s="3107">
        <v>43677</v>
      </c>
      <c r="AB13" s="2997" t="s">
        <v>3341</v>
      </c>
      <c r="AC13" s="3012"/>
      <c r="AD13" s="3012"/>
      <c r="AE13" s="3133">
        <f>ROUND(AJ13*365*O13,0)</f>
        <v>520552</v>
      </c>
      <c r="AF13" s="2998">
        <v>3.3</v>
      </c>
      <c r="AG13" s="2998">
        <v>100.38</v>
      </c>
      <c r="AH13" s="2998">
        <v>3.3</v>
      </c>
      <c r="AI13" s="2998">
        <v>100.38</v>
      </c>
      <c r="AJ13" s="3134">
        <v>3.47</v>
      </c>
      <c r="AK13" s="3008"/>
      <c r="AL13" s="2998">
        <v>3.6</v>
      </c>
      <c r="AM13" s="3008"/>
      <c r="AN13" s="2998"/>
      <c r="AO13" s="3008"/>
      <c r="AP13" s="2994">
        <v>41858</v>
      </c>
      <c r="AQ13" s="2994">
        <v>43069</v>
      </c>
      <c r="AR13" s="3002" t="s">
        <v>3260</v>
      </c>
      <c r="AS13" s="2998"/>
      <c r="AT13" s="2998">
        <v>10069.5</v>
      </c>
      <c r="AU13" s="2998">
        <v>0.7</v>
      </c>
      <c r="AV13" s="2998">
        <v>21</v>
      </c>
      <c r="AW13" s="2994">
        <v>41777</v>
      </c>
      <c r="AX13" s="2994">
        <v>43069</v>
      </c>
      <c r="AY13" s="3004" t="s">
        <v>3260</v>
      </c>
      <c r="AZ13" s="2998"/>
      <c r="BA13" s="2999">
        <v>41671</v>
      </c>
      <c r="BB13" s="2999">
        <v>41759</v>
      </c>
      <c r="BC13" s="2995">
        <v>3</v>
      </c>
      <c r="BD13" s="2995"/>
      <c r="BE13" s="2998">
        <v>5000</v>
      </c>
      <c r="BF13" s="2998">
        <v>4110</v>
      </c>
      <c r="BG13" s="2994"/>
      <c r="BH13" s="2994"/>
      <c r="BI13" s="2998"/>
      <c r="BJ13" s="3012" t="s">
        <v>3342</v>
      </c>
      <c r="BK13" s="3012" t="s">
        <v>3261</v>
      </c>
      <c r="BL13" s="3013"/>
      <c r="BM13" s="3009"/>
      <c r="BN13" s="3009"/>
      <c r="BO13" s="3009"/>
      <c r="BP13" s="3009"/>
      <c r="BQ13" s="3006">
        <v>43385.16</v>
      </c>
      <c r="BR13" s="3006">
        <v>8631</v>
      </c>
      <c r="BS13" s="3006">
        <v>43385.16</v>
      </c>
      <c r="BT13" s="3006">
        <v>8631</v>
      </c>
      <c r="BU13" s="3006">
        <v>43385.16</v>
      </c>
      <c r="BV13" s="3006">
        <v>8631</v>
      </c>
      <c r="BW13" s="3006">
        <v>43385.16</v>
      </c>
      <c r="BX13" s="3006">
        <v>8631</v>
      </c>
      <c r="BY13" s="3006">
        <v>43385.16</v>
      </c>
      <c r="BZ13" s="3006">
        <v>8631</v>
      </c>
      <c r="CA13" s="3006">
        <v>43385.16</v>
      </c>
      <c r="CB13" s="3006">
        <v>8631</v>
      </c>
      <c r="CC13" s="3006">
        <v>43385.16</v>
      </c>
      <c r="CD13" s="3006">
        <v>8631</v>
      </c>
      <c r="CE13" s="3006">
        <v>43385.16</v>
      </c>
      <c r="CF13" s="3006">
        <v>8631</v>
      </c>
      <c r="CG13" s="3006">
        <v>43385.16</v>
      </c>
      <c r="CH13" s="3006">
        <v>8631</v>
      </c>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10">
        <f t="shared" ca="1" si="1"/>
        <v>390466.44000000006</v>
      </c>
      <c r="DJ13" s="3010">
        <f t="shared" ca="1" si="1"/>
        <v>77679</v>
      </c>
    </row>
    <row r="14" spans="1:114" s="3015" customFormat="1" ht="30" customHeight="1">
      <c r="A14" s="3012">
        <f t="shared" si="0"/>
        <v>9</v>
      </c>
      <c r="B14" s="2994">
        <v>42940</v>
      </c>
      <c r="C14" s="2999">
        <v>42964</v>
      </c>
      <c r="D14" s="3012" t="s">
        <v>3343</v>
      </c>
      <c r="E14" s="2997" t="s">
        <v>3263</v>
      </c>
      <c r="F14" s="2995">
        <v>500694</v>
      </c>
      <c r="G14" s="2995" t="s">
        <v>3344</v>
      </c>
      <c r="H14" s="3012" t="s">
        <v>3254</v>
      </c>
      <c r="I14" s="2997" t="s">
        <v>3345</v>
      </c>
      <c r="J14" s="2995" t="s">
        <v>3346</v>
      </c>
      <c r="K14" s="2997" t="s">
        <v>3347</v>
      </c>
      <c r="L14" s="2997" t="s">
        <v>3256</v>
      </c>
      <c r="M14" s="2997" t="s">
        <v>3257</v>
      </c>
      <c r="N14" s="2997" t="s">
        <v>3348</v>
      </c>
      <c r="O14" s="2995">
        <v>410</v>
      </c>
      <c r="P14" s="3012"/>
      <c r="Q14" s="2998">
        <v>123000</v>
      </c>
      <c r="R14" s="2999">
        <v>42949</v>
      </c>
      <c r="S14" s="2998">
        <v>123000</v>
      </c>
      <c r="T14" s="2999">
        <v>42968</v>
      </c>
      <c r="U14" s="2999" t="s">
        <v>3349</v>
      </c>
      <c r="V14" s="2999" t="s">
        <v>3350</v>
      </c>
      <c r="W14" s="2995">
        <v>3</v>
      </c>
      <c r="X14" s="2995"/>
      <c r="Y14" s="2999">
        <v>43090</v>
      </c>
      <c r="Z14" s="2999">
        <v>42968</v>
      </c>
      <c r="AA14" s="3107">
        <v>44428</v>
      </c>
      <c r="AB14" s="2997" t="s">
        <v>3351</v>
      </c>
      <c r="AC14" s="3012" t="s">
        <v>3352</v>
      </c>
      <c r="AD14" s="3012">
        <v>5</v>
      </c>
      <c r="AE14" s="3129">
        <f t="shared" ref="AE14:AE28" si="2">ROUND(AG14*12*O14,0)</f>
        <v>492000</v>
      </c>
      <c r="AF14" s="2998"/>
      <c r="AG14" s="3134">
        <v>100</v>
      </c>
      <c r="AH14" s="2998"/>
      <c r="AI14" s="2998">
        <v>100</v>
      </c>
      <c r="AJ14" s="2998"/>
      <c r="AK14" s="3008">
        <v>105</v>
      </c>
      <c r="AL14" s="2998"/>
      <c r="AM14" s="3008"/>
      <c r="AN14" s="2998"/>
      <c r="AO14" s="3008"/>
      <c r="AP14" s="2994"/>
      <c r="AQ14" s="2994"/>
      <c r="AR14" s="3002" t="s">
        <v>3314</v>
      </c>
      <c r="AS14" s="2998">
        <v>56118.75</v>
      </c>
      <c r="AT14" s="2998"/>
      <c r="AU14" s="2998">
        <v>1.5</v>
      </c>
      <c r="AV14" s="2998"/>
      <c r="AW14" s="2994"/>
      <c r="AX14" s="2994"/>
      <c r="AY14" s="3004" t="s">
        <v>3314</v>
      </c>
      <c r="AZ14" s="2998"/>
      <c r="BA14" s="2999">
        <v>42968</v>
      </c>
      <c r="BB14" s="2999">
        <v>43059</v>
      </c>
      <c r="BC14" s="2995">
        <v>3</v>
      </c>
      <c r="BD14" s="2995"/>
      <c r="BE14" s="2998">
        <v>30000</v>
      </c>
      <c r="BF14" s="2998">
        <v>4100</v>
      </c>
      <c r="BG14" s="2994"/>
      <c r="BH14" s="2994"/>
      <c r="BI14" s="2998"/>
      <c r="BJ14" s="3012"/>
      <c r="BK14" s="3012" t="s">
        <v>3315</v>
      </c>
      <c r="BL14" s="3013"/>
      <c r="BM14" s="3009"/>
      <c r="BN14" s="3009"/>
      <c r="BO14" s="3009"/>
      <c r="BP14" s="3009"/>
      <c r="BQ14" s="3006"/>
      <c r="BR14" s="3006"/>
      <c r="BS14" s="3006"/>
      <c r="BT14" s="3006"/>
      <c r="BU14" s="3006"/>
      <c r="BV14" s="3006"/>
      <c r="BW14" s="3006"/>
      <c r="BX14" s="3006"/>
      <c r="BY14" s="3006"/>
      <c r="BZ14" s="3006"/>
      <c r="CA14" s="3006"/>
      <c r="CB14" s="3006"/>
      <c r="CC14" s="3009"/>
      <c r="CD14" s="3009"/>
      <c r="CE14" s="3009"/>
      <c r="CF14" s="3009"/>
      <c r="CG14" s="3009"/>
      <c r="CH14" s="3009"/>
      <c r="CI14" s="3009"/>
      <c r="CJ14" s="3009"/>
      <c r="CK14" s="3009"/>
      <c r="CL14" s="3009"/>
      <c r="CM14" s="3009"/>
      <c r="CN14" s="3009"/>
      <c r="CO14" s="3009"/>
      <c r="CP14" s="3009"/>
      <c r="CQ14" s="3009"/>
      <c r="CR14" s="3009"/>
      <c r="CS14" s="3009"/>
      <c r="CT14" s="3009"/>
      <c r="CU14" s="3009"/>
      <c r="CV14" s="3009"/>
      <c r="CW14" s="3009"/>
      <c r="CX14" s="3009"/>
      <c r="CY14" s="3009"/>
      <c r="CZ14" s="3009"/>
      <c r="DA14" s="3009"/>
      <c r="DB14" s="3009"/>
      <c r="DC14" s="3009"/>
      <c r="DD14" s="3009"/>
      <c r="DE14" s="3009"/>
      <c r="DF14" s="3009"/>
      <c r="DG14" s="3009"/>
      <c r="DH14" s="3009"/>
      <c r="DI14" s="3010">
        <f t="shared" ca="1" si="1"/>
        <v>0</v>
      </c>
      <c r="DJ14" s="3010">
        <f t="shared" ca="1" si="1"/>
        <v>0</v>
      </c>
    </row>
    <row r="15" spans="1:114" s="3015" customFormat="1" ht="30" customHeight="1">
      <c r="A15" s="3012">
        <f t="shared" si="0"/>
        <v>10</v>
      </c>
      <c r="B15" s="2994">
        <v>42347</v>
      </c>
      <c r="C15" s="2999">
        <v>42347</v>
      </c>
      <c r="D15" s="3012" t="s">
        <v>3353</v>
      </c>
      <c r="E15" s="2997" t="s">
        <v>3354</v>
      </c>
      <c r="F15" s="2995">
        <v>500562</v>
      </c>
      <c r="G15" s="2995" t="s">
        <v>3355</v>
      </c>
      <c r="H15" s="3012" t="s">
        <v>3319</v>
      </c>
      <c r="I15" s="2997" t="s">
        <v>3356</v>
      </c>
      <c r="J15" s="2995" t="s">
        <v>3355</v>
      </c>
      <c r="K15" s="2997" t="s">
        <v>3357</v>
      </c>
      <c r="L15" s="2997" t="s">
        <v>3322</v>
      </c>
      <c r="M15" s="2997" t="s">
        <v>3323</v>
      </c>
      <c r="N15" s="2997" t="s">
        <v>3358</v>
      </c>
      <c r="O15" s="2995">
        <v>113</v>
      </c>
      <c r="P15" s="3012"/>
      <c r="Q15" s="2998">
        <v>8588</v>
      </c>
      <c r="R15" s="2999">
        <v>42347</v>
      </c>
      <c r="S15" s="2998">
        <v>8588</v>
      </c>
      <c r="T15" s="2999">
        <v>42328</v>
      </c>
      <c r="U15" s="2999" t="s">
        <v>3359</v>
      </c>
      <c r="V15" s="2999" t="s">
        <v>3360</v>
      </c>
      <c r="W15" s="2995">
        <f>6+3</f>
        <v>9</v>
      </c>
      <c r="X15" s="2995"/>
      <c r="Y15" s="2999">
        <v>42600</v>
      </c>
      <c r="Z15" s="2999">
        <v>42418</v>
      </c>
      <c r="AA15" s="3107">
        <v>44244</v>
      </c>
      <c r="AB15" s="2997" t="s">
        <v>3361</v>
      </c>
      <c r="AC15" s="3012"/>
      <c r="AD15" s="3012"/>
      <c r="AE15" s="3129">
        <f>ROUND(AI15*12*O15,0)</f>
        <v>103056</v>
      </c>
      <c r="AF15" s="2998"/>
      <c r="AG15" s="2998">
        <v>76</v>
      </c>
      <c r="AH15" s="2998"/>
      <c r="AI15" s="3134">
        <v>76</v>
      </c>
      <c r="AJ15" s="2998">
        <v>3.5</v>
      </c>
      <c r="AK15" s="3008"/>
      <c r="AL15" s="2998">
        <v>3.5</v>
      </c>
      <c r="AM15" s="2998">
        <v>76</v>
      </c>
      <c r="AN15" s="2998"/>
      <c r="AO15" s="3008"/>
      <c r="AP15" s="2994">
        <v>42600</v>
      </c>
      <c r="AQ15" s="2994">
        <v>43039</v>
      </c>
      <c r="AR15" s="3002" t="s">
        <v>3260</v>
      </c>
      <c r="AS15" s="2998">
        <v>3390</v>
      </c>
      <c r="AT15" s="2998"/>
      <c r="AU15" s="2998"/>
      <c r="AV15" s="2998">
        <v>30</v>
      </c>
      <c r="AW15" s="2994">
        <v>42418</v>
      </c>
      <c r="AX15" s="2994">
        <v>43039</v>
      </c>
      <c r="AY15" s="3004" t="s">
        <v>3260</v>
      </c>
      <c r="AZ15" s="2998"/>
      <c r="BA15" s="2999">
        <v>42328</v>
      </c>
      <c r="BB15" s="2999">
        <v>42417</v>
      </c>
      <c r="BC15" s="2995"/>
      <c r="BD15" s="2995">
        <v>90</v>
      </c>
      <c r="BE15" s="2998">
        <v>3000</v>
      </c>
      <c r="BF15" s="2998"/>
      <c r="BG15" s="2994"/>
      <c r="BH15" s="2994"/>
      <c r="BI15" s="2998"/>
      <c r="BJ15" s="3012"/>
      <c r="BK15" s="3012" t="s">
        <v>3261</v>
      </c>
      <c r="BL15" s="3013"/>
      <c r="BM15" s="3009">
        <v>156.97999999999999</v>
      </c>
      <c r="BN15" s="3009"/>
      <c r="BO15" s="3009">
        <v>3373.86</v>
      </c>
      <c r="BP15" s="3009">
        <v>1331.79</v>
      </c>
      <c r="BQ15" s="3009">
        <v>8588</v>
      </c>
      <c r="BR15" s="3009">
        <v>3390</v>
      </c>
      <c r="BS15" s="3009">
        <v>8588</v>
      </c>
      <c r="BT15" s="3009">
        <v>3390</v>
      </c>
      <c r="BU15" s="3009">
        <v>8588</v>
      </c>
      <c r="BV15" s="3009">
        <v>3390</v>
      </c>
      <c r="BW15" s="3009">
        <v>8588</v>
      </c>
      <c r="BX15" s="3009">
        <v>3390</v>
      </c>
      <c r="BY15" s="3009">
        <v>8588</v>
      </c>
      <c r="BZ15" s="3009">
        <v>3390</v>
      </c>
      <c r="CA15" s="3009">
        <v>8588</v>
      </c>
      <c r="CB15" s="3009">
        <v>3390</v>
      </c>
      <c r="CC15" s="3009">
        <v>8588</v>
      </c>
      <c r="CD15" s="3009">
        <v>3390</v>
      </c>
      <c r="CE15" s="3009">
        <v>8588</v>
      </c>
      <c r="CF15" s="3009">
        <v>3390</v>
      </c>
      <c r="CG15" s="3009"/>
      <c r="CH15" s="3009"/>
      <c r="CI15" s="3009"/>
      <c r="CJ15" s="3009"/>
      <c r="CK15" s="3009"/>
      <c r="CL15" s="3009"/>
      <c r="CM15" s="3009"/>
      <c r="CN15" s="3009"/>
      <c r="CO15" s="3009"/>
      <c r="CP15" s="3009"/>
      <c r="CQ15" s="3009"/>
      <c r="CR15" s="3009"/>
      <c r="CS15" s="3009"/>
      <c r="CT15" s="3009"/>
      <c r="CU15" s="3009"/>
      <c r="CV15" s="3009"/>
      <c r="CW15" s="3009"/>
      <c r="CX15" s="3009"/>
      <c r="CY15" s="3009"/>
      <c r="CZ15" s="3009"/>
      <c r="DA15" s="3009"/>
      <c r="DB15" s="3009"/>
      <c r="DC15" s="3009"/>
      <c r="DD15" s="3009"/>
      <c r="DE15" s="3009"/>
      <c r="DF15" s="3009"/>
      <c r="DG15" s="3009"/>
      <c r="DH15" s="3009"/>
      <c r="DI15" s="3010">
        <f t="shared" ca="1" si="1"/>
        <v>72234.84</v>
      </c>
      <c r="DJ15" s="3010">
        <f t="shared" ca="1" si="1"/>
        <v>28451.79</v>
      </c>
    </row>
    <row r="16" spans="1:114" s="3125" customFormat="1" ht="30" customHeight="1">
      <c r="A16" s="3114">
        <f t="shared" si="0"/>
        <v>11</v>
      </c>
      <c r="B16" s="3115">
        <v>41485</v>
      </c>
      <c r="C16" s="3116">
        <v>41485</v>
      </c>
      <c r="D16" s="3114" t="s">
        <v>3362</v>
      </c>
      <c r="E16" s="3117" t="s">
        <v>3363</v>
      </c>
      <c r="F16" s="3118">
        <v>500009</v>
      </c>
      <c r="G16" s="3118" t="s">
        <v>3364</v>
      </c>
      <c r="H16" s="3114" t="s">
        <v>3254</v>
      </c>
      <c r="I16" s="3117" t="s">
        <v>3365</v>
      </c>
      <c r="J16" s="3118" t="s">
        <v>3364</v>
      </c>
      <c r="K16" s="3117" t="s">
        <v>3366</v>
      </c>
      <c r="L16" s="3117" t="s">
        <v>3256</v>
      </c>
      <c r="M16" s="3117" t="s">
        <v>3257</v>
      </c>
      <c r="N16" s="3117" t="s">
        <v>3367</v>
      </c>
      <c r="O16" s="3118">
        <v>0</v>
      </c>
      <c r="P16" s="3114"/>
      <c r="Q16" s="3119">
        <f>3000+18338.1</f>
        <v>21338.1</v>
      </c>
      <c r="R16" s="3116" t="s">
        <v>3368</v>
      </c>
      <c r="S16" s="3119">
        <f>3000+18338.1</f>
        <v>21338.1</v>
      </c>
      <c r="T16" s="3116">
        <v>41537</v>
      </c>
      <c r="U16" s="3116"/>
      <c r="V16" s="3116"/>
      <c r="W16" s="3118"/>
      <c r="X16" s="3118"/>
      <c r="Y16" s="3116">
        <v>42826</v>
      </c>
      <c r="Z16" s="3116">
        <v>41760</v>
      </c>
      <c r="AA16" s="3116">
        <v>43008</v>
      </c>
      <c r="AB16" s="3117" t="s">
        <v>3326</v>
      </c>
      <c r="AC16" s="3114"/>
      <c r="AD16" s="3114"/>
      <c r="AE16" s="3129">
        <v>0</v>
      </c>
      <c r="AF16" s="3119">
        <v>3</v>
      </c>
      <c r="AG16" s="3119">
        <v>91.25</v>
      </c>
      <c r="AH16" s="3119"/>
      <c r="AI16" s="3119" t="s">
        <v>3369</v>
      </c>
      <c r="AJ16" s="3119"/>
      <c r="AK16" s="3134">
        <v>112.42</v>
      </c>
      <c r="AL16" s="3119"/>
      <c r="AM16" s="3120"/>
      <c r="AN16" s="3119"/>
      <c r="AO16" s="3120"/>
      <c r="AP16" s="3116">
        <v>41777</v>
      </c>
      <c r="AQ16" s="3115">
        <v>43039</v>
      </c>
      <c r="AR16" s="3121" t="s">
        <v>3327</v>
      </c>
      <c r="AS16" s="3119">
        <v>8505</v>
      </c>
      <c r="AT16" s="3119">
        <v>315</v>
      </c>
      <c r="AU16" s="3119"/>
      <c r="AV16" s="3119">
        <v>45</v>
      </c>
      <c r="AW16" s="3115">
        <v>41777</v>
      </c>
      <c r="AX16" s="3115">
        <v>43039</v>
      </c>
      <c r="AY16" s="3122" t="s">
        <v>3327</v>
      </c>
      <c r="AZ16" s="3119"/>
      <c r="BA16" s="3116">
        <v>42157</v>
      </c>
      <c r="BB16" s="3116">
        <v>42176</v>
      </c>
      <c r="BC16" s="3118"/>
      <c r="BD16" s="3118">
        <v>20</v>
      </c>
      <c r="BE16" s="3119">
        <v>5000</v>
      </c>
      <c r="BF16" s="3119"/>
      <c r="BG16" s="3115">
        <v>42552</v>
      </c>
      <c r="BH16" s="3115">
        <v>42643</v>
      </c>
      <c r="BI16" s="3119">
        <v>900</v>
      </c>
      <c r="BJ16" s="3114"/>
      <c r="BK16" s="3114" t="s">
        <v>3329</v>
      </c>
      <c r="BL16" s="3123"/>
      <c r="BM16" s="3120">
        <v>6295.52</v>
      </c>
      <c r="BN16" s="3120">
        <v>1680</v>
      </c>
      <c r="BO16" s="3120">
        <v>6295.52</v>
      </c>
      <c r="BP16" s="3120">
        <v>1680</v>
      </c>
      <c r="BQ16" s="3120">
        <v>6295.52</v>
      </c>
      <c r="BR16" s="3120">
        <v>1680</v>
      </c>
      <c r="BS16" s="3120">
        <v>6295.52</v>
      </c>
      <c r="BT16" s="3120">
        <v>2520</v>
      </c>
      <c r="BU16" s="3120">
        <v>6295.52</v>
      </c>
      <c r="BV16" s="3120">
        <v>2520</v>
      </c>
      <c r="BW16" s="3120">
        <v>6295.52</v>
      </c>
      <c r="BX16" s="3120">
        <v>2520</v>
      </c>
      <c r="BY16" s="3120">
        <v>6295.52</v>
      </c>
      <c r="BZ16" s="3120">
        <v>2520</v>
      </c>
      <c r="CA16" s="3120">
        <v>6295.52</v>
      </c>
      <c r="CB16" s="3120">
        <v>2520</v>
      </c>
      <c r="CC16" s="3120">
        <v>6295.52</v>
      </c>
      <c r="CD16" s="3120">
        <v>2520</v>
      </c>
      <c r="CE16" s="3120">
        <v>7112.7</v>
      </c>
      <c r="CF16" s="3120">
        <v>2835</v>
      </c>
      <c r="CG16" s="3120"/>
      <c r="CH16" s="3120"/>
      <c r="CI16" s="3120"/>
      <c r="CJ16" s="3120"/>
      <c r="CK16" s="3120"/>
      <c r="CL16" s="3120"/>
      <c r="CM16" s="3120"/>
      <c r="CN16" s="3120"/>
      <c r="CO16" s="3120"/>
      <c r="CP16" s="3120"/>
      <c r="CQ16" s="3120"/>
      <c r="CR16" s="3120"/>
      <c r="CS16" s="3120"/>
      <c r="CT16" s="3120"/>
      <c r="CU16" s="3120"/>
      <c r="CV16" s="3120"/>
      <c r="CW16" s="3120"/>
      <c r="CX16" s="3120"/>
      <c r="CY16" s="3120"/>
      <c r="CZ16" s="3120"/>
      <c r="DA16" s="3120"/>
      <c r="DB16" s="3120"/>
      <c r="DC16" s="3120"/>
      <c r="DD16" s="3120"/>
      <c r="DE16" s="3120"/>
      <c r="DF16" s="3120"/>
      <c r="DG16" s="3120"/>
      <c r="DH16" s="3120"/>
      <c r="DI16" s="3124">
        <f t="shared" ca="1" si="1"/>
        <v>63772.380000000005</v>
      </c>
      <c r="DJ16" s="3124">
        <f t="shared" ca="1" si="1"/>
        <v>22995</v>
      </c>
    </row>
    <row r="17" spans="1:157" s="3125" customFormat="1" ht="30" customHeight="1">
      <c r="A17" s="3114">
        <f t="shared" si="0"/>
        <v>12</v>
      </c>
      <c r="B17" s="3115">
        <v>41766</v>
      </c>
      <c r="C17" s="3116">
        <v>41766</v>
      </c>
      <c r="D17" s="3114" t="s">
        <v>3370</v>
      </c>
      <c r="E17" s="3117" t="s">
        <v>3371</v>
      </c>
      <c r="F17" s="3118">
        <v>500341</v>
      </c>
      <c r="G17" s="3118" t="s">
        <v>3372</v>
      </c>
      <c r="H17" s="3114" t="s">
        <v>3333</v>
      </c>
      <c r="I17" s="3117" t="s">
        <v>3373</v>
      </c>
      <c r="J17" s="3118" t="s">
        <v>3372</v>
      </c>
      <c r="K17" s="3117" t="s">
        <v>3374</v>
      </c>
      <c r="L17" s="3117" t="s">
        <v>3375</v>
      </c>
      <c r="M17" s="3117" t="s">
        <v>3376</v>
      </c>
      <c r="N17" s="3117" t="s">
        <v>3377</v>
      </c>
      <c r="O17" s="3118">
        <v>0</v>
      </c>
      <c r="P17" s="3114"/>
      <c r="Q17" s="3119">
        <v>34770</v>
      </c>
      <c r="R17" s="3116">
        <v>41766</v>
      </c>
      <c r="S17" s="3119">
        <v>10672</v>
      </c>
      <c r="T17" s="3116">
        <v>41769</v>
      </c>
      <c r="U17" s="3116"/>
      <c r="V17" s="3116"/>
      <c r="W17" s="3118"/>
      <c r="X17" s="3118"/>
      <c r="Y17" s="3116">
        <v>42826</v>
      </c>
      <c r="Z17" s="3116">
        <v>41883</v>
      </c>
      <c r="AA17" s="3116">
        <v>43008</v>
      </c>
      <c r="AB17" s="3117" t="s">
        <v>3378</v>
      </c>
      <c r="AC17" s="3114"/>
      <c r="AD17" s="3114"/>
      <c r="AE17" s="3129">
        <v>0</v>
      </c>
      <c r="AF17" s="3119"/>
      <c r="AG17" s="3119">
        <v>116</v>
      </c>
      <c r="AH17" s="3119"/>
      <c r="AI17" s="3119" t="s">
        <v>3379</v>
      </c>
      <c r="AJ17" s="3119"/>
      <c r="AK17" s="3134">
        <v>121.8</v>
      </c>
      <c r="AL17" s="3119"/>
      <c r="AM17" s="3120"/>
      <c r="AN17" s="3119"/>
      <c r="AO17" s="3120"/>
      <c r="AP17" s="3115">
        <v>41883</v>
      </c>
      <c r="AQ17" s="3115">
        <v>43008</v>
      </c>
      <c r="AR17" s="3121" t="s">
        <v>3327</v>
      </c>
      <c r="AS17" s="3119">
        <v>2760</v>
      </c>
      <c r="AT17" s="3119">
        <v>1953</v>
      </c>
      <c r="AU17" s="3119"/>
      <c r="AV17" s="3119">
        <v>30</v>
      </c>
      <c r="AW17" s="3115">
        <v>41883</v>
      </c>
      <c r="AX17" s="3115">
        <v>43008</v>
      </c>
      <c r="AY17" s="3122" t="s">
        <v>3327</v>
      </c>
      <c r="AZ17" s="3119"/>
      <c r="BA17" s="3116">
        <v>41769</v>
      </c>
      <c r="BB17" s="3116">
        <v>41783</v>
      </c>
      <c r="BC17" s="3118"/>
      <c r="BD17" s="3118">
        <v>15</v>
      </c>
      <c r="BE17" s="3119">
        <v>5000</v>
      </c>
      <c r="BF17" s="3119">
        <v>1860</v>
      </c>
      <c r="BG17" s="3115"/>
      <c r="BH17" s="3115"/>
      <c r="BI17" s="3119"/>
      <c r="BJ17" s="3114"/>
      <c r="BK17" s="3114" t="s">
        <v>3329</v>
      </c>
      <c r="BL17" s="3126"/>
      <c r="BM17" s="3127">
        <v>11205.6</v>
      </c>
      <c r="BN17" s="3127">
        <v>2760</v>
      </c>
      <c r="BO17" s="3127">
        <v>11205.6</v>
      </c>
      <c r="BP17" s="3127">
        <v>2760</v>
      </c>
      <c r="BQ17" s="3127">
        <v>11205.6</v>
      </c>
      <c r="BR17" s="3127">
        <v>2760</v>
      </c>
      <c r="BS17" s="3127">
        <v>11205.6</v>
      </c>
      <c r="BT17" s="3127">
        <v>2760</v>
      </c>
      <c r="BU17" s="3127">
        <v>11205.6</v>
      </c>
      <c r="BV17" s="3127">
        <v>2760</v>
      </c>
      <c r="BW17" s="3127">
        <v>11205.6</v>
      </c>
      <c r="BX17" s="3127">
        <v>2760</v>
      </c>
      <c r="BY17" s="3127">
        <v>11205.6</v>
      </c>
      <c r="BZ17" s="3127">
        <v>2760</v>
      </c>
      <c r="CA17" s="3127">
        <v>11205.6</v>
      </c>
      <c r="CB17" s="3127">
        <v>2760</v>
      </c>
      <c r="CC17" s="3127">
        <v>11205.6</v>
      </c>
      <c r="CD17" s="3127">
        <v>2760</v>
      </c>
      <c r="CE17" s="3127"/>
      <c r="CF17" s="3127"/>
      <c r="CG17" s="3127"/>
      <c r="CH17" s="3127"/>
      <c r="CI17" s="3127"/>
      <c r="CJ17" s="3127"/>
      <c r="CK17" s="3127"/>
      <c r="CL17" s="3127"/>
      <c r="CM17" s="3127"/>
      <c r="CN17" s="3127"/>
      <c r="CO17" s="3127"/>
      <c r="CP17" s="3127"/>
      <c r="CQ17" s="3127"/>
      <c r="CR17" s="3127"/>
      <c r="CS17" s="3127"/>
      <c r="CT17" s="3127"/>
      <c r="CU17" s="3127"/>
      <c r="CV17" s="3127"/>
      <c r="CW17" s="3127"/>
      <c r="CX17" s="3127"/>
      <c r="CY17" s="3127"/>
      <c r="CZ17" s="3127"/>
      <c r="DA17" s="3127"/>
      <c r="DB17" s="3127"/>
      <c r="DC17" s="3127"/>
      <c r="DD17" s="3127"/>
      <c r="DE17" s="3127"/>
      <c r="DF17" s="3127"/>
      <c r="DG17" s="3127"/>
      <c r="DH17" s="3127"/>
      <c r="DI17" s="3124">
        <f t="shared" ca="1" si="1"/>
        <v>100850.40000000002</v>
      </c>
      <c r="DJ17" s="3124">
        <f t="shared" ca="1" si="1"/>
        <v>24840</v>
      </c>
    </row>
    <row r="18" spans="1:157" s="3015" customFormat="1" ht="30" customHeight="1">
      <c r="A18" s="3012">
        <f t="shared" si="0"/>
        <v>13</v>
      </c>
      <c r="B18" s="2994">
        <v>41993</v>
      </c>
      <c r="C18" s="2999">
        <v>41982</v>
      </c>
      <c r="D18" s="3012" t="s">
        <v>3380</v>
      </c>
      <c r="E18" s="2997" t="s">
        <v>3381</v>
      </c>
      <c r="F18" s="2995">
        <v>500547</v>
      </c>
      <c r="G18" s="2995" t="s">
        <v>3382</v>
      </c>
      <c r="H18" s="3012" t="s">
        <v>3383</v>
      </c>
      <c r="I18" s="2997" t="s">
        <v>3384</v>
      </c>
      <c r="J18" s="2995" t="s">
        <v>3385</v>
      </c>
      <c r="K18" s="2997" t="s">
        <v>3386</v>
      </c>
      <c r="L18" s="2997" t="s">
        <v>3375</v>
      </c>
      <c r="M18" s="2997" t="s">
        <v>3387</v>
      </c>
      <c r="N18" s="2997" t="s">
        <v>3388</v>
      </c>
      <c r="O18" s="2995">
        <v>3221</v>
      </c>
      <c r="P18" s="3012" t="s">
        <v>3389</v>
      </c>
      <c r="Q18" s="2998">
        <v>80000</v>
      </c>
      <c r="R18" s="2999">
        <v>41986</v>
      </c>
      <c r="S18" s="2998">
        <v>80000</v>
      </c>
      <c r="T18" s="2999">
        <v>41993</v>
      </c>
      <c r="U18" s="2999" t="s">
        <v>3390</v>
      </c>
      <c r="V18" s="2999" t="s">
        <v>3391</v>
      </c>
      <c r="W18" s="2995">
        <v>15</v>
      </c>
      <c r="X18" s="2995"/>
      <c r="Y18" s="2999">
        <v>42358</v>
      </c>
      <c r="Z18" s="2999">
        <v>41993</v>
      </c>
      <c r="AA18" s="3107">
        <v>46406</v>
      </c>
      <c r="AB18" s="2997" t="s">
        <v>3392</v>
      </c>
      <c r="AC18" s="3012" t="s">
        <v>3393</v>
      </c>
      <c r="AD18" s="3012"/>
      <c r="AE18" s="3133">
        <f>ROUND(AJ18*365*O18,0)</f>
        <v>364456</v>
      </c>
      <c r="AF18" s="2998"/>
      <c r="AG18" s="2998"/>
      <c r="AH18" s="2998">
        <v>0.28000000000000003</v>
      </c>
      <c r="AI18" s="2998"/>
      <c r="AJ18" s="3134">
        <v>0.31</v>
      </c>
      <c r="AK18" s="3008"/>
      <c r="AL18" s="2998" t="s">
        <v>3394</v>
      </c>
      <c r="AM18" s="3008"/>
      <c r="AN18" s="2998" t="s">
        <v>3395</v>
      </c>
      <c r="AO18" s="3008"/>
      <c r="AP18" s="2994">
        <v>42358</v>
      </c>
      <c r="AQ18" s="2994">
        <v>43039</v>
      </c>
      <c r="AR18" s="3002" t="s">
        <v>3396</v>
      </c>
      <c r="AS18" s="2998"/>
      <c r="AT18" s="2998"/>
      <c r="AU18" s="2998"/>
      <c r="AV18" s="2998">
        <v>7.76</v>
      </c>
      <c r="AW18" s="2994">
        <v>42358</v>
      </c>
      <c r="AX18" s="2994">
        <v>43039</v>
      </c>
      <c r="AY18" s="3004" t="s">
        <v>3327</v>
      </c>
      <c r="AZ18" s="2998"/>
      <c r="BA18" s="2999">
        <v>41993</v>
      </c>
      <c r="BB18" s="2999">
        <v>42174</v>
      </c>
      <c r="BC18" s="2995">
        <v>6</v>
      </c>
      <c r="BD18" s="2995"/>
      <c r="BE18" s="2998"/>
      <c r="BF18" s="2998">
        <v>32000</v>
      </c>
      <c r="BG18" s="2994"/>
      <c r="BH18" s="2994"/>
      <c r="BI18" s="2998"/>
      <c r="BJ18" s="3012" t="s">
        <v>3397</v>
      </c>
      <c r="BK18" s="3012" t="s">
        <v>3329</v>
      </c>
      <c r="BL18" s="3016"/>
      <c r="BM18" s="3008">
        <v>29583.33</v>
      </c>
      <c r="BN18" s="3008">
        <f>25000+25000</f>
        <v>50000</v>
      </c>
      <c r="BO18" s="3008">
        <v>29583.33</v>
      </c>
      <c r="BP18" s="3008">
        <v>25000</v>
      </c>
      <c r="BQ18" s="3008">
        <v>29583.33</v>
      </c>
      <c r="BR18" s="3008">
        <v>25000</v>
      </c>
      <c r="BS18" s="3008">
        <v>29583.33</v>
      </c>
      <c r="BT18" s="3008">
        <v>25000</v>
      </c>
      <c r="BU18" s="3008">
        <v>29583.33</v>
      </c>
      <c r="BV18" s="3008">
        <v>25000</v>
      </c>
      <c r="BW18" s="3008">
        <v>29583.33</v>
      </c>
      <c r="BX18" s="3008">
        <v>25000</v>
      </c>
      <c r="BY18" s="3008">
        <v>29583.33</v>
      </c>
      <c r="BZ18" s="3008">
        <v>25000</v>
      </c>
      <c r="CA18" s="3008">
        <v>29583.33</v>
      </c>
      <c r="CB18" s="3008">
        <v>25000</v>
      </c>
      <c r="CC18" s="3008">
        <v>29583.33</v>
      </c>
      <c r="CD18" s="3008">
        <v>25000</v>
      </c>
      <c r="CE18" s="3008">
        <v>29583.33</v>
      </c>
      <c r="CF18" s="3008">
        <v>25000</v>
      </c>
      <c r="CG18" s="3008"/>
      <c r="CH18" s="3008"/>
      <c r="CI18" s="3008"/>
      <c r="CJ18" s="3008"/>
      <c r="CK18" s="3008"/>
      <c r="CL18" s="3008"/>
      <c r="CM18" s="3008"/>
      <c r="CN18" s="3008"/>
      <c r="CO18" s="3008"/>
      <c r="CP18" s="3008"/>
      <c r="CQ18" s="3008"/>
      <c r="CR18" s="3008"/>
      <c r="CS18" s="3008"/>
      <c r="CT18" s="3008"/>
      <c r="CU18" s="3008"/>
      <c r="CV18" s="3008"/>
      <c r="CW18" s="3008"/>
      <c r="CX18" s="3008"/>
      <c r="CY18" s="3008"/>
      <c r="CZ18" s="3008"/>
      <c r="DA18" s="3008"/>
      <c r="DB18" s="3008"/>
      <c r="DC18" s="3008"/>
      <c r="DD18" s="3008"/>
      <c r="DE18" s="3008"/>
      <c r="DF18" s="3008"/>
      <c r="DG18" s="3008"/>
      <c r="DH18" s="3008"/>
      <c r="DI18" s="3010">
        <f t="shared" ca="1" si="1"/>
        <v>295833.3000000001</v>
      </c>
      <c r="DJ18" s="3010">
        <f t="shared" ca="1" si="1"/>
        <v>275000</v>
      </c>
    </row>
    <row r="19" spans="1:157" s="3015" customFormat="1" ht="30" customHeight="1">
      <c r="A19" s="3012">
        <f t="shared" si="0"/>
        <v>14</v>
      </c>
      <c r="B19" s="2994">
        <v>41794</v>
      </c>
      <c r="C19" s="2999">
        <v>41794</v>
      </c>
      <c r="D19" s="3012" t="s">
        <v>3398</v>
      </c>
      <c r="E19" s="2997" t="s">
        <v>3399</v>
      </c>
      <c r="F19" s="2995">
        <v>500424</v>
      </c>
      <c r="G19" s="2995" t="s">
        <v>3400</v>
      </c>
      <c r="H19" s="3012" t="s">
        <v>3401</v>
      </c>
      <c r="I19" s="2997" t="s">
        <v>3402</v>
      </c>
      <c r="J19" s="2995" t="s">
        <v>3403</v>
      </c>
      <c r="K19" s="2997" t="s">
        <v>3404</v>
      </c>
      <c r="L19" s="2997" t="s">
        <v>3405</v>
      </c>
      <c r="M19" s="2997" t="s">
        <v>3406</v>
      </c>
      <c r="N19" s="2997" t="s">
        <v>3407</v>
      </c>
      <c r="O19" s="2995">
        <v>428</v>
      </c>
      <c r="P19" s="3012"/>
      <c r="Q19" s="2998">
        <v>23000</v>
      </c>
      <c r="R19" s="2999">
        <v>41800</v>
      </c>
      <c r="S19" s="2998">
        <v>23000</v>
      </c>
      <c r="T19" s="2999">
        <v>41805</v>
      </c>
      <c r="U19" s="2999">
        <v>41805</v>
      </c>
      <c r="V19" s="2999">
        <v>41896</v>
      </c>
      <c r="W19" s="2995">
        <v>3</v>
      </c>
      <c r="X19" s="2995"/>
      <c r="Y19" s="2999">
        <v>41897</v>
      </c>
      <c r="Z19" s="2999">
        <v>41805</v>
      </c>
      <c r="AA19" s="3107">
        <v>43996</v>
      </c>
      <c r="AB19" s="2997" t="s">
        <v>3408</v>
      </c>
      <c r="AC19" s="3012" t="s">
        <v>3409</v>
      </c>
      <c r="AD19" s="3012">
        <v>5</v>
      </c>
      <c r="AE19" s="3133">
        <f>ROUND(AJ19*365*O19,0)</f>
        <v>309316</v>
      </c>
      <c r="AF19" s="2998">
        <v>1.8</v>
      </c>
      <c r="AG19" s="2998">
        <v>54.75</v>
      </c>
      <c r="AH19" s="2998">
        <v>1.8</v>
      </c>
      <c r="AI19" s="2998">
        <v>54.75</v>
      </c>
      <c r="AJ19" s="3134">
        <v>1.98</v>
      </c>
      <c r="AK19" s="3008"/>
      <c r="AL19" s="2998" t="s">
        <v>3410</v>
      </c>
      <c r="AM19" s="3008"/>
      <c r="AN19" s="2998"/>
      <c r="AO19" s="3008"/>
      <c r="AP19" s="2994">
        <v>41897</v>
      </c>
      <c r="AQ19" s="2994">
        <v>43083</v>
      </c>
      <c r="AR19" s="3002" t="s">
        <v>3327</v>
      </c>
      <c r="AS19" s="2998"/>
      <c r="AT19" s="2998">
        <v>0</v>
      </c>
      <c r="AU19" s="2998">
        <v>0.45</v>
      </c>
      <c r="AV19" s="2998">
        <v>13.69</v>
      </c>
      <c r="AW19" s="2994">
        <v>41897</v>
      </c>
      <c r="AX19" s="2994">
        <v>43083</v>
      </c>
      <c r="AY19" s="3004" t="s">
        <v>3327</v>
      </c>
      <c r="AZ19" s="2998"/>
      <c r="BA19" s="2999">
        <v>41805</v>
      </c>
      <c r="BB19" s="2999">
        <v>41896</v>
      </c>
      <c r="BC19" s="2995">
        <v>3</v>
      </c>
      <c r="BD19" s="2995"/>
      <c r="BE19" s="2998">
        <v>10000</v>
      </c>
      <c r="BF19" s="2998">
        <v>4280</v>
      </c>
      <c r="BG19" s="2994"/>
      <c r="BH19" s="2994"/>
      <c r="BI19" s="2998"/>
      <c r="BJ19" s="3012"/>
      <c r="BK19" s="3012" t="s">
        <v>3329</v>
      </c>
      <c r="BL19" s="3016"/>
      <c r="BM19" s="3008"/>
      <c r="BN19" s="3008"/>
      <c r="BO19" s="3008"/>
      <c r="BP19" s="3008"/>
      <c r="BQ19" s="3008">
        <v>13492.87</v>
      </c>
      <c r="BR19" s="3008">
        <v>3212.59</v>
      </c>
      <c r="BS19" s="3008">
        <v>24604.65</v>
      </c>
      <c r="BT19" s="3008">
        <v>5858.25</v>
      </c>
      <c r="BU19" s="3008">
        <v>24604.65</v>
      </c>
      <c r="BV19" s="3008">
        <v>5858.25</v>
      </c>
      <c r="BW19" s="3008">
        <f>11482.17+13747.36</f>
        <v>25229.53</v>
      </c>
      <c r="BX19" s="3008">
        <f>2733.85+3124.4</f>
        <v>5858.25</v>
      </c>
      <c r="BY19" s="3008">
        <v>25776.3</v>
      </c>
      <c r="BZ19" s="3008">
        <v>5858.25</v>
      </c>
      <c r="CA19" s="3008">
        <v>25776.3</v>
      </c>
      <c r="CB19" s="3008">
        <v>5858.25</v>
      </c>
      <c r="CC19" s="3008">
        <f>12028.94+13747.36</f>
        <v>25776.300000000003</v>
      </c>
      <c r="CD19" s="3008">
        <f>2733.85+3124.4</f>
        <v>5858.25</v>
      </c>
      <c r="CE19" s="3008">
        <v>25776.3</v>
      </c>
      <c r="CF19" s="3008">
        <v>5858.25</v>
      </c>
      <c r="CG19" s="3008">
        <v>25776.3</v>
      </c>
      <c r="CH19" s="3008">
        <v>5858.25</v>
      </c>
      <c r="CI19" s="3008">
        <v>11640.91</v>
      </c>
      <c r="CJ19" s="3008">
        <v>2645.66</v>
      </c>
      <c r="CK19" s="3008"/>
      <c r="CL19" s="3008"/>
      <c r="CM19" s="3008"/>
      <c r="CN19" s="3008"/>
      <c r="CO19" s="3008"/>
      <c r="CP19" s="3008"/>
      <c r="CQ19" s="3008"/>
      <c r="CR19" s="3008"/>
      <c r="CS19" s="3008"/>
      <c r="CT19" s="3008"/>
      <c r="CU19" s="3008"/>
      <c r="CV19" s="3008"/>
      <c r="CW19" s="3008"/>
      <c r="CX19" s="3008"/>
      <c r="CY19" s="3008"/>
      <c r="CZ19" s="3008"/>
      <c r="DA19" s="3008"/>
      <c r="DB19" s="3008"/>
      <c r="DC19" s="3008"/>
      <c r="DD19" s="3008"/>
      <c r="DE19" s="3008"/>
      <c r="DF19" s="3008"/>
      <c r="DG19" s="3008"/>
      <c r="DH19" s="3008"/>
      <c r="DI19" s="3010">
        <f t="shared" ca="1" si="1"/>
        <v>228454.11000000002</v>
      </c>
      <c r="DJ19" s="3010">
        <f t="shared" ca="1" si="1"/>
        <v>52724.25</v>
      </c>
    </row>
    <row r="20" spans="1:157" s="3015" customFormat="1" ht="30" customHeight="1">
      <c r="A20" s="3012">
        <f t="shared" si="0"/>
        <v>15</v>
      </c>
      <c r="B20" s="2994">
        <v>41810</v>
      </c>
      <c r="C20" s="2999">
        <v>41810</v>
      </c>
      <c r="D20" s="3012" t="s">
        <v>3411</v>
      </c>
      <c r="E20" s="2997" t="s">
        <v>3412</v>
      </c>
      <c r="F20" s="2995">
        <v>500425</v>
      </c>
      <c r="G20" s="2995" t="s">
        <v>3413</v>
      </c>
      <c r="H20" s="3012" t="s">
        <v>3333</v>
      </c>
      <c r="I20" s="2997" t="s">
        <v>3414</v>
      </c>
      <c r="J20" s="2995" t="s">
        <v>3413</v>
      </c>
      <c r="K20" s="2997" t="s">
        <v>3415</v>
      </c>
      <c r="L20" s="2997" t="s">
        <v>3375</v>
      </c>
      <c r="M20" s="2997" t="s">
        <v>3416</v>
      </c>
      <c r="N20" s="2997" t="s">
        <v>3417</v>
      </c>
      <c r="O20" s="2995">
        <v>85</v>
      </c>
      <c r="P20" s="3012"/>
      <c r="Q20" s="2998">
        <v>6545</v>
      </c>
      <c r="R20" s="2999">
        <v>41810</v>
      </c>
      <c r="S20" s="2998">
        <v>6545</v>
      </c>
      <c r="T20" s="2999">
        <v>41816</v>
      </c>
      <c r="U20" s="2999"/>
      <c r="V20" s="2999"/>
      <c r="W20" s="2995"/>
      <c r="X20" s="2995"/>
      <c r="Y20" s="2999">
        <v>42917</v>
      </c>
      <c r="Z20" s="2999">
        <v>41883</v>
      </c>
      <c r="AA20" s="3107">
        <v>43281</v>
      </c>
      <c r="AB20" s="2997" t="s">
        <v>3418</v>
      </c>
      <c r="AC20" s="3012"/>
      <c r="AD20" s="3012"/>
      <c r="AE20" s="3129">
        <f>ROUND(AK20*12*O20,0)</f>
        <v>111996</v>
      </c>
      <c r="AF20" s="2998"/>
      <c r="AG20" s="2998">
        <v>77</v>
      </c>
      <c r="AH20" s="2998"/>
      <c r="AI20" s="2998" t="s">
        <v>3419</v>
      </c>
      <c r="AJ20" s="2998"/>
      <c r="AK20" s="3134">
        <v>109.8</v>
      </c>
      <c r="AL20" s="2998"/>
      <c r="AM20" s="3008"/>
      <c r="AN20" s="2998"/>
      <c r="AO20" s="3008"/>
      <c r="AP20" s="2994">
        <v>41883</v>
      </c>
      <c r="AQ20" s="2994">
        <v>43100</v>
      </c>
      <c r="AR20" s="3002" t="s">
        <v>3327</v>
      </c>
      <c r="AS20" s="2998">
        <v>2550</v>
      </c>
      <c r="AT20" s="2998">
        <f>2677.5-119</f>
        <v>2558.5</v>
      </c>
      <c r="AU20" s="2998"/>
      <c r="AV20" s="2998">
        <v>45</v>
      </c>
      <c r="AW20" s="2994">
        <v>41883</v>
      </c>
      <c r="AX20" s="2994">
        <v>43100</v>
      </c>
      <c r="AY20" s="3004" t="s">
        <v>3420</v>
      </c>
      <c r="AZ20" s="2998"/>
      <c r="BA20" s="2999">
        <v>41813</v>
      </c>
      <c r="BB20" s="2999">
        <v>41855</v>
      </c>
      <c r="BC20" s="2995"/>
      <c r="BD20" s="2995">
        <v>43</v>
      </c>
      <c r="BE20" s="2998">
        <v>3000</v>
      </c>
      <c r="BF20" s="2998">
        <v>850</v>
      </c>
      <c r="BG20" s="2994"/>
      <c r="BH20" s="2994"/>
      <c r="BI20" s="2998"/>
      <c r="BJ20" s="3012"/>
      <c r="BK20" s="3012" t="s">
        <v>3421</v>
      </c>
      <c r="BL20" s="3016"/>
      <c r="BM20" s="3008"/>
      <c r="BN20" s="3008"/>
      <c r="BO20" s="3008"/>
      <c r="BP20" s="3008"/>
      <c r="BQ20" s="3008"/>
      <c r="BR20" s="3008"/>
      <c r="BS20" s="3008">
        <v>7756.25</v>
      </c>
      <c r="BT20" s="3008">
        <v>2550</v>
      </c>
      <c r="BU20" s="3008">
        <v>7756.25</v>
      </c>
      <c r="BV20" s="3008">
        <v>2550</v>
      </c>
      <c r="BW20" s="3008">
        <v>7756.25</v>
      </c>
      <c r="BX20" s="3008">
        <v>2550</v>
      </c>
      <c r="BY20" s="3008">
        <v>9333</v>
      </c>
      <c r="BZ20" s="3008">
        <v>3825</v>
      </c>
      <c r="CA20" s="3008">
        <v>9333</v>
      </c>
      <c r="CB20" s="3008">
        <v>3825</v>
      </c>
      <c r="CC20" s="3008">
        <v>9333</v>
      </c>
      <c r="CD20" s="3008">
        <v>3825</v>
      </c>
      <c r="CE20" s="3008">
        <v>9333</v>
      </c>
      <c r="CF20" s="3008">
        <v>3825</v>
      </c>
      <c r="CG20" s="3008">
        <v>9333</v>
      </c>
      <c r="CH20" s="3008">
        <v>3825</v>
      </c>
      <c r="CI20" s="3008">
        <v>9333</v>
      </c>
      <c r="CJ20" s="3008">
        <v>3825</v>
      </c>
      <c r="CK20" s="3008"/>
      <c r="CL20" s="3008"/>
      <c r="CM20" s="3008"/>
      <c r="CN20" s="3008"/>
      <c r="CO20" s="3008"/>
      <c r="CP20" s="3008"/>
      <c r="CQ20" s="3008"/>
      <c r="CR20" s="3008"/>
      <c r="CS20" s="3008"/>
      <c r="CT20" s="3008"/>
      <c r="CU20" s="3008"/>
      <c r="CV20" s="3008"/>
      <c r="CW20" s="3008"/>
      <c r="CX20" s="3008"/>
      <c r="CY20" s="3008"/>
      <c r="CZ20" s="3008"/>
      <c r="DA20" s="3008"/>
      <c r="DB20" s="3008"/>
      <c r="DC20" s="3008"/>
      <c r="DD20" s="3008"/>
      <c r="DE20" s="3008"/>
      <c r="DF20" s="3008"/>
      <c r="DG20" s="3008"/>
      <c r="DH20" s="3008"/>
      <c r="DI20" s="3010">
        <f t="shared" ca="1" si="1"/>
        <v>79266.75</v>
      </c>
      <c r="DJ20" s="3010">
        <f t="shared" ca="1" si="1"/>
        <v>30600</v>
      </c>
    </row>
    <row r="21" spans="1:157" s="3015" customFormat="1" ht="30" customHeight="1">
      <c r="A21" s="3012">
        <f t="shared" si="0"/>
        <v>16</v>
      </c>
      <c r="B21" s="2994">
        <v>42543</v>
      </c>
      <c r="C21" s="2999">
        <v>42543</v>
      </c>
      <c r="D21" s="3012" t="s">
        <v>3422</v>
      </c>
      <c r="E21" s="2997" t="s">
        <v>3423</v>
      </c>
      <c r="F21" s="2995">
        <v>500598</v>
      </c>
      <c r="G21" s="2995" t="s">
        <v>3424</v>
      </c>
      <c r="H21" s="3012" t="s">
        <v>3401</v>
      </c>
      <c r="I21" s="2997" t="s">
        <v>3425</v>
      </c>
      <c r="J21" s="2995" t="s">
        <v>3424</v>
      </c>
      <c r="K21" s="2997" t="s">
        <v>3426</v>
      </c>
      <c r="L21" s="2997" t="s">
        <v>3405</v>
      </c>
      <c r="M21" s="2997" t="s">
        <v>3406</v>
      </c>
      <c r="N21" s="2997" t="s">
        <v>3427</v>
      </c>
      <c r="O21" s="2995">
        <v>45</v>
      </c>
      <c r="P21" s="3012"/>
      <c r="Q21" s="2998">
        <v>4140</v>
      </c>
      <c r="R21" s="2999">
        <v>42543</v>
      </c>
      <c r="S21" s="2998">
        <v>4140</v>
      </c>
      <c r="T21" s="2999">
        <v>42552</v>
      </c>
      <c r="U21" s="2999"/>
      <c r="V21" s="2999"/>
      <c r="W21" s="2995"/>
      <c r="X21" s="2995"/>
      <c r="Y21" s="2999">
        <v>42917</v>
      </c>
      <c r="Z21" s="2999">
        <v>42552</v>
      </c>
      <c r="AA21" s="3107">
        <v>43281</v>
      </c>
      <c r="AB21" s="2997" t="s">
        <v>3428</v>
      </c>
      <c r="AC21" s="3012"/>
      <c r="AD21" s="3012"/>
      <c r="AE21" s="3129">
        <f>ROUND(AI21*12*O21,0)</f>
        <v>59292</v>
      </c>
      <c r="AF21" s="2998"/>
      <c r="AG21" s="2998">
        <v>92</v>
      </c>
      <c r="AH21" s="2998"/>
      <c r="AI21" s="3134">
        <v>109.8</v>
      </c>
      <c r="AJ21" s="2998"/>
      <c r="AK21" s="3008"/>
      <c r="AL21" s="2998"/>
      <c r="AM21" s="3008"/>
      <c r="AN21" s="2998"/>
      <c r="AO21" s="3008"/>
      <c r="AP21" s="2994">
        <v>42552</v>
      </c>
      <c r="AQ21" s="2994">
        <v>43100</v>
      </c>
      <c r="AR21" s="3002" t="s">
        <v>3420</v>
      </c>
      <c r="AS21" s="2998">
        <v>1350</v>
      </c>
      <c r="AT21" s="2998"/>
      <c r="AU21" s="2998"/>
      <c r="AV21" s="2998">
        <v>45</v>
      </c>
      <c r="AW21" s="2994">
        <v>42552</v>
      </c>
      <c r="AX21" s="2994">
        <v>43100</v>
      </c>
      <c r="AY21" s="3004" t="s">
        <v>3420</v>
      </c>
      <c r="AZ21" s="2998"/>
      <c r="BA21" s="2999"/>
      <c r="BB21" s="2999"/>
      <c r="BC21" s="2995"/>
      <c r="BD21" s="2995"/>
      <c r="BE21" s="2998"/>
      <c r="BF21" s="2998"/>
      <c r="BG21" s="2994"/>
      <c r="BH21" s="2994"/>
      <c r="BI21" s="2998"/>
      <c r="BJ21" s="3012"/>
      <c r="BK21" s="3012" t="s">
        <v>3421</v>
      </c>
      <c r="BL21" s="3016"/>
      <c r="BM21" s="3008"/>
      <c r="BN21" s="3008"/>
      <c r="BO21" s="3008"/>
      <c r="BP21" s="3008"/>
      <c r="BQ21" s="3008"/>
      <c r="BR21" s="3008"/>
      <c r="BS21" s="3008">
        <v>4140</v>
      </c>
      <c r="BT21" s="3008">
        <v>1350</v>
      </c>
      <c r="BU21" s="3008">
        <v>4140</v>
      </c>
      <c r="BV21" s="3008">
        <v>1350</v>
      </c>
      <c r="BW21" s="3008">
        <v>4140</v>
      </c>
      <c r="BX21" s="3008">
        <v>1350</v>
      </c>
      <c r="BY21" s="3008">
        <v>4941</v>
      </c>
      <c r="BZ21" s="3008">
        <v>2025</v>
      </c>
      <c r="CA21" s="3008">
        <v>4941</v>
      </c>
      <c r="CB21" s="3008">
        <v>2025</v>
      </c>
      <c r="CC21" s="3008">
        <v>4941</v>
      </c>
      <c r="CD21" s="3008">
        <v>2025</v>
      </c>
      <c r="CE21" s="3008">
        <v>4941</v>
      </c>
      <c r="CF21" s="3008">
        <v>2025</v>
      </c>
      <c r="CG21" s="3008">
        <v>4941</v>
      </c>
      <c r="CH21" s="3008">
        <v>2025</v>
      </c>
      <c r="CI21" s="3008">
        <v>4941</v>
      </c>
      <c r="CJ21" s="3008">
        <v>2025</v>
      </c>
      <c r="CK21" s="3008"/>
      <c r="CL21" s="3008"/>
      <c r="CM21" s="3008"/>
      <c r="CN21" s="3008"/>
      <c r="CO21" s="3008"/>
      <c r="CP21" s="3008"/>
      <c r="CQ21" s="3008"/>
      <c r="CR21" s="3008"/>
      <c r="CS21" s="3008"/>
      <c r="CT21" s="3008"/>
      <c r="CU21" s="3008"/>
      <c r="CV21" s="3008"/>
      <c r="CW21" s="3008"/>
      <c r="CX21" s="3008"/>
      <c r="CY21" s="3008"/>
      <c r="CZ21" s="3008"/>
      <c r="DA21" s="3008"/>
      <c r="DB21" s="3008"/>
      <c r="DC21" s="3008"/>
      <c r="DD21" s="3008"/>
      <c r="DE21" s="3008"/>
      <c r="DF21" s="3008"/>
      <c r="DG21" s="3008"/>
      <c r="DH21" s="3008"/>
      <c r="DI21" s="3010">
        <f t="shared" ca="1" si="1"/>
        <v>42066</v>
      </c>
      <c r="DJ21" s="3010">
        <f t="shared" ca="1" si="1"/>
        <v>16200</v>
      </c>
    </row>
    <row r="22" spans="1:157" s="3015" customFormat="1" ht="30" customHeight="1">
      <c r="A22" s="3012">
        <f t="shared" si="0"/>
        <v>17</v>
      </c>
      <c r="B22" s="2994">
        <v>42382</v>
      </c>
      <c r="C22" s="2999">
        <v>42382</v>
      </c>
      <c r="D22" s="3012" t="s">
        <v>3429</v>
      </c>
      <c r="E22" s="2997" t="s">
        <v>3430</v>
      </c>
      <c r="F22" s="2995">
        <v>500580</v>
      </c>
      <c r="G22" s="2995" t="s">
        <v>3431</v>
      </c>
      <c r="H22" s="3012" t="s">
        <v>3401</v>
      </c>
      <c r="I22" s="2997" t="s">
        <v>3432</v>
      </c>
      <c r="J22" s="2995" t="s">
        <v>3431</v>
      </c>
      <c r="K22" s="2997" t="s">
        <v>3433</v>
      </c>
      <c r="L22" s="2997" t="s">
        <v>3405</v>
      </c>
      <c r="M22" s="2997" t="s">
        <v>3406</v>
      </c>
      <c r="N22" s="2997" t="s">
        <v>3434</v>
      </c>
      <c r="O22" s="2995">
        <v>31</v>
      </c>
      <c r="P22" s="3012"/>
      <c r="Q22" s="2998">
        <v>2392</v>
      </c>
      <c r="R22" s="2999">
        <v>42382</v>
      </c>
      <c r="S22" s="2998">
        <v>2392</v>
      </c>
      <c r="T22" s="2999">
        <v>42425</v>
      </c>
      <c r="U22" s="2999"/>
      <c r="V22" s="2999"/>
      <c r="W22" s="2995"/>
      <c r="X22" s="2995"/>
      <c r="Y22" s="2999">
        <v>42805</v>
      </c>
      <c r="Z22" s="2999">
        <v>42440</v>
      </c>
      <c r="AA22" s="3107">
        <v>43534</v>
      </c>
      <c r="AB22" s="2997" t="s">
        <v>3435</v>
      </c>
      <c r="AC22" s="3012"/>
      <c r="AD22" s="3012"/>
      <c r="AE22" s="3129">
        <f>ROUND(AI22*12*O22,0)</f>
        <v>36999</v>
      </c>
      <c r="AF22" s="2998"/>
      <c r="AG22" s="2998">
        <v>92</v>
      </c>
      <c r="AH22" s="2998"/>
      <c r="AI22" s="3134">
        <v>99.46</v>
      </c>
      <c r="AJ22" s="2998"/>
      <c r="AK22" s="3008">
        <v>99.46</v>
      </c>
      <c r="AL22" s="2998"/>
      <c r="AM22" s="3008"/>
      <c r="AN22" s="2998"/>
      <c r="AO22" s="3008"/>
      <c r="AP22" s="2994">
        <v>42440</v>
      </c>
      <c r="AQ22" s="2994">
        <v>43069</v>
      </c>
      <c r="AR22" s="3002" t="s">
        <v>3420</v>
      </c>
      <c r="AS22" s="2998">
        <v>780</v>
      </c>
      <c r="AT22" s="2998">
        <v>390</v>
      </c>
      <c r="AU22" s="2998"/>
      <c r="AV22" s="2998">
        <v>45</v>
      </c>
      <c r="AW22" s="2994">
        <v>42440</v>
      </c>
      <c r="AX22" s="2994">
        <v>43069</v>
      </c>
      <c r="AY22" s="3004" t="s">
        <v>3420</v>
      </c>
      <c r="AZ22" s="2998"/>
      <c r="BA22" s="2999">
        <v>42425</v>
      </c>
      <c r="BB22" s="2999">
        <v>42439</v>
      </c>
      <c r="BC22" s="2995"/>
      <c r="BD22" s="2995">
        <v>15</v>
      </c>
      <c r="BE22" s="2998">
        <v>5000</v>
      </c>
      <c r="BF22" s="2998">
        <v>260</v>
      </c>
      <c r="BG22" s="2994"/>
      <c r="BH22" s="2994"/>
      <c r="BI22" s="2998"/>
      <c r="BJ22" s="3012"/>
      <c r="BK22" s="3012" t="s">
        <v>3421</v>
      </c>
      <c r="BL22" s="3013"/>
      <c r="BM22" s="3009"/>
      <c r="BN22" s="3009"/>
      <c r="BO22" s="3009"/>
      <c r="BP22" s="3009"/>
      <c r="BQ22" s="3009">
        <f>920+2088.26</f>
        <v>3008.26</v>
      </c>
      <c r="BR22" s="3009">
        <f>300+945</f>
        <v>1245</v>
      </c>
      <c r="BS22" s="3009">
        <v>3083.26</v>
      </c>
      <c r="BT22" s="3009">
        <v>1395</v>
      </c>
      <c r="BU22" s="3009">
        <v>3083.26</v>
      </c>
      <c r="BV22" s="3009">
        <v>1395</v>
      </c>
      <c r="BW22" s="3009">
        <v>3083.26</v>
      </c>
      <c r="BX22" s="3009">
        <v>1395</v>
      </c>
      <c r="BY22" s="3009">
        <v>3083.26</v>
      </c>
      <c r="BZ22" s="3009">
        <v>1395</v>
      </c>
      <c r="CA22" s="3009">
        <v>3083.26</v>
      </c>
      <c r="CB22" s="3009">
        <v>1395</v>
      </c>
      <c r="CC22" s="3009">
        <v>3083.26</v>
      </c>
      <c r="CD22" s="3009">
        <v>1395</v>
      </c>
      <c r="CE22" s="3009">
        <v>3083.26</v>
      </c>
      <c r="CF22" s="3009">
        <v>1395</v>
      </c>
      <c r="CG22" s="3009">
        <v>3083.26</v>
      </c>
      <c r="CH22" s="3009">
        <v>1395</v>
      </c>
      <c r="CI22" s="3009"/>
      <c r="CJ22" s="3009"/>
      <c r="CK22" s="3009"/>
      <c r="CL22" s="3009"/>
      <c r="CM22" s="3009"/>
      <c r="CN22" s="3009"/>
      <c r="CO22" s="3009"/>
      <c r="CP22" s="3009"/>
      <c r="CQ22" s="3009"/>
      <c r="CR22" s="3009"/>
      <c r="CS22" s="3009"/>
      <c r="CT22" s="3009"/>
      <c r="CU22" s="3009"/>
      <c r="CV22" s="3009"/>
      <c r="CW22" s="3009"/>
      <c r="CX22" s="3009"/>
      <c r="CY22" s="3009"/>
      <c r="CZ22" s="3009"/>
      <c r="DA22" s="3009"/>
      <c r="DB22" s="3009"/>
      <c r="DC22" s="3009"/>
      <c r="DD22" s="3009"/>
      <c r="DE22" s="3009"/>
      <c r="DF22" s="3009"/>
      <c r="DG22" s="3009"/>
      <c r="DH22" s="3009"/>
      <c r="DI22" s="3010">
        <f t="shared" ca="1" si="1"/>
        <v>27674.340000000004</v>
      </c>
      <c r="DJ22" s="3010">
        <f t="shared" ca="1" si="1"/>
        <v>12405</v>
      </c>
    </row>
    <row r="23" spans="1:157" s="3015" customFormat="1" ht="30" customHeight="1">
      <c r="A23" s="3012">
        <f t="shared" si="0"/>
        <v>18</v>
      </c>
      <c r="B23" s="2994">
        <v>41733</v>
      </c>
      <c r="C23" s="2999">
        <v>41733</v>
      </c>
      <c r="D23" s="3012" t="s">
        <v>3436</v>
      </c>
      <c r="E23" s="2997" t="s">
        <v>3423</v>
      </c>
      <c r="F23" s="2995">
        <v>500307</v>
      </c>
      <c r="G23" s="2995" t="s">
        <v>3437</v>
      </c>
      <c r="H23" s="3012" t="s">
        <v>3401</v>
      </c>
      <c r="I23" s="2997" t="s">
        <v>3436</v>
      </c>
      <c r="J23" s="2995" t="s">
        <v>3437</v>
      </c>
      <c r="K23" s="2997" t="s">
        <v>3438</v>
      </c>
      <c r="L23" s="2997" t="s">
        <v>3405</v>
      </c>
      <c r="M23" s="2997" t="s">
        <v>3406</v>
      </c>
      <c r="N23" s="2997" t="s">
        <v>3439</v>
      </c>
      <c r="O23" s="2995">
        <v>662</v>
      </c>
      <c r="P23" s="3012"/>
      <c r="Q23" s="2998">
        <f>22320+4160</f>
        <v>26480</v>
      </c>
      <c r="R23" s="2999">
        <v>41733</v>
      </c>
      <c r="S23" s="2998">
        <f>22320+4160</f>
        <v>26480</v>
      </c>
      <c r="T23" s="2999">
        <v>41734</v>
      </c>
      <c r="U23" s="2999" t="s">
        <v>3440</v>
      </c>
      <c r="V23" s="2999" t="s">
        <v>3441</v>
      </c>
      <c r="W23" s="2995">
        <v>3</v>
      </c>
      <c r="X23" s="2995"/>
      <c r="Y23" s="2999">
        <v>41909</v>
      </c>
      <c r="Z23" s="2999">
        <v>41909</v>
      </c>
      <c r="AA23" s="3107">
        <v>44100</v>
      </c>
      <c r="AB23" s="2997" t="s">
        <v>1033</v>
      </c>
      <c r="AC23" s="3012"/>
      <c r="AD23" s="3012"/>
      <c r="AE23" s="3133">
        <f>ROUND(AJ23*365*O23,0)</f>
        <v>362445</v>
      </c>
      <c r="AF23" s="2998">
        <v>1.3</v>
      </c>
      <c r="AG23" s="2998">
        <v>40</v>
      </c>
      <c r="AH23" s="2998">
        <v>1.3</v>
      </c>
      <c r="AI23" s="2998">
        <v>40</v>
      </c>
      <c r="AJ23" s="3134">
        <v>1.5</v>
      </c>
      <c r="AK23" s="3008"/>
      <c r="AL23" s="2998">
        <v>1.8</v>
      </c>
      <c r="AM23" s="3008"/>
      <c r="AN23" s="2998"/>
      <c r="AO23" s="3008"/>
      <c r="AP23" s="2994">
        <v>41909</v>
      </c>
      <c r="AQ23" s="2994">
        <v>43069</v>
      </c>
      <c r="AR23" s="3002" t="s">
        <v>3301</v>
      </c>
      <c r="AS23" s="2998"/>
      <c r="AT23" s="2998">
        <v>0</v>
      </c>
      <c r="AU23" s="2998"/>
      <c r="AV23" s="2998"/>
      <c r="AW23" s="2994">
        <v>41883</v>
      </c>
      <c r="AX23" s="2994">
        <v>43039</v>
      </c>
      <c r="AY23" s="3004" t="s">
        <v>3442</v>
      </c>
      <c r="AZ23" s="2998">
        <v>10</v>
      </c>
      <c r="BA23" s="2999">
        <v>41734</v>
      </c>
      <c r="BB23" s="2999">
        <v>41778</v>
      </c>
      <c r="BC23" s="2995"/>
      <c r="BD23" s="2995">
        <v>45</v>
      </c>
      <c r="BE23" s="2998">
        <v>10000</v>
      </c>
      <c r="BF23" s="2998">
        <v>5000</v>
      </c>
      <c r="BG23" s="2994"/>
      <c r="BH23" s="2994"/>
      <c r="BI23" s="2998"/>
      <c r="BJ23" s="3012" t="s">
        <v>3443</v>
      </c>
      <c r="BK23" s="3012" t="s">
        <v>3302</v>
      </c>
      <c r="BL23" s="3016"/>
      <c r="BM23" s="3008"/>
      <c r="BN23" s="3008"/>
      <c r="BO23" s="3008"/>
      <c r="BP23" s="3008">
        <v>6620</v>
      </c>
      <c r="BQ23" s="3008">
        <v>30203.75</v>
      </c>
      <c r="BR23" s="3008">
        <v>3203.23</v>
      </c>
      <c r="BS23" s="3008">
        <v>30203.75</v>
      </c>
      <c r="BT23" s="3008">
        <v>0</v>
      </c>
      <c r="BU23" s="3008">
        <v>30203.75</v>
      </c>
      <c r="BV23" s="3008">
        <v>6620</v>
      </c>
      <c r="BW23" s="3008">
        <v>30203.75</v>
      </c>
      <c r="BX23" s="3008">
        <v>6620</v>
      </c>
      <c r="BY23" s="3008">
        <v>30203.75</v>
      </c>
      <c r="BZ23" s="3008">
        <v>6620</v>
      </c>
      <c r="CA23" s="3008">
        <v>30203.75</v>
      </c>
      <c r="CB23" s="3008">
        <v>6620</v>
      </c>
      <c r="CC23" s="3008">
        <v>30203.75</v>
      </c>
      <c r="CD23" s="3008">
        <v>6620</v>
      </c>
      <c r="CE23" s="3008">
        <v>30203.75</v>
      </c>
      <c r="CF23" s="3008">
        <v>6620</v>
      </c>
      <c r="CG23" s="3008">
        <v>30203.75</v>
      </c>
      <c r="CH23" s="3008"/>
      <c r="CI23" s="3008"/>
      <c r="CJ23" s="3008"/>
      <c r="CK23" s="3008"/>
      <c r="CL23" s="3008"/>
      <c r="CM23" s="3008"/>
      <c r="CN23" s="3008"/>
      <c r="CO23" s="3008"/>
      <c r="CP23" s="3008"/>
      <c r="CQ23" s="3008"/>
      <c r="CR23" s="3008"/>
      <c r="CS23" s="3008"/>
      <c r="CT23" s="3008"/>
      <c r="CU23" s="3008"/>
      <c r="CV23" s="3008"/>
      <c r="CW23" s="3008"/>
      <c r="CX23" s="3008"/>
      <c r="CY23" s="3008"/>
      <c r="CZ23" s="3008"/>
      <c r="DA23" s="3008"/>
      <c r="DB23" s="3008"/>
      <c r="DC23" s="3008"/>
      <c r="DD23" s="3008"/>
      <c r="DE23" s="3008"/>
      <c r="DF23" s="3008"/>
      <c r="DG23" s="3008"/>
      <c r="DH23" s="3008"/>
      <c r="DI23" s="3010">
        <f t="shared" ca="1" si="1"/>
        <v>271833.75</v>
      </c>
      <c r="DJ23" s="3010">
        <f t="shared" ca="1" si="1"/>
        <v>49543.229999999996</v>
      </c>
    </row>
    <row r="24" spans="1:157" s="3015" customFormat="1" ht="30" customHeight="1">
      <c r="A24" s="3012">
        <f t="shared" si="0"/>
        <v>19</v>
      </c>
      <c r="B24" s="2994">
        <v>42444</v>
      </c>
      <c r="C24" s="2999">
        <v>42444</v>
      </c>
      <c r="D24" s="3012" t="s">
        <v>3444</v>
      </c>
      <c r="E24" s="2997" t="s">
        <v>3445</v>
      </c>
      <c r="F24" s="2995">
        <v>500574</v>
      </c>
      <c r="G24" s="2995" t="s">
        <v>3446</v>
      </c>
      <c r="H24" s="3012" t="s">
        <v>3275</v>
      </c>
      <c r="I24" s="2997" t="s">
        <v>3447</v>
      </c>
      <c r="J24" s="2995" t="s">
        <v>3446</v>
      </c>
      <c r="K24" s="2997" t="s">
        <v>3448</v>
      </c>
      <c r="L24" s="2997" t="s">
        <v>3308</v>
      </c>
      <c r="M24" s="2997" t="s">
        <v>3449</v>
      </c>
      <c r="N24" s="2997" t="s">
        <v>3450</v>
      </c>
      <c r="O24" s="2995">
        <v>100</v>
      </c>
      <c r="P24" s="3012"/>
      <c r="Q24" s="2998">
        <v>8200</v>
      </c>
      <c r="R24" s="2999">
        <v>42444</v>
      </c>
      <c r="S24" s="2998">
        <v>8200</v>
      </c>
      <c r="T24" s="2999">
        <v>42460</v>
      </c>
      <c r="U24" s="2999">
        <v>42505</v>
      </c>
      <c r="V24" s="2999">
        <v>42524</v>
      </c>
      <c r="W24" s="2995"/>
      <c r="X24" s="2995">
        <v>20</v>
      </c>
      <c r="Y24" s="2999">
        <v>42525</v>
      </c>
      <c r="Z24" s="2999">
        <v>42505</v>
      </c>
      <c r="AA24" s="3107">
        <v>43234</v>
      </c>
      <c r="AB24" s="2997" t="s">
        <v>3451</v>
      </c>
      <c r="AC24" s="3012"/>
      <c r="AD24" s="3012"/>
      <c r="AE24" s="3129">
        <f>ROUND(AI24*12*O24,0)</f>
        <v>109200</v>
      </c>
      <c r="AF24" s="2998"/>
      <c r="AG24" s="2998">
        <v>82</v>
      </c>
      <c r="AH24" s="2998"/>
      <c r="AI24" s="3134">
        <v>91</v>
      </c>
      <c r="AJ24" s="2998"/>
      <c r="AK24" s="3008"/>
      <c r="AL24" s="2998"/>
      <c r="AM24" s="3008"/>
      <c r="AN24" s="2998"/>
      <c r="AO24" s="3008"/>
      <c r="AP24" s="2994">
        <v>42525</v>
      </c>
      <c r="AQ24" s="2994">
        <v>43069</v>
      </c>
      <c r="AR24" s="3002" t="s">
        <v>3301</v>
      </c>
      <c r="AS24" s="2998">
        <v>3000</v>
      </c>
      <c r="AT24" s="2998">
        <v>4500</v>
      </c>
      <c r="AU24" s="2998"/>
      <c r="AV24" s="2998">
        <v>30</v>
      </c>
      <c r="AW24" s="2994">
        <v>42505</v>
      </c>
      <c r="AX24" s="2994">
        <v>43069</v>
      </c>
      <c r="AY24" s="3004" t="s">
        <v>3301</v>
      </c>
      <c r="AZ24" s="2998"/>
      <c r="BA24" s="2999">
        <v>42460</v>
      </c>
      <c r="BB24" s="2999">
        <v>42504</v>
      </c>
      <c r="BC24" s="2995"/>
      <c r="BD24" s="2995">
        <v>45</v>
      </c>
      <c r="BE24" s="2998">
        <v>5000</v>
      </c>
      <c r="BF24" s="2998">
        <v>1000</v>
      </c>
      <c r="BG24" s="2994">
        <v>42505</v>
      </c>
      <c r="BH24" s="2994">
        <v>43053</v>
      </c>
      <c r="BI24" s="2998">
        <f>2880*6</f>
        <v>17280</v>
      </c>
      <c r="BJ24" s="3012"/>
      <c r="BK24" s="3012" t="s">
        <v>3452</v>
      </c>
      <c r="BL24" s="3016"/>
      <c r="BM24" s="3008"/>
      <c r="BN24" s="3008"/>
      <c r="BO24" s="3008"/>
      <c r="BP24" s="3008"/>
      <c r="BQ24" s="3008">
        <v>5576</v>
      </c>
      <c r="BR24" s="3008">
        <v>2040</v>
      </c>
      <c r="BS24" s="3008">
        <v>5576</v>
      </c>
      <c r="BT24" s="3008">
        <v>2040</v>
      </c>
      <c r="BU24" s="3008">
        <f>5911.61+2781.93</f>
        <v>8693.5399999999991</v>
      </c>
      <c r="BV24" s="3008">
        <f>2040+960</f>
        <v>3000</v>
      </c>
      <c r="BW24" s="3008">
        <v>9100</v>
      </c>
      <c r="BX24" s="3008">
        <v>3000</v>
      </c>
      <c r="BY24" s="3008">
        <v>9100</v>
      </c>
      <c r="BZ24" s="3008">
        <v>3000</v>
      </c>
      <c r="CA24" s="3008">
        <v>9100</v>
      </c>
      <c r="CB24" s="3008">
        <v>3000</v>
      </c>
      <c r="CC24" s="3008">
        <v>9100</v>
      </c>
      <c r="CD24" s="3008">
        <v>3000</v>
      </c>
      <c r="CE24" s="3008">
        <v>9100</v>
      </c>
      <c r="CF24" s="3008">
        <v>3000</v>
      </c>
      <c r="CG24" s="3008">
        <v>9100</v>
      </c>
      <c r="CH24" s="3008">
        <v>3000</v>
      </c>
      <c r="CI24" s="3008"/>
      <c r="CJ24" s="3008"/>
      <c r="CK24" s="3008"/>
      <c r="CL24" s="3008"/>
      <c r="CM24" s="3008"/>
      <c r="CN24" s="3008"/>
      <c r="CO24" s="3008"/>
      <c r="CP24" s="3008"/>
      <c r="CQ24" s="3008"/>
      <c r="CR24" s="3008"/>
      <c r="CS24" s="3008"/>
      <c r="CT24" s="3008"/>
      <c r="CU24" s="3008"/>
      <c r="CV24" s="3008"/>
      <c r="CW24" s="3008"/>
      <c r="CX24" s="3008"/>
      <c r="CY24" s="3008"/>
      <c r="CZ24" s="3008"/>
      <c r="DA24" s="3008"/>
      <c r="DB24" s="3008"/>
      <c r="DC24" s="3008"/>
      <c r="DD24" s="3008"/>
      <c r="DE24" s="3008"/>
      <c r="DF24" s="3008"/>
      <c r="DG24" s="3008"/>
      <c r="DH24" s="3008"/>
      <c r="DI24" s="3010">
        <f t="shared" ca="1" si="1"/>
        <v>74445.540000000008</v>
      </c>
      <c r="DJ24" s="3010">
        <f t="shared" ca="1" si="1"/>
        <v>25080</v>
      </c>
    </row>
    <row r="25" spans="1:157" s="3015" customFormat="1" ht="30" customHeight="1">
      <c r="A25" s="3012">
        <f t="shared" si="0"/>
        <v>20</v>
      </c>
      <c r="B25" s="2994">
        <v>41936</v>
      </c>
      <c r="C25" s="2999">
        <v>41961</v>
      </c>
      <c r="D25" s="3012" t="s">
        <v>3453</v>
      </c>
      <c r="E25" s="2997" t="s">
        <v>3304</v>
      </c>
      <c r="F25" s="2995">
        <v>500476</v>
      </c>
      <c r="G25" s="2995" t="s">
        <v>3454</v>
      </c>
      <c r="H25" s="3012" t="s">
        <v>3275</v>
      </c>
      <c r="I25" s="2997" t="s">
        <v>3455</v>
      </c>
      <c r="J25" s="2995" t="s">
        <v>3456</v>
      </c>
      <c r="K25" s="2997" t="s">
        <v>3457</v>
      </c>
      <c r="L25" s="2997" t="s">
        <v>3308</v>
      </c>
      <c r="M25" s="2997" t="s">
        <v>3449</v>
      </c>
      <c r="N25" s="2997" t="s">
        <v>3458</v>
      </c>
      <c r="O25" s="2995">
        <v>443</v>
      </c>
      <c r="P25" s="3012"/>
      <c r="Q25" s="2998">
        <v>21707</v>
      </c>
      <c r="R25" s="2999">
        <v>41955</v>
      </c>
      <c r="S25" s="2998">
        <v>21707</v>
      </c>
      <c r="T25" s="2999">
        <v>41953</v>
      </c>
      <c r="U25" s="2999"/>
      <c r="V25" s="2999"/>
      <c r="W25" s="2995"/>
      <c r="X25" s="2995"/>
      <c r="Y25" s="2999">
        <v>42073</v>
      </c>
      <c r="Z25" s="2999">
        <v>42073</v>
      </c>
      <c r="AA25" s="3107">
        <v>43899</v>
      </c>
      <c r="AB25" s="2997" t="s">
        <v>3282</v>
      </c>
      <c r="AC25" s="3012" t="s">
        <v>3459</v>
      </c>
      <c r="AD25" s="3012">
        <v>5</v>
      </c>
      <c r="AE25" s="3133">
        <f>ROUND(AJ25*365*O25,0)</f>
        <v>274882</v>
      </c>
      <c r="AF25" s="2998">
        <v>1.61</v>
      </c>
      <c r="AG25" s="2998">
        <v>49</v>
      </c>
      <c r="AH25" s="2998">
        <v>1.61</v>
      </c>
      <c r="AI25" s="2998">
        <v>49</v>
      </c>
      <c r="AJ25" s="3134">
        <v>1.7</v>
      </c>
      <c r="AK25" s="2998">
        <v>52</v>
      </c>
      <c r="AL25" s="2998">
        <v>1.8</v>
      </c>
      <c r="AM25" s="2998">
        <v>55</v>
      </c>
      <c r="AN25" s="2998"/>
      <c r="AO25" s="3008"/>
      <c r="AP25" s="2994">
        <v>42073</v>
      </c>
      <c r="AQ25" s="2994">
        <v>43069</v>
      </c>
      <c r="AR25" s="3002" t="s">
        <v>3301</v>
      </c>
      <c r="AS25" s="2998"/>
      <c r="AT25" s="2998">
        <v>37212</v>
      </c>
      <c r="AU25" s="2998">
        <v>0.7</v>
      </c>
      <c r="AV25" s="2998">
        <v>21</v>
      </c>
      <c r="AW25" s="2994">
        <v>42073</v>
      </c>
      <c r="AX25" s="2994">
        <v>43069</v>
      </c>
      <c r="AY25" s="3004" t="s">
        <v>3301</v>
      </c>
      <c r="AZ25" s="2998"/>
      <c r="BA25" s="2999">
        <v>41953</v>
      </c>
      <c r="BB25" s="2999">
        <v>42072</v>
      </c>
      <c r="BC25" s="2995">
        <v>4</v>
      </c>
      <c r="BD25" s="2995"/>
      <c r="BE25" s="2998">
        <v>5000</v>
      </c>
      <c r="BF25" s="2998">
        <v>6000</v>
      </c>
      <c r="BG25" s="2994"/>
      <c r="BH25" s="2994"/>
      <c r="BI25" s="2998"/>
      <c r="BJ25" s="3012" t="s">
        <v>3460</v>
      </c>
      <c r="BK25" s="3012" t="s">
        <v>3302</v>
      </c>
      <c r="BL25" s="3013"/>
      <c r="BM25" s="3009"/>
      <c r="BN25" s="3009"/>
      <c r="BO25" s="3009"/>
      <c r="BP25" s="3009"/>
      <c r="BQ25" s="3009">
        <v>22650.16</v>
      </c>
      <c r="BR25" s="3009">
        <v>9303</v>
      </c>
      <c r="BS25" s="3009">
        <v>23036</v>
      </c>
      <c r="BT25" s="3009">
        <v>9303</v>
      </c>
      <c r="BU25" s="3009">
        <v>23036</v>
      </c>
      <c r="BV25" s="3009">
        <f>9303</f>
        <v>9303</v>
      </c>
      <c r="BW25" s="3009">
        <f>23036-767.87-1535.73-1535.73</f>
        <v>19196.670000000002</v>
      </c>
      <c r="BX25" s="3009">
        <f>9303</f>
        <v>9303</v>
      </c>
      <c r="BY25" s="3009">
        <v>23036</v>
      </c>
      <c r="BZ25" s="3009">
        <f>9303</f>
        <v>9303</v>
      </c>
      <c r="CA25" s="3009">
        <v>23036</v>
      </c>
      <c r="CB25" s="3009">
        <f>9303</f>
        <v>9303</v>
      </c>
      <c r="CC25" s="3009">
        <v>23036</v>
      </c>
      <c r="CD25" s="3009">
        <v>9303</v>
      </c>
      <c r="CE25" s="3009">
        <v>23036</v>
      </c>
      <c r="CF25" s="3009">
        <v>9303</v>
      </c>
      <c r="CG25" s="3009">
        <v>23036</v>
      </c>
      <c r="CH25" s="3009">
        <v>9303</v>
      </c>
      <c r="CI25" s="3009"/>
      <c r="CJ25" s="3009"/>
      <c r="CK25" s="3009"/>
      <c r="CL25" s="3009"/>
      <c r="CM25" s="3009"/>
      <c r="CN25" s="3009"/>
      <c r="CO25" s="3009"/>
      <c r="CP25" s="3009"/>
      <c r="CQ25" s="3009"/>
      <c r="CR25" s="3009"/>
      <c r="CS25" s="3009"/>
      <c r="CT25" s="3009"/>
      <c r="CU25" s="3009"/>
      <c r="CV25" s="3009"/>
      <c r="CW25" s="3009"/>
      <c r="CX25" s="3009"/>
      <c r="CY25" s="3009"/>
      <c r="CZ25" s="3009"/>
      <c r="DA25" s="3009"/>
      <c r="DB25" s="3009"/>
      <c r="DC25" s="3009"/>
      <c r="DD25" s="3009"/>
      <c r="DE25" s="3009"/>
      <c r="DF25" s="3009"/>
      <c r="DG25" s="3009"/>
      <c r="DH25" s="3009"/>
      <c r="DI25" s="3010">
        <f t="shared" ca="1" si="1"/>
        <v>203098.83000000002</v>
      </c>
      <c r="DJ25" s="3010">
        <f t="shared" ca="1" si="1"/>
        <v>83727</v>
      </c>
    </row>
    <row r="26" spans="1:157" s="3015" customFormat="1" ht="30" customHeight="1">
      <c r="A26" s="3012">
        <f t="shared" si="0"/>
        <v>21</v>
      </c>
      <c r="B26" s="2994">
        <v>42510</v>
      </c>
      <c r="C26" s="2999">
        <v>42513</v>
      </c>
      <c r="D26" s="3012" t="s">
        <v>3461</v>
      </c>
      <c r="E26" s="2997" t="s">
        <v>3462</v>
      </c>
      <c r="F26" s="2995">
        <v>500595</v>
      </c>
      <c r="G26" s="2995" t="s">
        <v>3463</v>
      </c>
      <c r="H26" s="3012" t="s">
        <v>3275</v>
      </c>
      <c r="I26" s="2997" t="s">
        <v>3464</v>
      </c>
      <c r="J26" s="2995" t="s">
        <v>3463</v>
      </c>
      <c r="K26" s="2997" t="s">
        <v>3465</v>
      </c>
      <c r="L26" s="2997" t="s">
        <v>3466</v>
      </c>
      <c r="M26" s="2997" t="s">
        <v>3467</v>
      </c>
      <c r="N26" s="2997" t="s">
        <v>3468</v>
      </c>
      <c r="O26" s="2995">
        <v>18</v>
      </c>
      <c r="P26" s="3012"/>
      <c r="Q26" s="3017">
        <v>2024</v>
      </c>
      <c r="R26" s="3018">
        <v>42513</v>
      </c>
      <c r="S26" s="3017">
        <v>2024</v>
      </c>
      <c r="T26" s="3018">
        <v>42522</v>
      </c>
      <c r="U26" s="3018"/>
      <c r="V26" s="2999"/>
      <c r="W26" s="2995"/>
      <c r="X26" s="2995"/>
      <c r="Y26" s="3018">
        <v>42902</v>
      </c>
      <c r="Z26" s="3018">
        <v>42537</v>
      </c>
      <c r="AA26" s="3111">
        <v>43266</v>
      </c>
      <c r="AB26" s="2997" t="s">
        <v>3469</v>
      </c>
      <c r="AC26" s="3012"/>
      <c r="AD26" s="3012"/>
      <c r="AE26" s="3129">
        <f>ROUND(AI26*12*O26,0)</f>
        <v>23717</v>
      </c>
      <c r="AF26" s="3017"/>
      <c r="AG26" s="3017">
        <v>92</v>
      </c>
      <c r="AH26" s="3017"/>
      <c r="AI26" s="3136">
        <v>109.8</v>
      </c>
      <c r="AJ26" s="3017"/>
      <c r="AK26" s="3008"/>
      <c r="AL26" s="3017"/>
      <c r="AM26" s="3008"/>
      <c r="AN26" s="3017"/>
      <c r="AO26" s="3008"/>
      <c r="AP26" s="3019">
        <v>42547</v>
      </c>
      <c r="AQ26" s="3019">
        <v>43100</v>
      </c>
      <c r="AR26" s="3020" t="s">
        <v>3470</v>
      </c>
      <c r="AS26" s="3017">
        <v>660</v>
      </c>
      <c r="AT26" s="3017">
        <v>330</v>
      </c>
      <c r="AU26" s="3017"/>
      <c r="AV26" s="3017">
        <v>45</v>
      </c>
      <c r="AW26" s="3019">
        <v>42537</v>
      </c>
      <c r="AX26" s="3019">
        <v>43100</v>
      </c>
      <c r="AY26" s="3021" t="s">
        <v>3470</v>
      </c>
      <c r="AZ26" s="2998"/>
      <c r="BA26" s="2999">
        <v>42522</v>
      </c>
      <c r="BB26" s="2999">
        <v>42536</v>
      </c>
      <c r="BC26" s="2995"/>
      <c r="BD26" s="2995">
        <v>15</v>
      </c>
      <c r="BE26" s="2998">
        <v>3000</v>
      </c>
      <c r="BF26" s="3017">
        <v>220</v>
      </c>
      <c r="BG26" s="2994"/>
      <c r="BH26" s="2994"/>
      <c r="BI26" s="2998"/>
      <c r="BJ26" s="3012"/>
      <c r="BK26" s="3012" t="s">
        <v>3452</v>
      </c>
      <c r="BL26" s="3016"/>
      <c r="BM26" s="3008"/>
      <c r="BN26" s="3008"/>
      <c r="BO26" s="3008"/>
      <c r="BP26" s="3008"/>
      <c r="BQ26" s="3008"/>
      <c r="BR26" s="3008"/>
      <c r="BS26" s="3008">
        <v>1656</v>
      </c>
      <c r="BT26" s="3008">
        <v>540</v>
      </c>
      <c r="BU26" s="3008">
        <v>1656</v>
      </c>
      <c r="BV26" s="3008">
        <v>540</v>
      </c>
      <c r="BW26" s="3008">
        <f>828+988.2</f>
        <v>1816.2</v>
      </c>
      <c r="BX26" s="3008">
        <f>270+405</f>
        <v>675</v>
      </c>
      <c r="BY26" s="3008">
        <v>1976.4</v>
      </c>
      <c r="BZ26" s="3008">
        <v>810</v>
      </c>
      <c r="CA26" s="3008">
        <v>1976.4</v>
      </c>
      <c r="CB26" s="3008">
        <v>810</v>
      </c>
      <c r="CC26" s="3008">
        <v>1976.4</v>
      </c>
      <c r="CD26" s="3008">
        <v>810</v>
      </c>
      <c r="CE26" s="3008">
        <v>1976.4</v>
      </c>
      <c r="CF26" s="3008">
        <v>810</v>
      </c>
      <c r="CG26" s="3008">
        <v>1976.4</v>
      </c>
      <c r="CH26" s="3008">
        <v>810</v>
      </c>
      <c r="CI26" s="3008">
        <v>1976.4</v>
      </c>
      <c r="CJ26" s="3008">
        <v>810</v>
      </c>
      <c r="CK26" s="3008"/>
      <c r="CL26" s="3008"/>
      <c r="CM26" s="3008"/>
      <c r="CN26" s="3008"/>
      <c r="CO26" s="3008"/>
      <c r="CP26" s="3008"/>
      <c r="CQ26" s="3008"/>
      <c r="CR26" s="3008"/>
      <c r="CS26" s="3008"/>
      <c r="CT26" s="3008"/>
      <c r="CU26" s="3008"/>
      <c r="CV26" s="3008"/>
      <c r="CW26" s="3008"/>
      <c r="CX26" s="3008"/>
      <c r="CY26" s="3008"/>
      <c r="CZ26" s="3008"/>
      <c r="DA26" s="3008"/>
      <c r="DB26" s="3008"/>
      <c r="DC26" s="3008"/>
      <c r="DD26" s="3008"/>
      <c r="DE26" s="3008"/>
      <c r="DF26" s="3008"/>
      <c r="DG26" s="3008"/>
      <c r="DH26" s="3008"/>
      <c r="DI26" s="3010">
        <f t="shared" ca="1" si="1"/>
        <v>16986.599999999999</v>
      </c>
      <c r="DJ26" s="3010">
        <f t="shared" ca="1" si="1"/>
        <v>6615</v>
      </c>
    </row>
    <row r="27" spans="1:157" s="3015" customFormat="1" ht="30" customHeight="1">
      <c r="A27" s="3012">
        <f t="shared" si="0"/>
        <v>22</v>
      </c>
      <c r="B27" s="2994">
        <v>42857</v>
      </c>
      <c r="C27" s="2999">
        <v>42882</v>
      </c>
      <c r="D27" s="3012" t="s">
        <v>3471</v>
      </c>
      <c r="E27" s="2997" t="s">
        <v>3423</v>
      </c>
      <c r="F27" s="2995">
        <v>500675</v>
      </c>
      <c r="G27" s="2995" t="s">
        <v>3472</v>
      </c>
      <c r="H27" s="3012" t="s">
        <v>3401</v>
      </c>
      <c r="I27" s="2997" t="s">
        <v>3473</v>
      </c>
      <c r="J27" s="2995" t="s">
        <v>3474</v>
      </c>
      <c r="K27" s="2997" t="s">
        <v>3475</v>
      </c>
      <c r="L27" s="2997" t="s">
        <v>3405</v>
      </c>
      <c r="M27" s="2997" t="s">
        <v>3476</v>
      </c>
      <c r="N27" s="2997" t="s">
        <v>3477</v>
      </c>
      <c r="O27" s="2995">
        <v>1015.9</v>
      </c>
      <c r="P27" s="3012"/>
      <c r="Q27" s="3017">
        <v>62050</v>
      </c>
      <c r="R27" s="3018">
        <v>42881</v>
      </c>
      <c r="S27" s="3017">
        <v>62050</v>
      </c>
      <c r="T27" s="3018">
        <v>42887</v>
      </c>
      <c r="U27" s="3018" t="s">
        <v>3478</v>
      </c>
      <c r="V27" s="2999" t="s">
        <v>3479</v>
      </c>
      <c r="W27" s="2995">
        <v>8</v>
      </c>
      <c r="X27" s="2995"/>
      <c r="Y27" s="3018">
        <v>43191</v>
      </c>
      <c r="Z27" s="3018">
        <v>43070</v>
      </c>
      <c r="AA27" s="3111">
        <v>46721</v>
      </c>
      <c r="AB27" s="2997" t="s">
        <v>3480</v>
      </c>
      <c r="AC27" s="3012" t="s">
        <v>3481</v>
      </c>
      <c r="AD27" s="3012">
        <v>3</v>
      </c>
      <c r="AE27" s="3133">
        <f>ROUND(AF27*365*O27,0)</f>
        <v>741607</v>
      </c>
      <c r="AF27" s="3136">
        <v>2</v>
      </c>
      <c r="AG27" s="3017"/>
      <c r="AH27" s="3017">
        <v>2</v>
      </c>
      <c r="AI27" s="3017"/>
      <c r="AJ27" s="3017">
        <v>2.06</v>
      </c>
      <c r="AK27" s="3008"/>
      <c r="AL27" s="3017">
        <v>2.12</v>
      </c>
      <c r="AM27" s="3008"/>
      <c r="AN27" s="3017">
        <v>2.1800000000000002</v>
      </c>
      <c r="AO27" s="3008"/>
      <c r="AP27" s="3019"/>
      <c r="AQ27" s="3019"/>
      <c r="AR27" s="3002" t="s">
        <v>3420</v>
      </c>
      <c r="AS27" s="3017"/>
      <c r="AT27" s="3017"/>
      <c r="AU27" s="3017"/>
      <c r="AV27" s="3017"/>
      <c r="AW27" s="3019"/>
      <c r="AX27" s="3019"/>
      <c r="AY27" s="3021"/>
      <c r="AZ27" s="2998"/>
      <c r="BA27" s="2999">
        <v>42887</v>
      </c>
      <c r="BB27" s="2999">
        <v>43069</v>
      </c>
      <c r="BC27" s="2995">
        <v>6</v>
      </c>
      <c r="BD27" s="2995"/>
      <c r="BE27" s="2998">
        <v>30000</v>
      </c>
      <c r="BF27" s="3017">
        <f>10*1020</f>
        <v>10200</v>
      </c>
      <c r="BG27" s="2994"/>
      <c r="BH27" s="2994"/>
      <c r="BI27" s="2998"/>
      <c r="BJ27" s="3012"/>
      <c r="BK27" s="3012" t="s">
        <v>3452</v>
      </c>
      <c r="BL27" s="3006" t="s">
        <v>3482</v>
      </c>
      <c r="BM27" s="3009"/>
      <c r="BN27" s="3009"/>
      <c r="BO27" s="3009"/>
      <c r="BP27" s="3009"/>
      <c r="BQ27" s="3009"/>
      <c r="BR27" s="3009"/>
      <c r="BS27" s="3009"/>
      <c r="BT27" s="3009"/>
      <c r="BU27" s="3009"/>
      <c r="BV27" s="3009"/>
      <c r="BW27" s="3009"/>
      <c r="BX27" s="3009"/>
      <c r="BY27" s="3009"/>
      <c r="BZ27" s="3009"/>
      <c r="CA27" s="3009"/>
      <c r="CB27" s="3009"/>
      <c r="CC27" s="3009"/>
      <c r="CD27" s="3009"/>
      <c r="CE27" s="3009"/>
      <c r="CF27" s="3009"/>
      <c r="CG27" s="3009"/>
      <c r="CH27" s="3009"/>
      <c r="CI27" s="3009"/>
      <c r="CJ27" s="3009"/>
      <c r="CK27" s="3009"/>
      <c r="CL27" s="3009"/>
      <c r="CM27" s="3009"/>
      <c r="CN27" s="3009"/>
      <c r="CO27" s="3009"/>
      <c r="CP27" s="3009"/>
      <c r="CQ27" s="3009"/>
      <c r="CR27" s="3009"/>
      <c r="CS27" s="3009"/>
      <c r="CT27" s="3009"/>
      <c r="CU27" s="3009"/>
      <c r="CV27" s="3009"/>
      <c r="CW27" s="3009"/>
      <c r="CX27" s="3009"/>
      <c r="CY27" s="3009"/>
      <c r="CZ27" s="3009"/>
      <c r="DA27" s="3009"/>
      <c r="DB27" s="3009"/>
      <c r="DC27" s="3009"/>
      <c r="DD27" s="3009"/>
      <c r="DE27" s="3009"/>
      <c r="DF27" s="3009"/>
      <c r="DG27" s="3009"/>
      <c r="DH27" s="3009"/>
      <c r="DI27" s="3010">
        <f t="shared" ca="1" si="1"/>
        <v>0</v>
      </c>
      <c r="DJ27" s="3010">
        <f t="shared" ca="1" si="1"/>
        <v>0</v>
      </c>
    </row>
    <row r="28" spans="1:157" s="3015" customFormat="1" ht="30" customHeight="1">
      <c r="A28" s="3012">
        <f t="shared" si="0"/>
        <v>23</v>
      </c>
      <c r="B28" s="2994">
        <v>42705</v>
      </c>
      <c r="C28" s="2999">
        <v>42709</v>
      </c>
      <c r="D28" s="3012" t="s">
        <v>3483</v>
      </c>
      <c r="E28" s="2997" t="s">
        <v>3484</v>
      </c>
      <c r="F28" s="2995">
        <v>500630</v>
      </c>
      <c r="G28" s="2995" t="s">
        <v>3485</v>
      </c>
      <c r="H28" s="3012" t="s">
        <v>3486</v>
      </c>
      <c r="I28" s="2997" t="s">
        <v>3487</v>
      </c>
      <c r="J28" s="2995" t="s">
        <v>3485</v>
      </c>
      <c r="K28" s="2997" t="s">
        <v>3488</v>
      </c>
      <c r="L28" s="2997" t="s">
        <v>3466</v>
      </c>
      <c r="M28" s="2997" t="s">
        <v>3489</v>
      </c>
      <c r="N28" s="2997" t="s">
        <v>3490</v>
      </c>
      <c r="O28" s="2995">
        <v>850</v>
      </c>
      <c r="P28" s="3012"/>
      <c r="Q28" s="2998">
        <v>51850</v>
      </c>
      <c r="R28" s="2999">
        <v>42704</v>
      </c>
      <c r="S28" s="2998">
        <v>51850</v>
      </c>
      <c r="T28" s="2999">
        <v>42786</v>
      </c>
      <c r="U28" s="2999" t="s">
        <v>3491</v>
      </c>
      <c r="V28" s="2999" t="s">
        <v>3492</v>
      </c>
      <c r="W28" s="2995">
        <v>2</v>
      </c>
      <c r="X28" s="2995"/>
      <c r="Y28" s="2999">
        <v>42906</v>
      </c>
      <c r="Z28" s="2999">
        <v>42786</v>
      </c>
      <c r="AA28" s="3107">
        <v>44976</v>
      </c>
      <c r="AB28" s="2997" t="s">
        <v>3493</v>
      </c>
      <c r="AC28" s="3012" t="s">
        <v>3494</v>
      </c>
      <c r="AD28" s="3012">
        <v>5</v>
      </c>
      <c r="AE28" s="3129">
        <f t="shared" si="2"/>
        <v>622200</v>
      </c>
      <c r="AF28" s="2998"/>
      <c r="AG28" s="3134">
        <v>61</v>
      </c>
      <c r="AH28" s="2998"/>
      <c r="AI28" s="2998">
        <v>61</v>
      </c>
      <c r="AJ28" s="2998"/>
      <c r="AK28" s="2998">
        <v>64.05</v>
      </c>
      <c r="AL28" s="2998"/>
      <c r="AM28" s="2998">
        <v>67.25</v>
      </c>
      <c r="AN28" s="2998"/>
      <c r="AO28" s="3016"/>
      <c r="AP28" s="2994"/>
      <c r="AQ28" s="2994"/>
      <c r="AR28" s="3002" t="s">
        <v>3470</v>
      </c>
      <c r="AS28" s="2998"/>
      <c r="AT28" s="2998"/>
      <c r="AU28" s="2998"/>
      <c r="AV28" s="2998">
        <v>30</v>
      </c>
      <c r="AW28" s="2994"/>
      <c r="AX28" s="2994"/>
      <c r="AY28" s="3004" t="s">
        <v>3470</v>
      </c>
      <c r="AZ28" s="2998"/>
      <c r="BA28" s="2999">
        <v>42786</v>
      </c>
      <c r="BB28" s="2999">
        <v>42874</v>
      </c>
      <c r="BC28" s="2995">
        <v>3</v>
      </c>
      <c r="BD28" s="2995"/>
      <c r="BE28" s="2998">
        <v>20000</v>
      </c>
      <c r="BF28" s="2998">
        <v>8500</v>
      </c>
      <c r="BG28" s="2994"/>
      <c r="BH28" s="2994"/>
      <c r="BI28" s="2998"/>
      <c r="BJ28" s="3012"/>
      <c r="BK28" s="3012" t="s">
        <v>3452</v>
      </c>
      <c r="BL28" s="3013"/>
      <c r="BM28" s="3013"/>
      <c r="BN28" s="3013"/>
      <c r="BO28" s="3013"/>
      <c r="BP28" s="3013"/>
      <c r="BQ28" s="3013"/>
      <c r="BR28" s="3013"/>
      <c r="BS28" s="3013"/>
      <c r="BT28" s="3013"/>
      <c r="BU28" s="3013"/>
      <c r="BV28" s="3013"/>
      <c r="BW28" s="3013"/>
      <c r="BX28" s="3013"/>
      <c r="BY28" s="3013"/>
      <c r="BZ28" s="3013"/>
      <c r="CA28" s="3013"/>
      <c r="CB28" s="3013"/>
      <c r="CC28" s="3013"/>
      <c r="CD28" s="3013"/>
      <c r="CE28" s="3013"/>
      <c r="CF28" s="3013"/>
      <c r="CG28" s="3013"/>
      <c r="CH28" s="3013"/>
      <c r="CI28" s="3013"/>
      <c r="CJ28" s="3013"/>
      <c r="CK28" s="3013"/>
      <c r="CL28" s="3013"/>
      <c r="CM28" s="3013"/>
      <c r="CN28" s="3013"/>
      <c r="CO28" s="3013"/>
      <c r="CP28" s="3013"/>
      <c r="CQ28" s="3013"/>
      <c r="CR28" s="3013"/>
      <c r="CS28" s="3013"/>
      <c r="CT28" s="3013"/>
      <c r="CU28" s="3013"/>
      <c r="CV28" s="3013"/>
      <c r="CW28" s="3013"/>
      <c r="CX28" s="3013"/>
      <c r="CY28" s="3013"/>
      <c r="CZ28" s="3013"/>
      <c r="DA28" s="3013"/>
      <c r="DB28" s="3013"/>
      <c r="DC28" s="3013"/>
      <c r="DD28" s="3013"/>
      <c r="DE28" s="3013"/>
      <c r="DF28" s="3013"/>
      <c r="DG28" s="3013"/>
      <c r="DH28" s="3013"/>
      <c r="DI28" s="3010">
        <f t="shared" ca="1" si="1"/>
        <v>0</v>
      </c>
      <c r="DJ28" s="3010">
        <f t="shared" ca="1" si="1"/>
        <v>0</v>
      </c>
    </row>
    <row r="29" spans="1:157" s="3015" customFormat="1" ht="30" customHeight="1">
      <c r="A29" s="3012">
        <f t="shared" si="0"/>
        <v>24</v>
      </c>
      <c r="B29" s="2994">
        <v>42989</v>
      </c>
      <c r="C29" s="2999">
        <v>42993</v>
      </c>
      <c r="D29" s="3012" t="s">
        <v>3495</v>
      </c>
      <c r="E29" s="2997" t="s">
        <v>3496</v>
      </c>
      <c r="F29" s="2995">
        <v>500696</v>
      </c>
      <c r="G29" s="2995" t="s">
        <v>3497</v>
      </c>
      <c r="H29" s="3012" t="s">
        <v>3486</v>
      </c>
      <c r="I29" s="2997" t="s">
        <v>3498</v>
      </c>
      <c r="J29" s="2995" t="s">
        <v>3497</v>
      </c>
      <c r="K29" s="2997" t="s">
        <v>3499</v>
      </c>
      <c r="L29" s="2997" t="s">
        <v>3466</v>
      </c>
      <c r="M29" s="2997" t="s">
        <v>3489</v>
      </c>
      <c r="N29" s="2997" t="s">
        <v>3500</v>
      </c>
      <c r="O29" s="2995">
        <v>41</v>
      </c>
      <c r="P29" s="3012"/>
      <c r="Q29" s="2998">
        <v>22447.5</v>
      </c>
      <c r="R29" s="2999">
        <v>42989</v>
      </c>
      <c r="S29" s="2998">
        <v>22447.5</v>
      </c>
      <c r="T29" s="2999">
        <v>43018</v>
      </c>
      <c r="U29" s="2999"/>
      <c r="V29" s="2999"/>
      <c r="W29" s="2995"/>
      <c r="X29" s="2995"/>
      <c r="Y29" s="2999">
        <v>43048</v>
      </c>
      <c r="Z29" s="2999">
        <v>43018</v>
      </c>
      <c r="AA29" s="3107">
        <v>43747</v>
      </c>
      <c r="AB29" s="2997" t="s">
        <v>3469</v>
      </c>
      <c r="AC29" s="3012" t="s">
        <v>3501</v>
      </c>
      <c r="AD29" s="3012">
        <v>5</v>
      </c>
      <c r="AE29" s="3133">
        <f>ROUND(AF29*365*O29,0)</f>
        <v>89790</v>
      </c>
      <c r="AF29" s="3134">
        <v>6</v>
      </c>
      <c r="AG29" s="2998"/>
      <c r="AH29" s="2998">
        <v>6.3</v>
      </c>
      <c r="AI29" s="2998"/>
      <c r="AJ29" s="2998"/>
      <c r="AK29" s="2998"/>
      <c r="AL29" s="2998"/>
      <c r="AM29" s="2998"/>
      <c r="AN29" s="2998"/>
      <c r="AO29" s="3016"/>
      <c r="AP29" s="2994">
        <v>43048</v>
      </c>
      <c r="AQ29" s="2994">
        <v>43139</v>
      </c>
      <c r="AR29" s="3002" t="s">
        <v>3470</v>
      </c>
      <c r="AS29" s="2998">
        <v>5611.89</v>
      </c>
      <c r="AT29" s="2998">
        <v>1845</v>
      </c>
      <c r="AU29" s="2998">
        <v>1.5</v>
      </c>
      <c r="AV29" s="2998"/>
      <c r="AW29" s="2994">
        <v>43048</v>
      </c>
      <c r="AX29" s="2994">
        <v>43139</v>
      </c>
      <c r="AY29" s="3004" t="s">
        <v>3470</v>
      </c>
      <c r="AZ29" s="2998"/>
      <c r="BA29" s="2999">
        <v>43018</v>
      </c>
      <c r="BB29" s="2999">
        <v>43047</v>
      </c>
      <c r="BC29" s="2995"/>
      <c r="BD29" s="2995">
        <v>30</v>
      </c>
      <c r="BE29" s="2998">
        <v>3000</v>
      </c>
      <c r="BF29" s="2998">
        <v>410</v>
      </c>
      <c r="BG29" s="2994"/>
      <c r="BH29" s="2994"/>
      <c r="BI29" s="2998"/>
      <c r="BJ29" s="3012"/>
      <c r="BK29" s="3012" t="s">
        <v>3452</v>
      </c>
      <c r="BL29" s="3016"/>
      <c r="BM29" s="3016"/>
      <c r="BN29" s="3016"/>
      <c r="BO29" s="3016"/>
      <c r="BP29" s="3016"/>
      <c r="BQ29" s="3016"/>
      <c r="BR29" s="3016"/>
      <c r="BS29" s="3016"/>
      <c r="BT29" s="3016"/>
      <c r="BU29" s="3016"/>
      <c r="BV29" s="3016"/>
      <c r="BW29" s="3016"/>
      <c r="BX29" s="3016"/>
      <c r="BY29" s="3016"/>
      <c r="BZ29" s="3016"/>
      <c r="CA29" s="3016"/>
      <c r="CB29" s="3016"/>
      <c r="CC29" s="3016"/>
      <c r="CD29" s="3016"/>
      <c r="CE29" s="3016"/>
      <c r="CF29" s="3016"/>
      <c r="CG29" s="3022">
        <v>5412</v>
      </c>
      <c r="CH29" s="3022">
        <v>1353</v>
      </c>
      <c r="CI29" s="3022">
        <v>7626</v>
      </c>
      <c r="CJ29" s="3022">
        <v>1906.5</v>
      </c>
      <c r="CK29" s="3022">
        <v>7626</v>
      </c>
      <c r="CL29" s="3022">
        <v>1906.5</v>
      </c>
      <c r="CM29" s="3022">
        <v>1968</v>
      </c>
      <c r="CN29" s="3022">
        <v>492</v>
      </c>
      <c r="CO29" s="3022"/>
      <c r="CP29" s="3022"/>
      <c r="CQ29" s="3022"/>
      <c r="CR29" s="3022"/>
      <c r="CS29" s="3022"/>
      <c r="CT29" s="3022"/>
      <c r="CU29" s="3022"/>
      <c r="CV29" s="3022"/>
      <c r="CW29" s="3022"/>
      <c r="CX29" s="3022"/>
      <c r="CY29" s="3022"/>
      <c r="CZ29" s="3022"/>
      <c r="DA29" s="3022"/>
      <c r="DB29" s="3022"/>
      <c r="DC29" s="3022"/>
      <c r="DD29" s="3022"/>
      <c r="DE29" s="3022"/>
      <c r="DF29" s="3022"/>
      <c r="DG29" s="3022"/>
      <c r="DH29" s="3022"/>
      <c r="DI29" s="3010">
        <f t="shared" ca="1" si="1"/>
        <v>22632</v>
      </c>
      <c r="DJ29" s="3010">
        <f t="shared" ca="1" si="1"/>
        <v>5658</v>
      </c>
    </row>
    <row r="30" spans="1:157" s="3023" customFormat="1" ht="30" customHeight="1">
      <c r="C30" s="3024"/>
      <c r="D30" s="3024"/>
      <c r="E30" s="3024"/>
      <c r="H30" s="3025"/>
      <c r="I30" s="3025"/>
      <c r="J30" s="3026"/>
      <c r="K30" s="3026"/>
      <c r="M30" s="3027"/>
      <c r="N30" s="3027"/>
      <c r="O30" s="3028">
        <f>SUM(O6:O29)</f>
        <v>8791.9</v>
      </c>
      <c r="P30" s="3027"/>
      <c r="Q30" s="3025"/>
      <c r="R30" s="3025"/>
      <c r="S30" s="3025"/>
      <c r="T30" s="3029"/>
      <c r="W30" s="3030"/>
      <c r="X30" s="3031"/>
      <c r="Y30" s="3030"/>
      <c r="Z30" s="3031"/>
      <c r="AA30" s="3112"/>
      <c r="AB30" s="3032"/>
      <c r="AC30" s="3029"/>
      <c r="AD30" s="3029"/>
      <c r="AE30" s="3145">
        <f>SUM(AE6:AE29)</f>
        <v>5222253</v>
      </c>
      <c r="AF30" s="3031"/>
      <c r="AG30" s="3031"/>
      <c r="AH30" s="3025"/>
      <c r="AK30" s="3030"/>
      <c r="AL30" s="3030"/>
      <c r="AM30" s="3030"/>
      <c r="AN30" s="3030"/>
      <c r="AO30" s="3030"/>
      <c r="AP30" s="3030"/>
      <c r="AQ30" s="3030"/>
      <c r="AR30" s="3031"/>
      <c r="AS30" s="3031"/>
      <c r="AT30" s="3030"/>
      <c r="AU30" s="3033"/>
      <c r="AV30" s="3030"/>
      <c r="AW30" s="3030"/>
      <c r="AX30" s="3033"/>
      <c r="AY30" s="3033"/>
      <c r="AZ30" s="3033"/>
      <c r="BA30" s="3033"/>
      <c r="BB30" s="3025"/>
      <c r="BC30" s="3025"/>
      <c r="BD30" s="3032"/>
      <c r="BE30" s="3032"/>
      <c r="BF30" s="3029"/>
      <c r="BG30" s="3029"/>
      <c r="BH30" s="3033"/>
      <c r="BI30" s="3030"/>
      <c r="BJ30" s="3029"/>
      <c r="BK30" s="3029"/>
      <c r="BL30" s="3029"/>
      <c r="BM30" s="3034"/>
      <c r="BN30" s="3034"/>
      <c r="BO30" s="3034"/>
      <c r="BP30" s="3034"/>
      <c r="BQ30" s="3035"/>
      <c r="BR30" s="3035"/>
      <c r="BS30" s="3035"/>
      <c r="BT30" s="3035"/>
      <c r="BU30" s="3033"/>
      <c r="BV30" s="3033"/>
      <c r="BW30" s="3033"/>
      <c r="BX30" s="3033"/>
      <c r="BY30" s="3033"/>
      <c r="BZ30" s="3033"/>
      <c r="CA30" s="3033"/>
      <c r="CB30" s="3033"/>
      <c r="CC30" s="3033"/>
      <c r="CD30" s="3033"/>
      <c r="CE30" s="3033"/>
      <c r="CF30" s="3033"/>
      <c r="CG30" s="3033"/>
      <c r="CH30" s="3033"/>
      <c r="CI30" s="3033"/>
      <c r="CJ30" s="3033"/>
      <c r="CK30" s="3033"/>
      <c r="CL30" s="3033"/>
      <c r="CM30" s="3033"/>
      <c r="CN30" s="3033"/>
      <c r="CO30" s="3033"/>
      <c r="CP30" s="3033"/>
      <c r="CQ30" s="3033"/>
      <c r="CR30" s="3033"/>
      <c r="CS30" s="3033"/>
      <c r="CT30" s="3033"/>
      <c r="CU30" s="3033"/>
      <c r="CV30" s="3033"/>
      <c r="CW30" s="3033"/>
      <c r="CX30" s="3033"/>
      <c r="CY30" s="3033"/>
      <c r="CZ30" s="3033"/>
      <c r="DA30" s="3033"/>
      <c r="DB30" s="3033"/>
      <c r="DC30" s="3033"/>
      <c r="DD30" s="3033"/>
      <c r="DE30" s="3033"/>
      <c r="DF30" s="3033"/>
      <c r="DG30" s="3033"/>
      <c r="DH30" s="3033"/>
      <c r="DI30" s="3036"/>
      <c r="DJ30" s="3036"/>
      <c r="DK30" s="3033"/>
      <c r="DL30" s="3033"/>
      <c r="DM30" s="3033"/>
      <c r="DN30" s="3033"/>
      <c r="DO30" s="3033"/>
      <c r="DP30" s="3033"/>
      <c r="DQ30" s="3033"/>
      <c r="DR30" s="3033"/>
      <c r="DS30" s="3033"/>
      <c r="DT30" s="3033"/>
      <c r="DU30" s="3033"/>
      <c r="DV30" s="3033"/>
      <c r="DW30" s="3033"/>
      <c r="DX30" s="3033"/>
      <c r="DY30" s="3033"/>
      <c r="DZ30" s="3033"/>
      <c r="EA30" s="3033"/>
      <c r="EB30" s="3033"/>
      <c r="EC30" s="3033"/>
      <c r="ED30" s="3033"/>
      <c r="EE30" s="3033"/>
      <c r="EF30" s="3033"/>
      <c r="EG30" s="3033"/>
      <c r="EH30" s="3033"/>
      <c r="EI30" s="3033"/>
      <c r="EJ30" s="3033"/>
      <c r="EK30" s="3033"/>
      <c r="EL30" s="3033"/>
      <c r="EM30" s="3033"/>
      <c r="EN30" s="3033"/>
      <c r="EO30" s="3033"/>
      <c r="EP30" s="3033"/>
      <c r="EQ30" s="3033"/>
      <c r="ER30" s="3033"/>
      <c r="ES30" s="3033"/>
      <c r="ET30" s="3033"/>
      <c r="EU30" s="3033"/>
      <c r="EV30" s="3033"/>
      <c r="EW30" s="3033"/>
      <c r="EX30" s="3033"/>
      <c r="EY30" s="3033"/>
      <c r="EZ30" s="3033"/>
      <c r="FA30" s="3033"/>
    </row>
    <row r="31" spans="1:157" s="3023" customFormat="1">
      <c r="C31" s="3024"/>
      <c r="D31" s="3024"/>
      <c r="E31" s="3024"/>
      <c r="N31" s="3023" t="s">
        <v>3892</v>
      </c>
      <c r="O31" s="3146">
        <f>O30+'商铺-广场B馆'!O51</f>
        <v>17078.55</v>
      </c>
      <c r="W31" s="3030"/>
      <c r="X31" s="3031"/>
      <c r="Y31" s="3030"/>
      <c r="Z31" s="3031"/>
      <c r="AA31" s="3112"/>
      <c r="AE31" s="3137" t="s">
        <v>3891</v>
      </c>
      <c r="AF31" s="3031"/>
      <c r="AG31" s="3031"/>
      <c r="AK31" s="3030"/>
      <c r="AL31" s="3030"/>
      <c r="AM31" s="3030"/>
      <c r="AN31" s="3030"/>
      <c r="AO31" s="3030"/>
      <c r="AP31" s="3030"/>
      <c r="AQ31" s="3030"/>
      <c r="AR31" s="3031"/>
      <c r="AS31" s="3031"/>
      <c r="AT31" s="3030"/>
      <c r="AV31" s="3030"/>
      <c r="AW31" s="3030"/>
      <c r="BI31" s="3030"/>
      <c r="BU31" s="3030"/>
      <c r="BV31" s="3033"/>
      <c r="BW31" s="3033"/>
      <c r="BX31" s="3033"/>
      <c r="BY31" s="3033"/>
      <c r="BZ31" s="3033"/>
      <c r="CA31" s="3033"/>
      <c r="CB31" s="3033"/>
      <c r="CC31" s="3033"/>
      <c r="CD31" s="3033"/>
      <c r="CE31" s="3033"/>
      <c r="CF31" s="3033"/>
      <c r="CG31" s="3033"/>
      <c r="CH31" s="3033"/>
      <c r="CI31" s="3033"/>
      <c r="CJ31" s="3033"/>
      <c r="CK31" s="3033"/>
      <c r="CL31" s="3033"/>
      <c r="CM31" s="3033"/>
      <c r="CN31" s="3033"/>
      <c r="CO31" s="3033"/>
      <c r="CP31" s="3033"/>
      <c r="CQ31" s="3033"/>
      <c r="CR31" s="3033"/>
      <c r="CS31" s="3033"/>
      <c r="CT31" s="3033"/>
      <c r="CU31" s="3033"/>
      <c r="CV31" s="3033"/>
      <c r="CW31" s="3033"/>
      <c r="CX31" s="3033"/>
      <c r="CY31" s="3033"/>
      <c r="CZ31" s="3033"/>
      <c r="DA31" s="3033"/>
      <c r="DB31" s="3033"/>
      <c r="DC31" s="3033"/>
      <c r="DD31" s="3033"/>
      <c r="DE31" s="3033"/>
      <c r="DF31" s="3033"/>
      <c r="DG31" s="3033"/>
      <c r="DH31" s="3033"/>
      <c r="DI31" s="3036"/>
      <c r="DJ31" s="3036"/>
      <c r="DK31" s="3033"/>
      <c r="DL31" s="3033"/>
      <c r="DM31" s="3033"/>
      <c r="DN31" s="3033"/>
      <c r="DO31" s="3033"/>
      <c r="DP31" s="3033"/>
      <c r="DQ31" s="3033"/>
      <c r="DR31" s="3033"/>
      <c r="DS31" s="3033"/>
      <c r="DT31" s="3033"/>
      <c r="DU31" s="3033"/>
      <c r="DV31" s="3033"/>
      <c r="DW31" s="3033"/>
      <c r="DX31" s="3033"/>
      <c r="DY31" s="3033"/>
      <c r="DZ31" s="3033"/>
      <c r="EA31" s="3033"/>
      <c r="EB31" s="3033"/>
      <c r="EC31" s="3033"/>
      <c r="ED31" s="3033"/>
      <c r="EE31" s="3033"/>
      <c r="EF31" s="3033"/>
      <c r="EG31" s="3033"/>
      <c r="EH31" s="3033"/>
      <c r="EI31" s="3033"/>
      <c r="EJ31" s="3033"/>
      <c r="EK31" s="3033"/>
      <c r="EL31" s="3033"/>
      <c r="EM31" s="3033"/>
      <c r="EN31" s="3033"/>
      <c r="EO31" s="3033"/>
      <c r="EP31" s="3033"/>
      <c r="EQ31" s="3033"/>
      <c r="ER31" s="3033"/>
      <c r="ES31" s="3033"/>
      <c r="ET31" s="3033"/>
      <c r="EU31" s="3033"/>
      <c r="EV31" s="3033"/>
      <c r="EW31" s="3033"/>
      <c r="EX31" s="3033"/>
      <c r="EY31" s="3033"/>
      <c r="EZ31" s="3033"/>
      <c r="FA31" s="3033"/>
    </row>
    <row r="32" spans="1:157" s="3023" customFormat="1">
      <c r="C32" s="3024"/>
      <c r="D32" s="3024"/>
      <c r="E32" s="3024"/>
      <c r="N32" s="3023" t="s">
        <v>3893</v>
      </c>
      <c r="O32" s="3147">
        <f ca="1">AE30+'商铺-广场B馆'!AE51</f>
        <v>12294206.76</v>
      </c>
      <c r="W32" s="3030"/>
      <c r="X32" s="3031"/>
      <c r="Y32" s="3030"/>
      <c r="Z32" s="3031"/>
      <c r="AA32" s="3112"/>
      <c r="AE32" s="3130"/>
      <c r="AF32" s="3031"/>
      <c r="AG32" s="3031"/>
      <c r="AK32" s="3030"/>
      <c r="AL32" s="3030"/>
      <c r="AM32" s="3030"/>
      <c r="AN32" s="3030"/>
      <c r="AO32" s="3030"/>
      <c r="AP32" s="3030"/>
      <c r="AQ32" s="3030"/>
      <c r="AR32" s="3031"/>
      <c r="AS32" s="3031"/>
      <c r="AT32" s="3030"/>
      <c r="AV32" s="3030"/>
      <c r="AW32" s="3030"/>
      <c r="BI32" s="3030"/>
      <c r="BV32" s="3033"/>
      <c r="BW32" s="3033"/>
      <c r="BX32" s="3033"/>
      <c r="BY32" s="3033"/>
      <c r="BZ32" s="3033"/>
      <c r="CA32" s="3033"/>
      <c r="CB32" s="3033"/>
      <c r="CC32" s="3033"/>
      <c r="CD32" s="3033"/>
      <c r="CE32" s="3033"/>
      <c r="CF32" s="3033"/>
      <c r="CG32" s="3033"/>
      <c r="CH32" s="3033"/>
      <c r="CI32" s="3033"/>
      <c r="CJ32" s="3033"/>
      <c r="CK32" s="3033"/>
      <c r="CL32" s="3033"/>
      <c r="CM32" s="3033"/>
      <c r="CN32" s="3033"/>
      <c r="CO32" s="3033"/>
      <c r="CP32" s="3033"/>
      <c r="CQ32" s="3033"/>
      <c r="CR32" s="3033"/>
      <c r="CS32" s="3033"/>
      <c r="CT32" s="3033"/>
      <c r="CU32" s="3033"/>
      <c r="CV32" s="3033"/>
      <c r="CW32" s="3033"/>
      <c r="CX32" s="3033"/>
      <c r="CY32" s="3033"/>
      <c r="CZ32" s="3033"/>
      <c r="DA32" s="3033"/>
      <c r="DB32" s="3033"/>
      <c r="DC32" s="3033"/>
      <c r="DD32" s="3033"/>
      <c r="DE32" s="3033"/>
      <c r="DF32" s="3033"/>
      <c r="DG32" s="3033"/>
      <c r="DH32" s="3033"/>
      <c r="DI32" s="3036"/>
      <c r="DJ32" s="3036"/>
      <c r="DK32" s="3033"/>
      <c r="DL32" s="3033"/>
      <c r="DM32" s="3033"/>
      <c r="DN32" s="3033"/>
      <c r="DO32" s="3033"/>
      <c r="DP32" s="3033"/>
      <c r="DQ32" s="3033"/>
      <c r="DR32" s="3033"/>
      <c r="DS32" s="3033"/>
      <c r="DT32" s="3033"/>
      <c r="DU32" s="3033"/>
      <c r="DV32" s="3033"/>
      <c r="DW32" s="3033"/>
      <c r="DX32" s="3033"/>
      <c r="DY32" s="3033"/>
      <c r="DZ32" s="3033"/>
      <c r="EA32" s="3033"/>
      <c r="EB32" s="3033"/>
      <c r="EC32" s="3033"/>
      <c r="ED32" s="3033"/>
      <c r="EE32" s="3033"/>
      <c r="EF32" s="3033"/>
      <c r="EG32" s="3033"/>
      <c r="EH32" s="3033"/>
      <c r="EI32" s="3033"/>
      <c r="EJ32" s="3033"/>
      <c r="EK32" s="3033"/>
      <c r="EL32" s="3033"/>
      <c r="EM32" s="3033"/>
      <c r="EN32" s="3033"/>
      <c r="EO32" s="3033"/>
      <c r="EP32" s="3033"/>
      <c r="EQ32" s="3033"/>
      <c r="ER32" s="3033"/>
      <c r="ES32" s="3033"/>
      <c r="ET32" s="3033"/>
      <c r="EU32" s="3033"/>
      <c r="EV32" s="3033"/>
      <c r="EW32" s="3033"/>
      <c r="EX32" s="3033"/>
      <c r="EY32" s="3033"/>
      <c r="EZ32" s="3033"/>
      <c r="FA32" s="3033"/>
    </row>
    <row r="33" spans="3:157" s="3023" customFormat="1">
      <c r="C33" s="3024"/>
      <c r="D33" s="3024"/>
      <c r="E33" s="3024"/>
      <c r="N33" s="3023" t="s">
        <v>3894</v>
      </c>
      <c r="O33" s="3023">
        <f ca="1">ROUND(O32/O31/365,2)</f>
        <v>1.97</v>
      </c>
      <c r="W33" s="3030"/>
      <c r="X33" s="3031"/>
      <c r="Y33" s="3030"/>
      <c r="Z33" s="3031"/>
      <c r="AA33" s="3112"/>
      <c r="AE33" s="3130"/>
      <c r="AF33" s="3031"/>
      <c r="AG33" s="3031"/>
      <c r="AK33" s="3030"/>
      <c r="AL33" s="3030"/>
      <c r="AM33" s="3030"/>
      <c r="AN33" s="3030"/>
      <c r="AO33" s="3030"/>
      <c r="AP33" s="3030"/>
      <c r="AQ33" s="3030"/>
      <c r="AR33" s="3031"/>
      <c r="AS33" s="3031"/>
      <c r="AT33" s="3030"/>
      <c r="AV33" s="3030"/>
      <c r="AW33" s="3030"/>
      <c r="BI33" s="3030"/>
      <c r="BV33" s="3033"/>
      <c r="BW33" s="3033"/>
      <c r="BX33" s="3033"/>
      <c r="BY33" s="3033"/>
      <c r="BZ33" s="3033"/>
      <c r="CA33" s="3033"/>
      <c r="CB33" s="3033"/>
      <c r="CC33" s="3033"/>
      <c r="CD33" s="3033"/>
      <c r="CE33" s="3033"/>
      <c r="CF33" s="3033"/>
      <c r="CG33" s="3033"/>
      <c r="CH33" s="3033"/>
      <c r="CI33" s="3033"/>
      <c r="CJ33" s="3033"/>
      <c r="CK33" s="3033"/>
      <c r="CL33" s="3033"/>
      <c r="CM33" s="3033"/>
      <c r="CN33" s="3033"/>
      <c r="CO33" s="3033"/>
      <c r="CP33" s="3033"/>
      <c r="CQ33" s="3033"/>
      <c r="CR33" s="3033"/>
      <c r="CS33" s="3033"/>
      <c r="CT33" s="3033"/>
      <c r="CU33" s="3033"/>
      <c r="CV33" s="3033"/>
      <c r="CW33" s="3033"/>
      <c r="CX33" s="3033"/>
      <c r="CY33" s="3033"/>
      <c r="CZ33" s="3033"/>
      <c r="DA33" s="3033"/>
      <c r="DB33" s="3033"/>
      <c r="DC33" s="3033"/>
      <c r="DD33" s="3033"/>
      <c r="DE33" s="3033"/>
      <c r="DF33" s="3033"/>
      <c r="DG33" s="3033"/>
      <c r="DH33" s="3033"/>
      <c r="DI33" s="3036"/>
      <c r="DJ33" s="3036"/>
      <c r="DK33" s="3033"/>
      <c r="DL33" s="3033"/>
      <c r="DM33" s="3033"/>
      <c r="DN33" s="3033"/>
      <c r="DO33" s="3033"/>
      <c r="DP33" s="3033"/>
      <c r="DQ33" s="3033"/>
      <c r="DR33" s="3033"/>
      <c r="DS33" s="3033"/>
      <c r="DT33" s="3033"/>
      <c r="DU33" s="3033"/>
      <c r="DV33" s="3033"/>
      <c r="DW33" s="3033"/>
      <c r="DX33" s="3033"/>
      <c r="DY33" s="3033"/>
      <c r="DZ33" s="3033"/>
      <c r="EA33" s="3033"/>
      <c r="EB33" s="3033"/>
      <c r="EC33" s="3033"/>
      <c r="ED33" s="3033"/>
      <c r="EE33" s="3033"/>
      <c r="EF33" s="3033"/>
      <c r="EG33" s="3033"/>
      <c r="EH33" s="3033"/>
      <c r="EI33" s="3033"/>
      <c r="EJ33" s="3033"/>
      <c r="EK33" s="3033"/>
      <c r="EL33" s="3033"/>
      <c r="EM33" s="3033"/>
      <c r="EN33" s="3033"/>
      <c r="EO33" s="3033"/>
      <c r="EP33" s="3033"/>
      <c r="EQ33" s="3033"/>
      <c r="ER33" s="3033"/>
      <c r="ES33" s="3033"/>
      <c r="ET33" s="3033"/>
      <c r="EU33" s="3033"/>
      <c r="EV33" s="3033"/>
      <c r="EW33" s="3033"/>
      <c r="EX33" s="3033"/>
      <c r="EY33" s="3033"/>
      <c r="EZ33" s="3033"/>
      <c r="FA33" s="3033"/>
    </row>
    <row r="34" spans="3:157" s="3023" customFormat="1">
      <c r="C34" s="3024"/>
      <c r="D34" s="3024"/>
      <c r="E34" s="3024"/>
      <c r="N34" s="3023">
        <v>0.53</v>
      </c>
      <c r="O34" s="3023">
        <f ca="1">ROUND(O33*N34,2)</f>
        <v>1.04</v>
      </c>
      <c r="W34" s="3030"/>
      <c r="X34" s="3031"/>
      <c r="Y34" s="3030"/>
      <c r="Z34" s="3031"/>
      <c r="AA34" s="3112"/>
      <c r="AE34" s="3130"/>
      <c r="AF34" s="3031"/>
      <c r="AG34" s="3031"/>
      <c r="AK34" s="3030"/>
      <c r="AL34" s="3030"/>
      <c r="AM34" s="3030"/>
      <c r="AN34" s="3030"/>
      <c r="AO34" s="3030"/>
      <c r="AP34" s="3030"/>
      <c r="AQ34" s="3030"/>
      <c r="AR34" s="3031"/>
      <c r="AS34" s="3031"/>
      <c r="AT34" s="3030"/>
      <c r="AV34" s="3030"/>
      <c r="AW34" s="3030"/>
      <c r="BI34" s="3030"/>
      <c r="BU34" s="3030"/>
      <c r="BV34" s="3033"/>
      <c r="BW34" s="3033"/>
      <c r="BX34" s="3033"/>
      <c r="BY34" s="3033"/>
      <c r="BZ34" s="3033"/>
      <c r="CA34" s="3033"/>
      <c r="CB34" s="3033"/>
      <c r="CC34" s="3033"/>
      <c r="CD34" s="3033"/>
      <c r="CE34" s="3033"/>
      <c r="CF34" s="3033"/>
      <c r="CG34" s="3033"/>
      <c r="CH34" s="3033"/>
      <c r="CI34" s="3033"/>
      <c r="CJ34" s="3033"/>
      <c r="CK34" s="3033"/>
      <c r="CL34" s="3033"/>
      <c r="CM34" s="3033"/>
      <c r="CN34" s="3033"/>
      <c r="CO34" s="3033"/>
      <c r="CP34" s="3033"/>
      <c r="CQ34" s="3033"/>
      <c r="CR34" s="3033"/>
      <c r="CS34" s="3033"/>
      <c r="CT34" s="3033"/>
      <c r="CU34" s="3033"/>
      <c r="CV34" s="3033"/>
      <c r="CW34" s="3033"/>
      <c r="CX34" s="3033"/>
      <c r="CY34" s="3033"/>
      <c r="CZ34" s="3033"/>
      <c r="DA34" s="3033"/>
      <c r="DB34" s="3033"/>
      <c r="DC34" s="3033"/>
      <c r="DD34" s="3033"/>
      <c r="DE34" s="3033"/>
      <c r="DF34" s="3033"/>
      <c r="DG34" s="3033"/>
      <c r="DH34" s="3033"/>
      <c r="DI34" s="3036"/>
      <c r="DJ34" s="3036"/>
      <c r="DK34" s="3033"/>
      <c r="DL34" s="3033"/>
      <c r="DM34" s="3033"/>
      <c r="DN34" s="3033"/>
      <c r="DO34" s="3033"/>
      <c r="DP34" s="3033"/>
      <c r="DQ34" s="3033"/>
      <c r="DR34" s="3033"/>
      <c r="DS34" s="3033"/>
      <c r="DT34" s="3033"/>
      <c r="DU34" s="3033"/>
      <c r="DV34" s="3033"/>
      <c r="DW34" s="3033"/>
      <c r="DX34" s="3033"/>
      <c r="DY34" s="3033"/>
      <c r="DZ34" s="3033"/>
      <c r="EA34" s="3033"/>
      <c r="EB34" s="3033"/>
      <c r="EC34" s="3033"/>
      <c r="ED34" s="3033"/>
      <c r="EE34" s="3033"/>
      <c r="EF34" s="3033"/>
      <c r="EG34" s="3033"/>
      <c r="EH34" s="3033"/>
      <c r="EI34" s="3033"/>
      <c r="EJ34" s="3033"/>
      <c r="EK34" s="3033"/>
      <c r="EL34" s="3033"/>
      <c r="EM34" s="3033"/>
      <c r="EN34" s="3033"/>
      <c r="EO34" s="3033"/>
      <c r="EP34" s="3033"/>
      <c r="EQ34" s="3033"/>
      <c r="ER34" s="3033"/>
      <c r="ES34" s="3033"/>
      <c r="ET34" s="3033"/>
      <c r="EU34" s="3033"/>
      <c r="EV34" s="3033"/>
      <c r="EW34" s="3033"/>
      <c r="EX34" s="3033"/>
      <c r="EY34" s="3033"/>
      <c r="EZ34" s="3033"/>
      <c r="FA34" s="3033"/>
    </row>
    <row r="35" spans="3:157" s="3023" customFormat="1">
      <c r="C35" s="3024"/>
      <c r="D35" s="3024"/>
      <c r="E35" s="3024"/>
      <c r="W35" s="3030"/>
      <c r="X35" s="3031"/>
      <c r="Y35" s="3030"/>
      <c r="Z35" s="3031"/>
      <c r="AA35" s="3112"/>
      <c r="AE35" s="3130"/>
      <c r="AF35" s="3031"/>
      <c r="AG35" s="3031"/>
      <c r="AK35" s="3030"/>
      <c r="AL35" s="3030"/>
      <c r="AM35" s="3030"/>
      <c r="AN35" s="3030"/>
      <c r="AO35" s="3030"/>
      <c r="AP35" s="3030"/>
      <c r="AQ35" s="3030"/>
      <c r="AR35" s="3031"/>
      <c r="AS35" s="3031"/>
      <c r="AT35" s="3030"/>
      <c r="AV35" s="3030"/>
      <c r="AW35" s="3030"/>
      <c r="BI35" s="3030"/>
      <c r="BU35" s="3033"/>
      <c r="BV35" s="3033"/>
      <c r="BW35" s="3033"/>
      <c r="BX35" s="3033"/>
      <c r="BY35" s="3033"/>
      <c r="BZ35" s="3033"/>
      <c r="CA35" s="3033"/>
      <c r="CB35" s="3033"/>
      <c r="CC35" s="3033"/>
      <c r="CD35" s="3033"/>
      <c r="CE35" s="3033"/>
      <c r="CF35" s="3033"/>
      <c r="CG35" s="3033"/>
      <c r="CH35" s="3033"/>
      <c r="CI35" s="3033"/>
      <c r="CJ35" s="3033"/>
      <c r="CK35" s="3033"/>
      <c r="CL35" s="3033"/>
      <c r="CM35" s="3033"/>
      <c r="CN35" s="3033"/>
      <c r="CO35" s="3033"/>
      <c r="CP35" s="3033"/>
      <c r="CQ35" s="3033"/>
      <c r="CR35" s="3033"/>
      <c r="CS35" s="3033"/>
      <c r="CT35" s="3033"/>
      <c r="CU35" s="3033"/>
      <c r="CV35" s="3033"/>
      <c r="CW35" s="3033"/>
      <c r="CX35" s="3033"/>
      <c r="CY35" s="3033"/>
      <c r="CZ35" s="3033"/>
      <c r="DA35" s="3033"/>
      <c r="DB35" s="3033"/>
      <c r="DC35" s="3033"/>
      <c r="DD35" s="3033"/>
      <c r="DE35" s="3033"/>
      <c r="DF35" s="3033"/>
      <c r="DG35" s="3033"/>
      <c r="DH35" s="3033"/>
      <c r="DI35" s="3036"/>
      <c r="DJ35" s="3036"/>
      <c r="DK35" s="3033"/>
      <c r="DL35" s="3033"/>
      <c r="DM35" s="3033"/>
      <c r="DN35" s="3033"/>
      <c r="DO35" s="3033"/>
      <c r="DP35" s="3033"/>
      <c r="DQ35" s="3033"/>
      <c r="DR35" s="3033"/>
      <c r="DS35" s="3033"/>
      <c r="DT35" s="3033"/>
      <c r="DU35" s="3033"/>
      <c r="DV35" s="3033"/>
      <c r="DW35" s="3033"/>
      <c r="DX35" s="3033"/>
      <c r="DY35" s="3033"/>
      <c r="DZ35" s="3033"/>
      <c r="EA35" s="3033"/>
      <c r="EB35" s="3033"/>
      <c r="EC35" s="3033"/>
      <c r="ED35" s="3033"/>
      <c r="EE35" s="3033"/>
      <c r="EF35" s="3033"/>
      <c r="EG35" s="3033"/>
      <c r="EH35" s="3033"/>
      <c r="EI35" s="3033"/>
      <c r="EJ35" s="3033"/>
      <c r="EK35" s="3033"/>
      <c r="EL35" s="3033"/>
      <c r="EM35" s="3033"/>
      <c r="EN35" s="3033"/>
      <c r="EO35" s="3033"/>
      <c r="EP35" s="3033"/>
      <c r="EQ35" s="3033"/>
      <c r="ER35" s="3033"/>
      <c r="ES35" s="3033"/>
      <c r="ET35" s="3033"/>
      <c r="EU35" s="3033"/>
      <c r="EV35" s="3033"/>
      <c r="EW35" s="3033"/>
      <c r="EX35" s="3033"/>
      <c r="EY35" s="3033"/>
      <c r="EZ35" s="3033"/>
      <c r="FA35" s="3033"/>
    </row>
    <row r="36" spans="3:157" s="3023" customFormat="1">
      <c r="C36" s="3024"/>
      <c r="D36" s="3024"/>
      <c r="E36" s="3024"/>
      <c r="H36" s="3025"/>
      <c r="I36" s="3025"/>
      <c r="J36" s="3026"/>
      <c r="K36" s="3026"/>
      <c r="M36" s="3027"/>
      <c r="N36" s="3027"/>
      <c r="O36" s="3027"/>
      <c r="P36" s="3027"/>
      <c r="Q36" s="3025"/>
      <c r="R36" s="3025"/>
      <c r="S36" s="3025"/>
      <c r="T36" s="3029"/>
      <c r="W36" s="3030"/>
      <c r="X36" s="3031"/>
      <c r="Y36" s="3030"/>
      <c r="Z36" s="3031"/>
      <c r="AA36" s="3112"/>
      <c r="AB36" s="3032"/>
      <c r="AC36" s="3029"/>
      <c r="AD36" s="3029"/>
      <c r="AE36" s="3130"/>
      <c r="AF36" s="3031"/>
      <c r="AG36" s="3031"/>
      <c r="AH36" s="3025"/>
      <c r="AK36" s="3030"/>
      <c r="AL36" s="3030"/>
      <c r="AM36" s="3030"/>
      <c r="AN36" s="3030"/>
      <c r="AO36" s="3030"/>
      <c r="AP36" s="3030"/>
      <c r="AQ36" s="3030"/>
      <c r="AR36" s="3031"/>
      <c r="AS36" s="3031"/>
      <c r="AT36" s="3030"/>
      <c r="AU36" s="3033"/>
      <c r="AV36" s="3030"/>
      <c r="AW36" s="3030"/>
      <c r="AX36" s="3033"/>
      <c r="AY36" s="3033"/>
      <c r="AZ36" s="3033"/>
      <c r="BA36" s="3033"/>
      <c r="BB36" s="3025"/>
      <c r="BC36" s="3025"/>
      <c r="BD36" s="3032"/>
      <c r="BE36" s="3032"/>
      <c r="BF36" s="3029"/>
      <c r="BG36" s="3029"/>
      <c r="BH36" s="3033"/>
      <c r="BI36" s="3030"/>
      <c r="BJ36" s="3029"/>
      <c r="BK36" s="3029"/>
      <c r="BL36" s="3029"/>
      <c r="BM36" s="3034"/>
      <c r="BN36" s="3034"/>
      <c r="BO36" s="3034"/>
      <c r="BP36" s="3034"/>
      <c r="BQ36" s="3035"/>
      <c r="BR36" s="3035"/>
      <c r="BS36" s="3035"/>
      <c r="BT36" s="3035"/>
      <c r="BU36" s="3033"/>
      <c r="BV36" s="3033"/>
      <c r="BW36" s="3033"/>
      <c r="BX36" s="3033"/>
      <c r="BY36" s="3033"/>
      <c r="BZ36" s="3033"/>
      <c r="CA36" s="3033"/>
      <c r="CB36" s="3033"/>
      <c r="CC36" s="3033"/>
      <c r="CD36" s="3033"/>
      <c r="CE36" s="3033"/>
      <c r="CF36" s="3033"/>
      <c r="CG36" s="3033"/>
      <c r="CH36" s="3033"/>
      <c r="CI36" s="3033"/>
      <c r="CJ36" s="3033"/>
      <c r="CK36" s="3033"/>
      <c r="CL36" s="3033"/>
      <c r="CM36" s="3033"/>
      <c r="CN36" s="3033"/>
      <c r="CO36" s="3033"/>
      <c r="CP36" s="3033"/>
      <c r="CQ36" s="3033"/>
      <c r="CR36" s="3033"/>
      <c r="CS36" s="3033"/>
      <c r="CT36" s="3033"/>
      <c r="CU36" s="3033"/>
      <c r="CV36" s="3033"/>
      <c r="CW36" s="3033"/>
      <c r="CX36" s="3033"/>
      <c r="CY36" s="3033"/>
      <c r="CZ36" s="3033"/>
      <c r="DA36" s="3033"/>
      <c r="DB36" s="3033"/>
      <c r="DC36" s="3033"/>
      <c r="DD36" s="3033"/>
      <c r="DE36" s="3033"/>
      <c r="DF36" s="3033"/>
      <c r="DG36" s="3033"/>
      <c r="DH36" s="3033"/>
      <c r="DI36" s="3036"/>
      <c r="DJ36" s="3036"/>
      <c r="DK36" s="3033"/>
      <c r="DL36" s="3033"/>
      <c r="DM36" s="3033"/>
      <c r="DN36" s="3033"/>
      <c r="DO36" s="3033"/>
      <c r="DP36" s="3033"/>
      <c r="DQ36" s="3033"/>
      <c r="DR36" s="3033"/>
      <c r="DS36" s="3033"/>
      <c r="DT36" s="3033"/>
      <c r="DU36" s="3033"/>
      <c r="DV36" s="3033"/>
      <c r="DW36" s="3033"/>
      <c r="DX36" s="3033"/>
      <c r="DY36" s="3033"/>
      <c r="DZ36" s="3033"/>
      <c r="EA36" s="3033"/>
      <c r="EB36" s="3033"/>
      <c r="EC36" s="3033"/>
      <c r="ED36" s="3033"/>
      <c r="EE36" s="3033"/>
      <c r="EF36" s="3033"/>
      <c r="EG36" s="3033"/>
      <c r="EH36" s="3033"/>
      <c r="EI36" s="3033"/>
      <c r="EJ36" s="3033"/>
      <c r="EK36" s="3033"/>
      <c r="EL36" s="3033"/>
      <c r="EM36" s="3033"/>
      <c r="EN36" s="3033"/>
      <c r="EO36" s="3033"/>
      <c r="EP36" s="3033"/>
      <c r="EQ36" s="3033"/>
      <c r="ER36" s="3033"/>
      <c r="ES36" s="3033"/>
      <c r="ET36" s="3033"/>
      <c r="EU36" s="3033"/>
      <c r="EV36" s="3033"/>
      <c r="EW36" s="3033"/>
      <c r="EX36" s="3033"/>
      <c r="EY36" s="3033"/>
      <c r="EZ36" s="3033"/>
      <c r="FA36" s="3033"/>
    </row>
    <row r="37" spans="3:157" s="3023" customFormat="1">
      <c r="C37" s="3024"/>
      <c r="D37" s="3024"/>
      <c r="E37" s="3024"/>
      <c r="H37" s="3025"/>
      <c r="I37" s="3025"/>
      <c r="J37" s="3026"/>
      <c r="K37" s="3026"/>
      <c r="M37" s="3027"/>
      <c r="N37" s="3027"/>
      <c r="O37" s="3027"/>
      <c r="P37" s="3027"/>
      <c r="Q37" s="3025"/>
      <c r="R37" s="3025"/>
      <c r="S37" s="3025"/>
      <c r="T37" s="3029"/>
      <c r="W37" s="3030"/>
      <c r="X37" s="3031"/>
      <c r="Y37" s="3030"/>
      <c r="Z37" s="3031"/>
      <c r="AA37" s="3112"/>
      <c r="AB37" s="3032"/>
      <c r="AC37" s="3029"/>
      <c r="AD37" s="3029"/>
      <c r="AE37" s="3130"/>
      <c r="AF37" s="3031"/>
      <c r="AG37" s="3031"/>
      <c r="AH37" s="3025"/>
      <c r="AK37" s="3030"/>
      <c r="AL37" s="3030"/>
      <c r="AM37" s="3030"/>
      <c r="AN37" s="3030"/>
      <c r="AO37" s="3030"/>
      <c r="AP37" s="3030"/>
      <c r="AQ37" s="3030"/>
      <c r="AR37" s="3031"/>
      <c r="AS37" s="3031"/>
      <c r="AT37" s="3030"/>
      <c r="AU37" s="3033"/>
      <c r="AV37" s="3030"/>
      <c r="AW37" s="3030"/>
      <c r="AX37" s="3033"/>
      <c r="AY37" s="3033"/>
      <c r="AZ37" s="3033"/>
      <c r="BA37" s="3033"/>
      <c r="BB37" s="3025"/>
      <c r="BC37" s="3025"/>
      <c r="BD37" s="3032"/>
      <c r="BE37" s="3032"/>
      <c r="BF37" s="3029"/>
      <c r="BG37" s="3029"/>
      <c r="BH37" s="3033"/>
      <c r="BI37" s="3030"/>
      <c r="BJ37" s="3029"/>
      <c r="BK37" s="3029"/>
      <c r="BL37" s="3029"/>
      <c r="BM37" s="3034"/>
      <c r="BN37" s="3034"/>
      <c r="BO37" s="3034"/>
      <c r="BP37" s="3034"/>
      <c r="BQ37" s="3035"/>
      <c r="BR37" s="3035"/>
      <c r="BS37" s="3035"/>
      <c r="BT37" s="3035"/>
      <c r="BU37" s="3033"/>
      <c r="BV37" s="3033"/>
      <c r="BW37" s="3033"/>
      <c r="BX37" s="3033"/>
      <c r="BY37" s="3033"/>
      <c r="BZ37" s="3033"/>
      <c r="CA37" s="3033"/>
      <c r="CB37" s="3033"/>
      <c r="CC37" s="3033"/>
      <c r="CD37" s="3033"/>
      <c r="CE37" s="3033"/>
      <c r="CF37" s="3033"/>
      <c r="CG37" s="3033"/>
      <c r="CH37" s="3033"/>
      <c r="CI37" s="3033"/>
      <c r="CJ37" s="3033"/>
      <c r="CK37" s="3033"/>
      <c r="CL37" s="3033"/>
      <c r="CM37" s="3033"/>
      <c r="CN37" s="3033"/>
      <c r="CO37" s="3033"/>
      <c r="CP37" s="3033"/>
      <c r="CQ37" s="3033"/>
      <c r="CR37" s="3033"/>
      <c r="CS37" s="3033"/>
      <c r="CT37" s="3033"/>
      <c r="CU37" s="3033"/>
      <c r="CV37" s="3033"/>
      <c r="CW37" s="3033"/>
      <c r="CX37" s="3033"/>
      <c r="CY37" s="3033"/>
      <c r="CZ37" s="3033"/>
      <c r="DA37" s="3033"/>
      <c r="DB37" s="3033"/>
      <c r="DC37" s="3033"/>
      <c r="DD37" s="3033"/>
      <c r="DE37" s="3033"/>
      <c r="DF37" s="3033"/>
      <c r="DG37" s="3033"/>
      <c r="DH37" s="3033"/>
      <c r="DI37" s="3036"/>
      <c r="DJ37" s="3036"/>
      <c r="DK37" s="3033"/>
      <c r="DL37" s="3033"/>
      <c r="DM37" s="3033"/>
      <c r="DN37" s="3033"/>
      <c r="DO37" s="3033"/>
      <c r="DP37" s="3033"/>
      <c r="DQ37" s="3033"/>
      <c r="DR37" s="3033"/>
      <c r="DS37" s="3033"/>
      <c r="DT37" s="3033"/>
      <c r="DU37" s="3033"/>
      <c r="DV37" s="3033"/>
      <c r="DW37" s="3033"/>
      <c r="DX37" s="3033"/>
      <c r="DY37" s="3033"/>
      <c r="DZ37" s="3033"/>
      <c r="EA37" s="3033"/>
      <c r="EB37" s="3033"/>
      <c r="EC37" s="3033"/>
      <c r="ED37" s="3033"/>
      <c r="EE37" s="3033"/>
      <c r="EF37" s="3033"/>
      <c r="EG37" s="3033"/>
      <c r="EH37" s="3033"/>
      <c r="EI37" s="3033"/>
      <c r="EJ37" s="3033"/>
      <c r="EK37" s="3033"/>
      <c r="EL37" s="3033"/>
      <c r="EM37" s="3033"/>
      <c r="EN37" s="3033"/>
      <c r="EO37" s="3033"/>
      <c r="EP37" s="3033"/>
      <c r="EQ37" s="3033"/>
      <c r="ER37" s="3033"/>
      <c r="ES37" s="3033"/>
      <c r="ET37" s="3033"/>
      <c r="EU37" s="3033"/>
      <c r="EV37" s="3033"/>
      <c r="EW37" s="3033"/>
      <c r="EX37" s="3033"/>
      <c r="EY37" s="3033"/>
      <c r="EZ37" s="3033"/>
      <c r="FA37" s="3033"/>
    </row>
    <row r="38" spans="3:157" s="3023" customFormat="1">
      <c r="C38" s="3024"/>
      <c r="D38" s="3024"/>
      <c r="E38" s="3024"/>
      <c r="H38" s="3025"/>
      <c r="I38" s="3025"/>
      <c r="J38" s="3026"/>
      <c r="K38" s="3026"/>
      <c r="M38" s="3027"/>
      <c r="N38" s="3027"/>
      <c r="O38" s="3027"/>
      <c r="P38" s="3027"/>
      <c r="Q38" s="3025"/>
      <c r="R38" s="3025"/>
      <c r="S38" s="3025"/>
      <c r="T38" s="3029"/>
      <c r="W38" s="3030"/>
      <c r="X38" s="3031"/>
      <c r="Y38" s="3030"/>
      <c r="Z38" s="3031"/>
      <c r="AA38" s="3112"/>
      <c r="AB38" s="3032"/>
      <c r="AC38" s="3029"/>
      <c r="AD38" s="3029"/>
      <c r="AE38" s="3130"/>
      <c r="AF38" s="3031"/>
      <c r="AG38" s="3031"/>
      <c r="AH38" s="3025"/>
      <c r="AK38" s="3030"/>
      <c r="AL38" s="3030"/>
      <c r="AM38" s="3030"/>
      <c r="AN38" s="3030"/>
      <c r="AO38" s="3030"/>
      <c r="AP38" s="3030"/>
      <c r="AQ38" s="3030"/>
      <c r="AR38" s="3031"/>
      <c r="AS38" s="3031"/>
      <c r="AT38" s="3030"/>
      <c r="AU38" s="3033"/>
      <c r="AV38" s="3030"/>
      <c r="AW38" s="3030"/>
      <c r="AX38" s="3033"/>
      <c r="AY38" s="3033"/>
      <c r="AZ38" s="3033"/>
      <c r="BA38" s="3033"/>
      <c r="BB38" s="3025"/>
      <c r="BC38" s="3025"/>
      <c r="BD38" s="3032"/>
      <c r="BE38" s="3032"/>
      <c r="BF38" s="3029"/>
      <c r="BG38" s="3029"/>
      <c r="BH38" s="3033"/>
      <c r="BI38" s="3030"/>
      <c r="BJ38" s="3029"/>
      <c r="BK38" s="3029"/>
      <c r="BL38" s="3029"/>
      <c r="BM38" s="3034"/>
      <c r="BN38" s="3034"/>
      <c r="BO38" s="3034"/>
      <c r="BP38" s="3034"/>
      <c r="BQ38" s="3035"/>
      <c r="BR38" s="3035"/>
      <c r="BS38" s="3035"/>
      <c r="BT38" s="3035"/>
      <c r="BU38" s="3033"/>
      <c r="BV38" s="3033"/>
      <c r="BW38" s="3033"/>
      <c r="BX38" s="3033"/>
      <c r="BY38" s="3033"/>
      <c r="BZ38" s="3033"/>
      <c r="CA38" s="3033"/>
      <c r="CB38" s="3033"/>
      <c r="CC38" s="3033"/>
      <c r="CD38" s="3033"/>
      <c r="CE38" s="3033"/>
      <c r="CF38" s="3033"/>
      <c r="CG38" s="3033"/>
      <c r="CH38" s="3033"/>
      <c r="CI38" s="3033"/>
      <c r="CJ38" s="3033"/>
      <c r="CK38" s="3033"/>
      <c r="CL38" s="3033"/>
      <c r="CM38" s="3033"/>
      <c r="CN38" s="3033"/>
      <c r="CO38" s="3033"/>
      <c r="CP38" s="3033"/>
      <c r="CQ38" s="3033"/>
      <c r="CR38" s="3033"/>
      <c r="CS38" s="3033"/>
      <c r="CT38" s="3033"/>
      <c r="CU38" s="3033"/>
      <c r="CV38" s="3033"/>
      <c r="CW38" s="3033"/>
      <c r="CX38" s="3033"/>
      <c r="CY38" s="3033"/>
      <c r="CZ38" s="3033"/>
      <c r="DA38" s="3033"/>
      <c r="DB38" s="3033"/>
      <c r="DC38" s="3033"/>
      <c r="DD38" s="3033"/>
      <c r="DE38" s="3033"/>
      <c r="DF38" s="3033"/>
      <c r="DG38" s="3033"/>
      <c r="DH38" s="3033"/>
      <c r="DI38" s="3036"/>
      <c r="DJ38" s="3036"/>
      <c r="DK38" s="3033"/>
      <c r="DL38" s="3033"/>
      <c r="DM38" s="3033"/>
      <c r="DN38" s="3033"/>
      <c r="DO38" s="3033"/>
      <c r="DP38" s="3033"/>
      <c r="DQ38" s="3033"/>
      <c r="DR38" s="3033"/>
      <c r="DS38" s="3033"/>
      <c r="DT38" s="3033"/>
      <c r="DU38" s="3033"/>
      <c r="DV38" s="3033"/>
      <c r="DW38" s="3033"/>
      <c r="DX38" s="3033"/>
      <c r="DY38" s="3033"/>
      <c r="DZ38" s="3033"/>
      <c r="EA38" s="3033"/>
      <c r="EB38" s="3033"/>
      <c r="EC38" s="3033"/>
      <c r="ED38" s="3033"/>
      <c r="EE38" s="3033"/>
      <c r="EF38" s="3033"/>
      <c r="EG38" s="3033"/>
      <c r="EH38" s="3033"/>
      <c r="EI38" s="3033"/>
      <c r="EJ38" s="3033"/>
      <c r="EK38" s="3033"/>
      <c r="EL38" s="3033"/>
      <c r="EM38" s="3033"/>
      <c r="EN38" s="3033"/>
      <c r="EO38" s="3033"/>
      <c r="EP38" s="3033"/>
      <c r="EQ38" s="3033"/>
      <c r="ER38" s="3033"/>
      <c r="ES38" s="3033"/>
      <c r="ET38" s="3033"/>
      <c r="EU38" s="3033"/>
      <c r="EV38" s="3033"/>
      <c r="EW38" s="3033"/>
      <c r="EX38" s="3033"/>
      <c r="EY38" s="3033"/>
      <c r="EZ38" s="3033"/>
      <c r="FA38" s="3033"/>
    </row>
    <row r="39" spans="3:157" s="3023" customFormat="1">
      <c r="C39" s="3024"/>
      <c r="D39" s="3024"/>
      <c r="E39" s="3024"/>
      <c r="H39" s="3025"/>
      <c r="I39" s="3025"/>
      <c r="J39" s="3026"/>
      <c r="K39" s="3026"/>
      <c r="M39" s="3027"/>
      <c r="N39" s="3027"/>
      <c r="O39" s="3027"/>
      <c r="P39" s="3027"/>
      <c r="Q39" s="3025"/>
      <c r="R39" s="3025"/>
      <c r="S39" s="3025"/>
      <c r="T39" s="3029"/>
      <c r="W39" s="3030"/>
      <c r="X39" s="3031"/>
      <c r="Y39" s="3030"/>
      <c r="Z39" s="3031"/>
      <c r="AA39" s="3112"/>
      <c r="AB39" s="3032"/>
      <c r="AC39" s="3029"/>
      <c r="AD39" s="3029"/>
      <c r="AE39" s="3130"/>
      <c r="AF39" s="3031"/>
      <c r="AG39" s="3031"/>
      <c r="AH39" s="3025"/>
      <c r="AK39" s="3030"/>
      <c r="AL39" s="3030"/>
      <c r="AM39" s="3030"/>
      <c r="AN39" s="3030"/>
      <c r="AO39" s="3030"/>
      <c r="AP39" s="3030"/>
      <c r="AQ39" s="3030"/>
      <c r="AR39" s="3031"/>
      <c r="AS39" s="3031"/>
      <c r="AT39" s="3030"/>
      <c r="AU39" s="3033"/>
      <c r="AV39" s="3030"/>
      <c r="AW39" s="3030"/>
      <c r="AX39" s="3033"/>
      <c r="AY39" s="3033"/>
      <c r="AZ39" s="3033"/>
      <c r="BA39" s="3033"/>
      <c r="BB39" s="3025"/>
      <c r="BC39" s="3025"/>
      <c r="BD39" s="3032"/>
      <c r="BE39" s="3032"/>
      <c r="BF39" s="3029"/>
      <c r="BG39" s="3029"/>
      <c r="BH39" s="3033"/>
      <c r="BI39" s="3030"/>
      <c r="BJ39" s="3029"/>
      <c r="BK39" s="3029"/>
      <c r="BL39" s="3029"/>
      <c r="BM39" s="3034"/>
      <c r="BN39" s="3034"/>
      <c r="BO39" s="3034"/>
      <c r="BP39" s="3034"/>
      <c r="BQ39" s="3035"/>
      <c r="BR39" s="3035"/>
      <c r="BS39" s="3035"/>
      <c r="BT39" s="3035"/>
      <c r="BU39" s="3033"/>
      <c r="BV39" s="3033"/>
      <c r="BW39" s="3033"/>
      <c r="BX39" s="3033"/>
      <c r="BY39" s="3033"/>
      <c r="BZ39" s="3033"/>
      <c r="CA39" s="3033"/>
      <c r="CB39" s="3033"/>
      <c r="CC39" s="3033"/>
      <c r="CD39" s="3033"/>
      <c r="CE39" s="3033"/>
      <c r="CF39" s="3033"/>
      <c r="CG39" s="3033"/>
      <c r="CH39" s="3033"/>
      <c r="CI39" s="3033"/>
      <c r="CJ39" s="3033"/>
      <c r="CK39" s="3033"/>
      <c r="CL39" s="3033"/>
      <c r="CM39" s="3033"/>
      <c r="CN39" s="3033"/>
      <c r="CO39" s="3033"/>
      <c r="CP39" s="3033"/>
      <c r="CQ39" s="3033"/>
      <c r="CR39" s="3033"/>
      <c r="CS39" s="3033"/>
      <c r="CT39" s="3033"/>
      <c r="CU39" s="3033"/>
      <c r="CV39" s="3033"/>
      <c r="CW39" s="3033"/>
      <c r="CX39" s="3033"/>
      <c r="CY39" s="3033"/>
      <c r="CZ39" s="3033"/>
      <c r="DA39" s="3033"/>
      <c r="DB39" s="3033"/>
      <c r="DC39" s="3033"/>
      <c r="DD39" s="3033"/>
      <c r="DE39" s="3033"/>
      <c r="DF39" s="3033"/>
      <c r="DG39" s="3033"/>
      <c r="DH39" s="3033"/>
      <c r="DI39" s="3036"/>
      <c r="DJ39" s="3036"/>
      <c r="DK39" s="3033"/>
      <c r="DL39" s="3033"/>
      <c r="DM39" s="3033"/>
      <c r="DN39" s="3033"/>
      <c r="DO39" s="3033"/>
      <c r="DP39" s="3033"/>
      <c r="DQ39" s="3033"/>
      <c r="DR39" s="3033"/>
      <c r="DS39" s="3033"/>
      <c r="DT39" s="3033"/>
      <c r="DU39" s="3033"/>
      <c r="DV39" s="3033"/>
      <c r="DW39" s="3033"/>
      <c r="DX39" s="3033"/>
      <c r="DY39" s="3033"/>
      <c r="DZ39" s="3033"/>
      <c r="EA39" s="3033"/>
      <c r="EB39" s="3033"/>
      <c r="EC39" s="3033"/>
      <c r="ED39" s="3033"/>
      <c r="EE39" s="3033"/>
      <c r="EF39" s="3033"/>
      <c r="EG39" s="3033"/>
      <c r="EH39" s="3033"/>
      <c r="EI39" s="3033"/>
      <c r="EJ39" s="3033"/>
      <c r="EK39" s="3033"/>
      <c r="EL39" s="3033"/>
      <c r="EM39" s="3033"/>
      <c r="EN39" s="3033"/>
      <c r="EO39" s="3033"/>
      <c r="EP39" s="3033"/>
      <c r="EQ39" s="3033"/>
      <c r="ER39" s="3033"/>
      <c r="ES39" s="3033"/>
      <c r="ET39" s="3033"/>
      <c r="EU39" s="3033"/>
      <c r="EV39" s="3033"/>
      <c r="EW39" s="3033"/>
      <c r="EX39" s="3033"/>
      <c r="EY39" s="3033"/>
      <c r="EZ39" s="3033"/>
      <c r="FA39" s="3033"/>
    </row>
    <row r="40" spans="3:157" s="3023" customFormat="1">
      <c r="C40" s="3024"/>
      <c r="D40" s="3024"/>
      <c r="E40" s="3024"/>
      <c r="H40" s="3025"/>
      <c r="I40" s="3025"/>
      <c r="J40" s="3026"/>
      <c r="K40" s="3026"/>
      <c r="M40" s="3027"/>
      <c r="N40" s="3027"/>
      <c r="O40" s="3027"/>
      <c r="P40" s="3027"/>
      <c r="Q40" s="3025"/>
      <c r="R40" s="3025"/>
      <c r="S40" s="3025"/>
      <c r="T40" s="3029"/>
      <c r="W40" s="3030"/>
      <c r="X40" s="3031"/>
      <c r="Y40" s="3030"/>
      <c r="Z40" s="3031"/>
      <c r="AA40" s="3112"/>
      <c r="AB40" s="3032"/>
      <c r="AC40" s="3029"/>
      <c r="AD40" s="3029"/>
      <c r="AE40" s="3130"/>
      <c r="AF40" s="3031"/>
      <c r="AG40" s="3031"/>
      <c r="AH40" s="3025"/>
      <c r="AK40" s="3030"/>
      <c r="AL40" s="3030"/>
      <c r="AM40" s="3030"/>
      <c r="AN40" s="3030"/>
      <c r="AO40" s="3030"/>
      <c r="AP40" s="3030"/>
      <c r="AQ40" s="3030"/>
      <c r="AR40" s="3031"/>
      <c r="AS40" s="3031"/>
      <c r="AT40" s="3030"/>
      <c r="AU40" s="3033"/>
      <c r="AV40" s="3030"/>
      <c r="AW40" s="3030"/>
      <c r="AX40" s="3033"/>
      <c r="AY40" s="3033"/>
      <c r="AZ40" s="3033"/>
      <c r="BA40" s="3033"/>
      <c r="BB40" s="3025"/>
      <c r="BC40" s="3025"/>
      <c r="BD40" s="3032"/>
      <c r="BE40" s="3032"/>
      <c r="BF40" s="3029"/>
      <c r="BG40" s="3029"/>
      <c r="BH40" s="3033"/>
      <c r="BI40" s="3030"/>
      <c r="BJ40" s="3029"/>
      <c r="BK40" s="3029"/>
      <c r="BL40" s="3029"/>
      <c r="BM40" s="3034"/>
      <c r="BN40" s="3034"/>
      <c r="BO40" s="3034"/>
      <c r="BP40" s="3034"/>
      <c r="BQ40" s="3035"/>
      <c r="BR40" s="3035"/>
      <c r="BS40" s="3035"/>
      <c r="BT40" s="3035"/>
      <c r="BU40" s="3033"/>
      <c r="BV40" s="3033"/>
      <c r="BW40" s="3033"/>
      <c r="BX40" s="3033"/>
      <c r="BY40" s="3033"/>
      <c r="BZ40" s="3033"/>
      <c r="CA40" s="3033"/>
      <c r="CB40" s="3033"/>
      <c r="CC40" s="3033"/>
      <c r="CD40" s="3033"/>
      <c r="CE40" s="3033"/>
      <c r="CF40" s="3033"/>
      <c r="CG40" s="3033"/>
      <c r="CH40" s="3033"/>
      <c r="CI40" s="3033"/>
      <c r="CJ40" s="3033"/>
      <c r="CK40" s="3033"/>
      <c r="CL40" s="3033"/>
      <c r="CM40" s="3033"/>
      <c r="CN40" s="3033"/>
      <c r="CO40" s="3033"/>
      <c r="CP40" s="3033"/>
      <c r="CQ40" s="3033"/>
      <c r="CR40" s="3033"/>
      <c r="CS40" s="3033"/>
      <c r="CT40" s="3033"/>
      <c r="CU40" s="3033"/>
      <c r="CV40" s="3033"/>
      <c r="CW40" s="3033"/>
      <c r="CX40" s="3033"/>
      <c r="CY40" s="3033"/>
      <c r="CZ40" s="3033"/>
      <c r="DA40" s="3033"/>
      <c r="DB40" s="3033"/>
      <c r="DC40" s="3033"/>
      <c r="DD40" s="3033"/>
      <c r="DE40" s="3033"/>
      <c r="DF40" s="3033"/>
      <c r="DG40" s="3033"/>
      <c r="DH40" s="3033"/>
      <c r="DI40" s="3036"/>
      <c r="DJ40" s="3036"/>
      <c r="DK40" s="3033"/>
      <c r="DL40" s="3033"/>
      <c r="DM40" s="3033"/>
      <c r="DN40" s="3033"/>
      <c r="DO40" s="3033"/>
      <c r="DP40" s="3033"/>
      <c r="DQ40" s="3033"/>
      <c r="DR40" s="3033"/>
      <c r="DS40" s="3033"/>
      <c r="DT40" s="3033"/>
      <c r="DU40" s="3033"/>
      <c r="DV40" s="3033"/>
      <c r="DW40" s="3033"/>
      <c r="DX40" s="3033"/>
      <c r="DY40" s="3033"/>
      <c r="DZ40" s="3033"/>
      <c r="EA40" s="3033"/>
      <c r="EB40" s="3033"/>
      <c r="EC40" s="3033"/>
      <c r="ED40" s="3033"/>
      <c r="EE40" s="3033"/>
      <c r="EF40" s="3033"/>
      <c r="EG40" s="3033"/>
      <c r="EH40" s="3033"/>
      <c r="EI40" s="3033"/>
      <c r="EJ40" s="3033"/>
      <c r="EK40" s="3033"/>
      <c r="EL40" s="3033"/>
      <c r="EM40" s="3033"/>
      <c r="EN40" s="3033"/>
      <c r="EO40" s="3033"/>
      <c r="EP40" s="3033"/>
      <c r="EQ40" s="3033"/>
      <c r="ER40" s="3033"/>
      <c r="ES40" s="3033"/>
      <c r="ET40" s="3033"/>
      <c r="EU40" s="3033"/>
      <c r="EV40" s="3033"/>
      <c r="EW40" s="3033"/>
      <c r="EX40" s="3033"/>
      <c r="EY40" s="3033"/>
      <c r="EZ40" s="3033"/>
      <c r="FA40" s="3033"/>
    </row>
    <row r="41" spans="3:157" s="3023" customFormat="1">
      <c r="C41" s="3024"/>
      <c r="D41" s="3024"/>
      <c r="E41" s="3024"/>
      <c r="H41" s="3025"/>
      <c r="I41" s="3025"/>
      <c r="J41" s="3026"/>
      <c r="K41" s="3026"/>
      <c r="M41" s="3027"/>
      <c r="N41" s="3027"/>
      <c r="O41" s="3027"/>
      <c r="P41" s="3027"/>
      <c r="Q41" s="3025"/>
      <c r="R41" s="3025"/>
      <c r="S41" s="3025"/>
      <c r="T41" s="3029"/>
      <c r="W41" s="3030"/>
      <c r="X41" s="3031"/>
      <c r="Y41" s="3030"/>
      <c r="Z41" s="3031"/>
      <c r="AA41" s="3112"/>
      <c r="AB41" s="3032"/>
      <c r="AC41" s="3029"/>
      <c r="AD41" s="3029"/>
      <c r="AE41" s="3130"/>
      <c r="AF41" s="3031"/>
      <c r="AG41" s="3031"/>
      <c r="AH41" s="3025"/>
      <c r="AK41" s="3030"/>
      <c r="AL41" s="3030"/>
      <c r="AM41" s="3030"/>
      <c r="AN41" s="3030"/>
      <c r="AO41" s="3030"/>
      <c r="AP41" s="3030"/>
      <c r="AQ41" s="3030"/>
      <c r="AR41" s="3031"/>
      <c r="AS41" s="3031"/>
      <c r="AT41" s="3030"/>
      <c r="AU41" s="3033"/>
      <c r="AV41" s="3030"/>
      <c r="AW41" s="3030"/>
      <c r="AX41" s="3033"/>
      <c r="AY41" s="3033"/>
      <c r="AZ41" s="3033"/>
      <c r="BA41" s="3033"/>
      <c r="BB41" s="3025"/>
      <c r="BC41" s="3025"/>
      <c r="BD41" s="3032"/>
      <c r="BE41" s="3032"/>
      <c r="BF41" s="3029"/>
      <c r="BG41" s="3029"/>
      <c r="BH41" s="3033"/>
      <c r="BI41" s="3030"/>
      <c r="BJ41" s="3029"/>
      <c r="BK41" s="3029"/>
      <c r="BL41" s="3029"/>
      <c r="BM41" s="3034"/>
      <c r="BN41" s="3034"/>
      <c r="BO41" s="3034"/>
      <c r="BP41" s="3034"/>
      <c r="BQ41" s="3035"/>
      <c r="BR41" s="3035"/>
      <c r="BS41" s="3035"/>
      <c r="BT41" s="3035"/>
      <c r="BU41" s="3033"/>
      <c r="BV41" s="3033"/>
      <c r="BW41" s="3033"/>
      <c r="BX41" s="3033"/>
      <c r="BY41" s="3033"/>
      <c r="BZ41" s="3033"/>
      <c r="CA41" s="3033"/>
      <c r="CB41" s="3033"/>
      <c r="CC41" s="3033"/>
      <c r="CD41" s="3033"/>
      <c r="CE41" s="3033"/>
      <c r="CF41" s="3033"/>
      <c r="CG41" s="3033"/>
      <c r="CH41" s="3033"/>
      <c r="CI41" s="3033"/>
      <c r="CJ41" s="3033"/>
      <c r="CK41" s="3033"/>
      <c r="CL41" s="3033"/>
      <c r="CM41" s="3033"/>
      <c r="CN41" s="3033"/>
      <c r="CO41" s="3033"/>
      <c r="CP41" s="3033"/>
      <c r="CQ41" s="3033"/>
      <c r="CR41" s="3033"/>
      <c r="CS41" s="3033"/>
      <c r="CT41" s="3033"/>
      <c r="CU41" s="3033"/>
      <c r="CV41" s="3033"/>
      <c r="CW41" s="3033"/>
      <c r="CX41" s="3033"/>
      <c r="CY41" s="3033"/>
      <c r="CZ41" s="3033"/>
      <c r="DA41" s="3033"/>
      <c r="DB41" s="3033"/>
      <c r="DC41" s="3033"/>
      <c r="DD41" s="3033"/>
      <c r="DE41" s="3033"/>
      <c r="DF41" s="3033"/>
      <c r="DG41" s="3033"/>
      <c r="DH41" s="3033"/>
      <c r="DI41" s="3036"/>
      <c r="DJ41" s="3036"/>
      <c r="DK41" s="3033"/>
      <c r="DL41" s="3033"/>
      <c r="DM41" s="3033"/>
      <c r="DN41" s="3033"/>
      <c r="DO41" s="3033"/>
      <c r="DP41" s="3033"/>
      <c r="DQ41" s="3033"/>
      <c r="DR41" s="3033"/>
      <c r="DS41" s="3033"/>
      <c r="DT41" s="3033"/>
      <c r="DU41" s="3033"/>
      <c r="DV41" s="3033"/>
      <c r="DW41" s="3033"/>
      <c r="DX41" s="3033"/>
      <c r="DY41" s="3033"/>
      <c r="DZ41" s="3033"/>
      <c r="EA41" s="3033"/>
      <c r="EB41" s="3033"/>
      <c r="EC41" s="3033"/>
      <c r="ED41" s="3033"/>
      <c r="EE41" s="3033"/>
      <c r="EF41" s="3033"/>
      <c r="EG41" s="3033"/>
      <c r="EH41" s="3033"/>
      <c r="EI41" s="3033"/>
      <c r="EJ41" s="3033"/>
      <c r="EK41" s="3033"/>
      <c r="EL41" s="3033"/>
      <c r="EM41" s="3033"/>
      <c r="EN41" s="3033"/>
      <c r="EO41" s="3033"/>
      <c r="EP41" s="3033"/>
      <c r="EQ41" s="3033"/>
      <c r="ER41" s="3033"/>
      <c r="ES41" s="3033"/>
      <c r="ET41" s="3033"/>
      <c r="EU41" s="3033"/>
      <c r="EV41" s="3033"/>
      <c r="EW41" s="3033"/>
      <c r="EX41" s="3033"/>
      <c r="EY41" s="3033"/>
      <c r="EZ41" s="3033"/>
      <c r="FA41" s="3033"/>
    </row>
    <row r="42" spans="3:157" s="3023" customFormat="1">
      <c r="C42" s="3024"/>
      <c r="D42" s="3024"/>
      <c r="E42" s="3024"/>
      <c r="H42" s="3025"/>
      <c r="I42" s="3025"/>
      <c r="J42" s="3026"/>
      <c r="K42" s="3026"/>
      <c r="M42" s="3027"/>
      <c r="N42" s="3027"/>
      <c r="O42" s="3027"/>
      <c r="P42" s="3027"/>
      <c r="Q42" s="3025"/>
      <c r="R42" s="3025"/>
      <c r="S42" s="3025"/>
      <c r="T42" s="3029"/>
      <c r="W42" s="3030"/>
      <c r="X42" s="3031"/>
      <c r="Y42" s="3030"/>
      <c r="Z42" s="3031"/>
      <c r="AA42" s="3112"/>
      <c r="AB42" s="3032"/>
      <c r="AC42" s="3029"/>
      <c r="AD42" s="3029"/>
      <c r="AE42" s="3130"/>
      <c r="AF42" s="3031"/>
      <c r="AG42" s="3031"/>
      <c r="AH42" s="3025"/>
      <c r="AK42" s="3030"/>
      <c r="AL42" s="3030"/>
      <c r="AM42" s="3030"/>
      <c r="AN42" s="3030"/>
      <c r="AO42" s="3030"/>
      <c r="AP42" s="3030"/>
      <c r="AQ42" s="3030"/>
      <c r="AR42" s="3031"/>
      <c r="AS42" s="3031"/>
      <c r="AT42" s="3030"/>
      <c r="AU42" s="3033"/>
      <c r="AV42" s="3030"/>
      <c r="AW42" s="3030"/>
      <c r="AX42" s="3033"/>
      <c r="AY42" s="3033"/>
      <c r="AZ42" s="3033"/>
      <c r="BA42" s="3033"/>
      <c r="BB42" s="3025"/>
      <c r="BC42" s="3025"/>
      <c r="BD42" s="3032"/>
      <c r="BE42" s="3032"/>
      <c r="BF42" s="3029"/>
      <c r="BG42" s="3029"/>
      <c r="BH42" s="3033"/>
      <c r="BI42" s="3030"/>
      <c r="BJ42" s="3029"/>
      <c r="BK42" s="3029"/>
      <c r="BL42" s="3029"/>
      <c r="BM42" s="3034"/>
      <c r="BN42" s="3034"/>
      <c r="BO42" s="3034"/>
      <c r="BP42" s="3034"/>
      <c r="BQ42" s="3035"/>
      <c r="BR42" s="3035"/>
      <c r="BS42" s="3035"/>
      <c r="BT42" s="3035"/>
      <c r="BU42" s="3033"/>
      <c r="BV42" s="3033"/>
      <c r="BW42" s="3033"/>
      <c r="BX42" s="3033"/>
      <c r="BY42" s="3033"/>
      <c r="BZ42" s="3033"/>
      <c r="CA42" s="3033"/>
      <c r="CB42" s="3033"/>
      <c r="CC42" s="3033"/>
      <c r="CD42" s="3033"/>
      <c r="CE42" s="3033"/>
      <c r="CF42" s="3033"/>
      <c r="CG42" s="3033"/>
      <c r="CH42" s="3033"/>
      <c r="CI42" s="3033"/>
      <c r="CJ42" s="3033"/>
      <c r="CK42" s="3033"/>
      <c r="CL42" s="3033"/>
      <c r="CM42" s="3033"/>
      <c r="CN42" s="3033"/>
      <c r="CO42" s="3033"/>
      <c r="CP42" s="3033"/>
      <c r="CQ42" s="3033"/>
      <c r="CR42" s="3033"/>
      <c r="CS42" s="3033"/>
      <c r="CT42" s="3033"/>
      <c r="CU42" s="3033"/>
      <c r="CV42" s="3033"/>
      <c r="CW42" s="3033"/>
      <c r="CX42" s="3033"/>
      <c r="CY42" s="3033"/>
      <c r="CZ42" s="3033"/>
      <c r="DA42" s="3033"/>
      <c r="DB42" s="3033"/>
      <c r="DC42" s="3033"/>
      <c r="DD42" s="3033"/>
      <c r="DE42" s="3033"/>
      <c r="DF42" s="3033"/>
      <c r="DG42" s="3033"/>
      <c r="DH42" s="3033"/>
      <c r="DI42" s="3036"/>
      <c r="DJ42" s="3036"/>
      <c r="DK42" s="3033"/>
      <c r="DL42" s="3033"/>
      <c r="DM42" s="3033"/>
      <c r="DN42" s="3033"/>
      <c r="DO42" s="3033"/>
      <c r="DP42" s="3033"/>
      <c r="DQ42" s="3033"/>
      <c r="DR42" s="3033"/>
      <c r="DS42" s="3033"/>
      <c r="DT42" s="3033"/>
      <c r="DU42" s="3033"/>
      <c r="DV42" s="3033"/>
      <c r="DW42" s="3033"/>
      <c r="DX42" s="3033"/>
      <c r="DY42" s="3033"/>
      <c r="DZ42" s="3033"/>
      <c r="EA42" s="3033"/>
      <c r="EB42" s="3033"/>
      <c r="EC42" s="3033"/>
      <c r="ED42" s="3033"/>
      <c r="EE42" s="3033"/>
      <c r="EF42" s="3033"/>
      <c r="EG42" s="3033"/>
      <c r="EH42" s="3033"/>
      <c r="EI42" s="3033"/>
      <c r="EJ42" s="3033"/>
      <c r="EK42" s="3033"/>
      <c r="EL42" s="3033"/>
      <c r="EM42" s="3033"/>
      <c r="EN42" s="3033"/>
      <c r="EO42" s="3033"/>
      <c r="EP42" s="3033"/>
      <c r="EQ42" s="3033"/>
      <c r="ER42" s="3033"/>
      <c r="ES42" s="3033"/>
      <c r="ET42" s="3033"/>
      <c r="EU42" s="3033"/>
      <c r="EV42" s="3033"/>
      <c r="EW42" s="3033"/>
      <c r="EX42" s="3033"/>
      <c r="EY42" s="3033"/>
      <c r="EZ42" s="3033"/>
      <c r="FA42" s="3033"/>
    </row>
    <row r="43" spans="3:157" s="3023" customFormat="1">
      <c r="C43" s="3024"/>
      <c r="D43" s="3024"/>
      <c r="E43" s="3024"/>
      <c r="H43" s="3025"/>
      <c r="I43" s="3025"/>
      <c r="J43" s="3026"/>
      <c r="K43" s="3026"/>
      <c r="M43" s="3027"/>
      <c r="N43" s="3027"/>
      <c r="O43" s="3027"/>
      <c r="P43" s="3027"/>
      <c r="Q43" s="3025"/>
      <c r="R43" s="3025"/>
      <c r="S43" s="3025"/>
      <c r="T43" s="3029"/>
      <c r="W43" s="3030"/>
      <c r="X43" s="3031"/>
      <c r="Y43" s="3030"/>
      <c r="Z43" s="3031"/>
      <c r="AA43" s="3112"/>
      <c r="AB43" s="3032"/>
      <c r="AC43" s="3029"/>
      <c r="AD43" s="3029"/>
      <c r="AE43" s="3130"/>
      <c r="AF43" s="3031"/>
      <c r="AG43" s="3031"/>
      <c r="AH43" s="3025"/>
      <c r="AK43" s="3030"/>
      <c r="AL43" s="3030"/>
      <c r="AM43" s="3030"/>
      <c r="AN43" s="3030"/>
      <c r="AO43" s="3030"/>
      <c r="AP43" s="3030"/>
      <c r="AQ43" s="3030"/>
      <c r="AR43" s="3031"/>
      <c r="AS43" s="3031"/>
      <c r="AT43" s="3030"/>
      <c r="AU43" s="3033"/>
      <c r="AV43" s="3030"/>
      <c r="AW43" s="3030"/>
      <c r="AX43" s="3033"/>
      <c r="AY43" s="3033"/>
      <c r="AZ43" s="3033"/>
      <c r="BA43" s="3033"/>
      <c r="BB43" s="3025"/>
      <c r="BC43" s="3025"/>
      <c r="BD43" s="3032"/>
      <c r="BE43" s="3032"/>
      <c r="BF43" s="3029"/>
      <c r="BG43" s="3029"/>
      <c r="BH43" s="3033"/>
      <c r="BI43" s="3030"/>
      <c r="BJ43" s="3029"/>
      <c r="BK43" s="3029"/>
      <c r="BL43" s="3029"/>
      <c r="BM43" s="3034"/>
      <c r="BN43" s="3034"/>
      <c r="BO43" s="3034"/>
      <c r="BP43" s="3034"/>
      <c r="BQ43" s="3035"/>
      <c r="BR43" s="3035"/>
      <c r="BS43" s="3035"/>
      <c r="BT43" s="3035"/>
      <c r="BU43" s="3033"/>
      <c r="BV43" s="3033"/>
      <c r="BW43" s="3033"/>
      <c r="BX43" s="3033"/>
      <c r="BY43" s="3033"/>
      <c r="BZ43" s="3033"/>
      <c r="CA43" s="3033"/>
      <c r="CB43" s="3033"/>
      <c r="CC43" s="3033"/>
      <c r="CD43" s="3033"/>
      <c r="CE43" s="3033"/>
      <c r="CF43" s="3033"/>
      <c r="CG43" s="3033"/>
      <c r="CH43" s="3033"/>
      <c r="CI43" s="3033"/>
      <c r="CJ43" s="3033"/>
      <c r="CK43" s="3033"/>
      <c r="CL43" s="3033"/>
      <c r="CM43" s="3033"/>
      <c r="CN43" s="3033"/>
      <c r="CO43" s="3033"/>
      <c r="CP43" s="3033"/>
      <c r="CQ43" s="3033"/>
      <c r="CR43" s="3033"/>
      <c r="CS43" s="3033"/>
      <c r="CT43" s="3033"/>
      <c r="CU43" s="3033"/>
      <c r="CV43" s="3033"/>
      <c r="CW43" s="3033"/>
      <c r="CX43" s="3033"/>
      <c r="CY43" s="3033"/>
      <c r="CZ43" s="3033"/>
      <c r="DA43" s="3033"/>
      <c r="DB43" s="3033"/>
      <c r="DC43" s="3033"/>
      <c r="DD43" s="3033"/>
      <c r="DE43" s="3033"/>
      <c r="DF43" s="3033"/>
      <c r="DG43" s="3033"/>
      <c r="DH43" s="3033"/>
      <c r="DI43" s="3036"/>
      <c r="DJ43" s="3036"/>
      <c r="DK43" s="3033"/>
      <c r="DL43" s="3033"/>
      <c r="DM43" s="3033"/>
      <c r="DN43" s="3033"/>
      <c r="DO43" s="3033"/>
      <c r="DP43" s="3033"/>
      <c r="DQ43" s="3033"/>
      <c r="DR43" s="3033"/>
      <c r="DS43" s="3033"/>
      <c r="DT43" s="3033"/>
      <c r="DU43" s="3033"/>
      <c r="DV43" s="3033"/>
      <c r="DW43" s="3033"/>
      <c r="DX43" s="3033"/>
      <c r="DY43" s="3033"/>
      <c r="DZ43" s="3033"/>
      <c r="EA43" s="3033"/>
      <c r="EB43" s="3033"/>
      <c r="EC43" s="3033"/>
      <c r="ED43" s="3033"/>
      <c r="EE43" s="3033"/>
      <c r="EF43" s="3033"/>
      <c r="EG43" s="3033"/>
      <c r="EH43" s="3033"/>
      <c r="EI43" s="3033"/>
      <c r="EJ43" s="3033"/>
      <c r="EK43" s="3033"/>
      <c r="EL43" s="3033"/>
      <c r="EM43" s="3033"/>
      <c r="EN43" s="3033"/>
      <c r="EO43" s="3033"/>
      <c r="EP43" s="3033"/>
      <c r="EQ43" s="3033"/>
      <c r="ER43" s="3033"/>
      <c r="ES43" s="3033"/>
      <c r="ET43" s="3033"/>
      <c r="EU43" s="3033"/>
      <c r="EV43" s="3033"/>
      <c r="EW43" s="3033"/>
      <c r="EX43" s="3033"/>
      <c r="EY43" s="3033"/>
      <c r="EZ43" s="3033"/>
      <c r="FA43" s="3033"/>
    </row>
    <row r="44" spans="3:157" s="3023" customFormat="1">
      <c r="C44" s="3024"/>
      <c r="D44" s="3024"/>
      <c r="E44" s="3024"/>
      <c r="H44" s="3025"/>
      <c r="I44" s="3025"/>
      <c r="J44" s="3026"/>
      <c r="K44" s="3026"/>
      <c r="M44" s="3027"/>
      <c r="N44" s="3027"/>
      <c r="O44" s="3027"/>
      <c r="P44" s="3027"/>
      <c r="Q44" s="3025"/>
      <c r="R44" s="3025"/>
      <c r="S44" s="3025"/>
      <c r="T44" s="3029"/>
      <c r="W44" s="3030"/>
      <c r="X44" s="3031"/>
      <c r="Y44" s="3030"/>
      <c r="Z44" s="3031"/>
      <c r="AA44" s="3112"/>
      <c r="AB44" s="3032"/>
      <c r="AC44" s="3029"/>
      <c r="AD44" s="3029"/>
      <c r="AE44" s="3130"/>
      <c r="AF44" s="3031"/>
      <c r="AG44" s="3031"/>
      <c r="AH44" s="3025"/>
      <c r="AK44" s="3030"/>
      <c r="AL44" s="3030"/>
      <c r="AM44" s="3030"/>
      <c r="AN44" s="3030"/>
      <c r="AO44" s="3030"/>
      <c r="AP44" s="3030"/>
      <c r="AQ44" s="3030"/>
      <c r="AR44" s="3031"/>
      <c r="AS44" s="3031"/>
      <c r="AT44" s="3030"/>
      <c r="AU44" s="3033"/>
      <c r="AV44" s="3030"/>
      <c r="AW44" s="3030"/>
      <c r="AX44" s="3033"/>
      <c r="AY44" s="3033"/>
      <c r="AZ44" s="3033"/>
      <c r="BA44" s="3033"/>
      <c r="BB44" s="3025"/>
      <c r="BC44" s="3025"/>
      <c r="BD44" s="3032"/>
      <c r="BE44" s="3032"/>
      <c r="BF44" s="3029"/>
      <c r="BG44" s="3029"/>
      <c r="BH44" s="3033"/>
      <c r="BI44" s="3030"/>
      <c r="BJ44" s="3029"/>
      <c r="BK44" s="3029"/>
      <c r="BL44" s="3029"/>
      <c r="BM44" s="3034"/>
      <c r="BN44" s="3034"/>
      <c r="BO44" s="3034"/>
      <c r="BP44" s="3034"/>
      <c r="BQ44" s="3035"/>
      <c r="BR44" s="3035"/>
      <c r="BS44" s="3035"/>
      <c r="BT44" s="3035"/>
      <c r="BU44" s="3033"/>
      <c r="BV44" s="3033"/>
      <c r="BW44" s="3033"/>
      <c r="BX44" s="3033"/>
      <c r="BY44" s="3033"/>
      <c r="BZ44" s="3033"/>
      <c r="CA44" s="3033"/>
      <c r="CB44" s="3033"/>
      <c r="CC44" s="3033"/>
      <c r="CD44" s="3033"/>
      <c r="CE44" s="3033"/>
      <c r="CF44" s="3033"/>
      <c r="CG44" s="3033"/>
      <c r="CH44" s="3033"/>
      <c r="CI44" s="3033"/>
      <c r="CJ44" s="3033"/>
      <c r="CK44" s="3033"/>
      <c r="CL44" s="3033"/>
      <c r="CM44" s="3033"/>
      <c r="CN44" s="3033"/>
      <c r="CO44" s="3033"/>
      <c r="CP44" s="3033"/>
      <c r="CQ44" s="3033"/>
      <c r="CR44" s="3033"/>
      <c r="CS44" s="3033"/>
      <c r="CT44" s="3033"/>
      <c r="CU44" s="3033"/>
      <c r="CV44" s="3033"/>
      <c r="CW44" s="3033"/>
      <c r="CX44" s="3033"/>
      <c r="CY44" s="3033"/>
      <c r="CZ44" s="3033"/>
      <c r="DA44" s="3033"/>
      <c r="DB44" s="3033"/>
      <c r="DC44" s="3033"/>
      <c r="DD44" s="3033"/>
      <c r="DE44" s="3033"/>
      <c r="DF44" s="3033"/>
      <c r="DG44" s="3033"/>
      <c r="DH44" s="3033"/>
      <c r="DI44" s="3036"/>
      <c r="DJ44" s="3036"/>
      <c r="DK44" s="3033"/>
      <c r="DL44" s="3033"/>
      <c r="DM44" s="3033"/>
      <c r="DN44" s="3033"/>
      <c r="DO44" s="3033"/>
      <c r="DP44" s="3033"/>
      <c r="DQ44" s="3033"/>
      <c r="DR44" s="3033"/>
      <c r="DS44" s="3033"/>
      <c r="DT44" s="3033"/>
      <c r="DU44" s="3033"/>
      <c r="DV44" s="3033"/>
      <c r="DW44" s="3033"/>
      <c r="DX44" s="3033"/>
      <c r="DY44" s="3033"/>
      <c r="DZ44" s="3033"/>
      <c r="EA44" s="3033"/>
      <c r="EB44" s="3033"/>
      <c r="EC44" s="3033"/>
      <c r="ED44" s="3033"/>
      <c r="EE44" s="3033"/>
      <c r="EF44" s="3033"/>
      <c r="EG44" s="3033"/>
      <c r="EH44" s="3033"/>
      <c r="EI44" s="3033"/>
      <c r="EJ44" s="3033"/>
      <c r="EK44" s="3033"/>
      <c r="EL44" s="3033"/>
      <c r="EM44" s="3033"/>
      <c r="EN44" s="3033"/>
      <c r="EO44" s="3033"/>
      <c r="EP44" s="3033"/>
      <c r="EQ44" s="3033"/>
      <c r="ER44" s="3033"/>
      <c r="ES44" s="3033"/>
      <c r="ET44" s="3033"/>
      <c r="EU44" s="3033"/>
      <c r="EV44" s="3033"/>
      <c r="EW44" s="3033"/>
      <c r="EX44" s="3033"/>
      <c r="EY44" s="3033"/>
      <c r="EZ44" s="3033"/>
      <c r="FA44" s="3033"/>
    </row>
    <row r="45" spans="3:157" s="3023" customFormat="1">
      <c r="C45" s="3024"/>
      <c r="D45" s="3024"/>
      <c r="E45" s="3024"/>
      <c r="H45" s="3025"/>
      <c r="I45" s="3025"/>
      <c r="J45" s="3026"/>
      <c r="K45" s="3026"/>
      <c r="M45" s="3027"/>
      <c r="N45" s="3027"/>
      <c r="O45" s="3027"/>
      <c r="P45" s="3027"/>
      <c r="Q45" s="3025"/>
      <c r="R45" s="3025"/>
      <c r="S45" s="3025"/>
      <c r="T45" s="3029"/>
      <c r="W45" s="3030"/>
      <c r="X45" s="3031"/>
      <c r="Y45" s="3030"/>
      <c r="Z45" s="3031"/>
      <c r="AA45" s="3112"/>
      <c r="AB45" s="3032"/>
      <c r="AC45" s="3029"/>
      <c r="AD45" s="3029"/>
      <c r="AE45" s="3130"/>
      <c r="AF45" s="3031"/>
      <c r="AG45" s="3031"/>
      <c r="AH45" s="3025"/>
      <c r="AK45" s="3030"/>
      <c r="AL45" s="3030"/>
      <c r="AM45" s="3030"/>
      <c r="AN45" s="3030"/>
      <c r="AO45" s="3030"/>
      <c r="AP45" s="3030"/>
      <c r="AQ45" s="3030"/>
      <c r="AR45" s="3031"/>
      <c r="AS45" s="3031"/>
      <c r="AT45" s="3030"/>
      <c r="AU45" s="3033"/>
      <c r="AV45" s="3030"/>
      <c r="AW45" s="3030"/>
      <c r="AX45" s="3033"/>
      <c r="AY45" s="3033"/>
      <c r="AZ45" s="3033"/>
      <c r="BA45" s="3033"/>
      <c r="BB45" s="3025"/>
      <c r="BC45" s="3025"/>
      <c r="BD45" s="3032"/>
      <c r="BE45" s="3032"/>
      <c r="BF45" s="3029"/>
      <c r="BG45" s="3029"/>
      <c r="BH45" s="3033"/>
      <c r="BI45" s="3030"/>
      <c r="BJ45" s="3029"/>
      <c r="BK45" s="3029"/>
      <c r="BL45" s="3029"/>
      <c r="BM45" s="3034"/>
      <c r="BN45" s="3034"/>
      <c r="BO45" s="3034"/>
      <c r="BP45" s="3034"/>
      <c r="BQ45" s="3035"/>
      <c r="BR45" s="3035"/>
      <c r="BS45" s="3035"/>
      <c r="BT45" s="3035"/>
      <c r="BU45" s="3033"/>
      <c r="BV45" s="3033"/>
      <c r="BW45" s="3033"/>
      <c r="BX45" s="3033"/>
      <c r="BY45" s="3033"/>
      <c r="BZ45" s="3033"/>
      <c r="CA45" s="3033"/>
      <c r="CB45" s="3033"/>
      <c r="CC45" s="3033"/>
      <c r="CD45" s="3033"/>
      <c r="CE45" s="3033"/>
      <c r="CF45" s="3033"/>
      <c r="CG45" s="3033"/>
      <c r="CH45" s="3033"/>
      <c r="CI45" s="3033"/>
      <c r="CJ45" s="3033"/>
      <c r="CK45" s="3033"/>
      <c r="CL45" s="3033"/>
      <c r="CM45" s="3033"/>
      <c r="CN45" s="3033"/>
      <c r="CO45" s="3033"/>
      <c r="CP45" s="3033"/>
      <c r="CQ45" s="3033"/>
      <c r="CR45" s="3033"/>
      <c r="CS45" s="3033"/>
      <c r="CT45" s="3033"/>
      <c r="CU45" s="3033"/>
      <c r="CV45" s="3033"/>
      <c r="CW45" s="3033"/>
      <c r="CX45" s="3033"/>
      <c r="CY45" s="3033"/>
      <c r="CZ45" s="3033"/>
      <c r="DA45" s="3033"/>
      <c r="DB45" s="3033"/>
      <c r="DC45" s="3033"/>
      <c r="DD45" s="3033"/>
      <c r="DE45" s="3033"/>
      <c r="DF45" s="3033"/>
      <c r="DG45" s="3033"/>
      <c r="DH45" s="3033"/>
      <c r="DI45" s="3036"/>
      <c r="DJ45" s="3036"/>
      <c r="DK45" s="3033"/>
      <c r="DL45" s="3033"/>
      <c r="DM45" s="3033"/>
      <c r="DN45" s="3033"/>
      <c r="DO45" s="3033"/>
      <c r="DP45" s="3033"/>
      <c r="DQ45" s="3033"/>
      <c r="DR45" s="3033"/>
      <c r="DS45" s="3033"/>
      <c r="DT45" s="3033"/>
      <c r="DU45" s="3033"/>
      <c r="DV45" s="3033"/>
      <c r="DW45" s="3033"/>
      <c r="DX45" s="3033"/>
      <c r="DY45" s="3033"/>
      <c r="DZ45" s="3033"/>
      <c r="EA45" s="3033"/>
      <c r="EB45" s="3033"/>
      <c r="EC45" s="3033"/>
      <c r="ED45" s="3033"/>
      <c r="EE45" s="3033"/>
      <c r="EF45" s="3033"/>
      <c r="EG45" s="3033"/>
      <c r="EH45" s="3033"/>
      <c r="EI45" s="3033"/>
      <c r="EJ45" s="3033"/>
      <c r="EK45" s="3033"/>
      <c r="EL45" s="3033"/>
      <c r="EM45" s="3033"/>
      <c r="EN45" s="3033"/>
      <c r="EO45" s="3033"/>
      <c r="EP45" s="3033"/>
      <c r="EQ45" s="3033"/>
      <c r="ER45" s="3033"/>
      <c r="ES45" s="3033"/>
      <c r="ET45" s="3033"/>
      <c r="EU45" s="3033"/>
      <c r="EV45" s="3033"/>
      <c r="EW45" s="3033"/>
      <c r="EX45" s="3033"/>
      <c r="EY45" s="3033"/>
      <c r="EZ45" s="3033"/>
      <c r="FA45" s="3033"/>
    </row>
    <row r="46" spans="3:157" s="3023" customFormat="1">
      <c r="C46" s="3024"/>
      <c r="D46" s="3024"/>
      <c r="E46" s="3024"/>
      <c r="H46" s="3025"/>
      <c r="I46" s="3025"/>
      <c r="J46" s="3026"/>
      <c r="K46" s="3026"/>
      <c r="M46" s="3027"/>
      <c r="N46" s="3027"/>
      <c r="O46" s="3027"/>
      <c r="P46" s="3027"/>
      <c r="Q46" s="3025"/>
      <c r="R46" s="3025"/>
      <c r="S46" s="3025"/>
      <c r="T46" s="3029"/>
      <c r="W46" s="3030"/>
      <c r="X46" s="3031"/>
      <c r="Y46" s="3030"/>
      <c r="Z46" s="3031"/>
      <c r="AA46" s="3112"/>
      <c r="AB46" s="3032"/>
      <c r="AC46" s="3029"/>
      <c r="AD46" s="3029"/>
      <c r="AE46" s="3130"/>
      <c r="AF46" s="3031"/>
      <c r="AG46" s="3031"/>
      <c r="AH46" s="3025"/>
      <c r="AK46" s="3030"/>
      <c r="AL46" s="3030"/>
      <c r="AM46" s="3030"/>
      <c r="AN46" s="3030"/>
      <c r="AO46" s="3030"/>
      <c r="AP46" s="3030"/>
      <c r="AQ46" s="3030"/>
      <c r="AR46" s="3031"/>
      <c r="AS46" s="3031"/>
      <c r="AT46" s="3030"/>
      <c r="AU46" s="3033"/>
      <c r="AV46" s="3030"/>
      <c r="AW46" s="3030"/>
      <c r="AX46" s="3033"/>
      <c r="AY46" s="3033"/>
      <c r="AZ46" s="3033"/>
      <c r="BA46" s="3033"/>
      <c r="BB46" s="3025"/>
      <c r="BC46" s="3025"/>
      <c r="BD46" s="3032"/>
      <c r="BE46" s="3032"/>
      <c r="BF46" s="3029"/>
      <c r="BG46" s="3029"/>
      <c r="BH46" s="3033"/>
      <c r="BI46" s="3030"/>
      <c r="BJ46" s="3029"/>
      <c r="BK46" s="3029"/>
      <c r="BL46" s="3029"/>
      <c r="BM46" s="3034"/>
      <c r="BN46" s="3034"/>
      <c r="BO46" s="3034"/>
      <c r="BP46" s="3034"/>
      <c r="BQ46" s="3035"/>
      <c r="BR46" s="3035"/>
      <c r="BS46" s="3035"/>
      <c r="BT46" s="3035"/>
      <c r="BU46" s="3033"/>
      <c r="BV46" s="3033"/>
      <c r="BW46" s="3033"/>
      <c r="BX46" s="3033"/>
      <c r="BY46" s="3033"/>
      <c r="BZ46" s="3033"/>
      <c r="CA46" s="3033"/>
      <c r="CB46" s="3033"/>
      <c r="CC46" s="3033"/>
      <c r="CD46" s="3033"/>
      <c r="CE46" s="3033"/>
      <c r="CF46" s="3033"/>
      <c r="CG46" s="3033"/>
      <c r="CH46" s="3033"/>
      <c r="CI46" s="3033"/>
      <c r="CJ46" s="3033"/>
      <c r="CK46" s="3033"/>
      <c r="CL46" s="3033"/>
      <c r="CM46" s="3033"/>
      <c r="CN46" s="3033"/>
      <c r="CO46" s="3033"/>
      <c r="CP46" s="3033"/>
      <c r="CQ46" s="3033"/>
      <c r="CR46" s="3033"/>
      <c r="CS46" s="3033"/>
      <c r="CT46" s="3033"/>
      <c r="CU46" s="3033"/>
      <c r="CV46" s="3033"/>
      <c r="CW46" s="3033"/>
      <c r="CX46" s="3033"/>
      <c r="CY46" s="3033"/>
      <c r="CZ46" s="3033"/>
      <c r="DA46" s="3033"/>
      <c r="DB46" s="3033"/>
      <c r="DC46" s="3033"/>
      <c r="DD46" s="3033"/>
      <c r="DE46" s="3033"/>
      <c r="DF46" s="3033"/>
      <c r="DG46" s="3033"/>
      <c r="DH46" s="3033"/>
      <c r="DI46" s="3036"/>
      <c r="DJ46" s="3036"/>
      <c r="DK46" s="3033"/>
      <c r="DL46" s="3033"/>
      <c r="DM46" s="3033"/>
      <c r="DN46" s="3033"/>
      <c r="DO46" s="3033"/>
      <c r="DP46" s="3033"/>
      <c r="DQ46" s="3033"/>
      <c r="DR46" s="3033"/>
      <c r="DS46" s="3033"/>
      <c r="DT46" s="3033"/>
      <c r="DU46" s="3033"/>
      <c r="DV46" s="3033"/>
      <c r="DW46" s="3033"/>
      <c r="DX46" s="3033"/>
      <c r="DY46" s="3033"/>
      <c r="DZ46" s="3033"/>
      <c r="EA46" s="3033"/>
      <c r="EB46" s="3033"/>
      <c r="EC46" s="3033"/>
      <c r="ED46" s="3033"/>
      <c r="EE46" s="3033"/>
      <c r="EF46" s="3033"/>
      <c r="EG46" s="3033"/>
      <c r="EH46" s="3033"/>
      <c r="EI46" s="3033"/>
      <c r="EJ46" s="3033"/>
      <c r="EK46" s="3033"/>
      <c r="EL46" s="3033"/>
      <c r="EM46" s="3033"/>
      <c r="EN46" s="3033"/>
      <c r="EO46" s="3033"/>
      <c r="EP46" s="3033"/>
      <c r="EQ46" s="3033"/>
      <c r="ER46" s="3033"/>
      <c r="ES46" s="3033"/>
      <c r="ET46" s="3033"/>
      <c r="EU46" s="3033"/>
      <c r="EV46" s="3033"/>
      <c r="EW46" s="3033"/>
      <c r="EX46" s="3033"/>
      <c r="EY46" s="3033"/>
      <c r="EZ46" s="3033"/>
      <c r="FA46" s="3033"/>
    </row>
    <row r="47" spans="3:157" s="3023" customFormat="1">
      <c r="C47" s="3024"/>
      <c r="D47" s="3024"/>
      <c r="E47" s="3024"/>
      <c r="H47" s="3025"/>
      <c r="I47" s="3025"/>
      <c r="J47" s="3026"/>
      <c r="K47" s="3026"/>
      <c r="M47" s="3027"/>
      <c r="N47" s="3027"/>
      <c r="O47" s="3027"/>
      <c r="P47" s="3027"/>
      <c r="Q47" s="3025"/>
      <c r="R47" s="3025"/>
      <c r="S47" s="3025"/>
      <c r="T47" s="3029"/>
      <c r="W47" s="3030"/>
      <c r="X47" s="3031"/>
      <c r="Y47" s="3030"/>
      <c r="Z47" s="3031"/>
      <c r="AA47" s="3112"/>
      <c r="AB47" s="3032"/>
      <c r="AC47" s="3029"/>
      <c r="AD47" s="3029"/>
      <c r="AE47" s="3130"/>
      <c r="AF47" s="3031"/>
      <c r="AG47" s="3031"/>
      <c r="AH47" s="3025"/>
      <c r="AK47" s="3030"/>
      <c r="AL47" s="3030"/>
      <c r="AM47" s="3030"/>
      <c r="AN47" s="3030"/>
      <c r="AO47" s="3030"/>
      <c r="AP47" s="3030"/>
      <c r="AQ47" s="3030"/>
      <c r="AR47" s="3031"/>
      <c r="AS47" s="3031"/>
      <c r="AT47" s="3030"/>
      <c r="AU47" s="3033"/>
      <c r="AV47" s="3030"/>
      <c r="AW47" s="3030"/>
      <c r="AX47" s="3033"/>
      <c r="AY47" s="3033"/>
      <c r="AZ47" s="3033"/>
      <c r="BA47" s="3033"/>
      <c r="BB47" s="3025"/>
      <c r="BC47" s="3025"/>
      <c r="BD47" s="3032"/>
      <c r="BE47" s="3032"/>
      <c r="BF47" s="3029"/>
      <c r="BG47" s="3029"/>
      <c r="BH47" s="3033"/>
      <c r="BI47" s="3030"/>
      <c r="BJ47" s="3029"/>
      <c r="BK47" s="3029"/>
      <c r="BL47" s="3029"/>
      <c r="BM47" s="3034"/>
      <c r="BN47" s="3034"/>
      <c r="BO47" s="3034"/>
      <c r="BP47" s="3034"/>
      <c r="BQ47" s="3035"/>
      <c r="BR47" s="3035"/>
      <c r="BS47" s="3035"/>
      <c r="BT47" s="3035"/>
      <c r="BU47" s="3033"/>
      <c r="BV47" s="3033"/>
      <c r="BW47" s="3033"/>
      <c r="BX47" s="3033"/>
      <c r="BY47" s="3033"/>
      <c r="BZ47" s="3033"/>
      <c r="CA47" s="3033"/>
      <c r="CB47" s="3033"/>
      <c r="CC47" s="3033"/>
      <c r="CD47" s="3033"/>
      <c r="CE47" s="3033"/>
      <c r="CF47" s="3033"/>
      <c r="CG47" s="3033"/>
      <c r="CH47" s="3033"/>
      <c r="CI47" s="3033"/>
      <c r="CJ47" s="3033"/>
      <c r="CK47" s="3033"/>
      <c r="CL47" s="3033"/>
      <c r="CM47" s="3033"/>
      <c r="CN47" s="3033"/>
      <c r="CO47" s="3033"/>
      <c r="CP47" s="3033"/>
      <c r="CQ47" s="3033"/>
      <c r="CR47" s="3033"/>
      <c r="CS47" s="3033"/>
      <c r="CT47" s="3033"/>
      <c r="CU47" s="3033"/>
      <c r="CV47" s="3033"/>
      <c r="CW47" s="3033"/>
      <c r="CX47" s="3033"/>
      <c r="CY47" s="3033"/>
      <c r="CZ47" s="3033"/>
      <c r="DA47" s="3033"/>
      <c r="DB47" s="3033"/>
      <c r="DC47" s="3033"/>
      <c r="DD47" s="3033"/>
      <c r="DE47" s="3033"/>
      <c r="DF47" s="3033"/>
      <c r="DG47" s="3033"/>
      <c r="DH47" s="3033"/>
      <c r="DI47" s="3036"/>
      <c r="DJ47" s="3036"/>
      <c r="DK47" s="3033"/>
      <c r="DL47" s="3033"/>
      <c r="DM47" s="3033"/>
      <c r="DN47" s="3033"/>
      <c r="DO47" s="3033"/>
      <c r="DP47" s="3033"/>
      <c r="DQ47" s="3033"/>
      <c r="DR47" s="3033"/>
      <c r="DS47" s="3033"/>
      <c r="DT47" s="3033"/>
      <c r="DU47" s="3033"/>
      <c r="DV47" s="3033"/>
      <c r="DW47" s="3033"/>
      <c r="DX47" s="3033"/>
      <c r="DY47" s="3033"/>
      <c r="DZ47" s="3033"/>
      <c r="EA47" s="3033"/>
      <c r="EB47" s="3033"/>
      <c r="EC47" s="3033"/>
      <c r="ED47" s="3033"/>
      <c r="EE47" s="3033"/>
      <c r="EF47" s="3033"/>
      <c r="EG47" s="3033"/>
      <c r="EH47" s="3033"/>
      <c r="EI47" s="3033"/>
      <c r="EJ47" s="3033"/>
      <c r="EK47" s="3033"/>
      <c r="EL47" s="3033"/>
      <c r="EM47" s="3033"/>
      <c r="EN47" s="3033"/>
      <c r="EO47" s="3033"/>
      <c r="EP47" s="3033"/>
      <c r="EQ47" s="3033"/>
      <c r="ER47" s="3033"/>
      <c r="ES47" s="3033"/>
      <c r="ET47" s="3033"/>
      <c r="EU47" s="3033"/>
      <c r="EV47" s="3033"/>
      <c r="EW47" s="3033"/>
      <c r="EX47" s="3033"/>
      <c r="EY47" s="3033"/>
      <c r="EZ47" s="3033"/>
      <c r="FA47" s="3033"/>
    </row>
    <row r="48" spans="3:157" s="3023" customFormat="1">
      <c r="C48" s="3024"/>
      <c r="D48" s="3024"/>
      <c r="E48" s="3024"/>
      <c r="H48" s="3025"/>
      <c r="I48" s="3025"/>
      <c r="J48" s="3026"/>
      <c r="K48" s="3026"/>
      <c r="M48" s="3027"/>
      <c r="N48" s="3027"/>
      <c r="O48" s="3027"/>
      <c r="P48" s="3027"/>
      <c r="Q48" s="3025"/>
      <c r="R48" s="3025"/>
      <c r="S48" s="3025"/>
      <c r="T48" s="3029"/>
      <c r="W48" s="3030"/>
      <c r="X48" s="3031"/>
      <c r="Y48" s="3030"/>
      <c r="Z48" s="3031"/>
      <c r="AA48" s="3112"/>
      <c r="AB48" s="3032"/>
      <c r="AC48" s="3029"/>
      <c r="AD48" s="3029"/>
      <c r="AE48" s="3130"/>
      <c r="AF48" s="3031"/>
      <c r="AG48" s="3031"/>
      <c r="AH48" s="3025"/>
      <c r="AK48" s="3030"/>
      <c r="AL48" s="3030"/>
      <c r="AM48" s="3030"/>
      <c r="AN48" s="3030"/>
      <c r="AO48" s="3030"/>
      <c r="AP48" s="3030"/>
      <c r="AQ48" s="3030"/>
      <c r="AR48" s="3031"/>
      <c r="AS48" s="3031"/>
      <c r="AT48" s="3030"/>
      <c r="AU48" s="3033"/>
      <c r="AV48" s="3030"/>
      <c r="AW48" s="3030"/>
      <c r="AX48" s="3033"/>
      <c r="AY48" s="3033"/>
      <c r="AZ48" s="3033"/>
      <c r="BA48" s="3033"/>
      <c r="BB48" s="3025"/>
      <c r="BC48" s="3025"/>
      <c r="BD48" s="3032"/>
      <c r="BE48" s="3032"/>
      <c r="BF48" s="3029"/>
      <c r="BG48" s="3029"/>
      <c r="BH48" s="3033"/>
      <c r="BI48" s="3030"/>
      <c r="BJ48" s="3029"/>
      <c r="BK48" s="3029"/>
      <c r="BL48" s="3029"/>
      <c r="BM48" s="3034"/>
      <c r="BN48" s="3034"/>
      <c r="BO48" s="3034"/>
      <c r="BP48" s="3034"/>
      <c r="BQ48" s="3035"/>
      <c r="BR48" s="3035"/>
      <c r="BS48" s="3035"/>
      <c r="BT48" s="3035"/>
      <c r="BU48" s="3033"/>
      <c r="BV48" s="3033"/>
      <c r="BW48" s="3033"/>
      <c r="BX48" s="3033"/>
      <c r="BY48" s="3033"/>
      <c r="BZ48" s="3033"/>
      <c r="CA48" s="3033"/>
      <c r="CB48" s="3033"/>
      <c r="CC48" s="3033"/>
      <c r="CD48" s="3033"/>
      <c r="CE48" s="3033"/>
      <c r="CF48" s="3033"/>
      <c r="CG48" s="3033"/>
      <c r="CH48" s="3033"/>
      <c r="CI48" s="3033"/>
      <c r="CJ48" s="3033"/>
      <c r="CK48" s="3033"/>
      <c r="CL48" s="3033"/>
      <c r="CM48" s="3033"/>
      <c r="CN48" s="3033"/>
      <c r="CO48" s="3033"/>
      <c r="CP48" s="3033"/>
      <c r="CQ48" s="3033"/>
      <c r="CR48" s="3033"/>
      <c r="CS48" s="3033"/>
      <c r="CT48" s="3033"/>
      <c r="CU48" s="3033"/>
      <c r="CV48" s="3033"/>
      <c r="CW48" s="3033"/>
      <c r="CX48" s="3033"/>
      <c r="CY48" s="3033"/>
      <c r="CZ48" s="3033"/>
      <c r="DA48" s="3033"/>
      <c r="DB48" s="3033"/>
      <c r="DC48" s="3033"/>
      <c r="DD48" s="3033"/>
      <c r="DE48" s="3033"/>
      <c r="DF48" s="3033"/>
      <c r="DG48" s="3033"/>
      <c r="DH48" s="3033"/>
      <c r="DI48" s="3036"/>
      <c r="DJ48" s="3036"/>
      <c r="DK48" s="3033"/>
      <c r="DL48" s="3033"/>
      <c r="DM48" s="3033"/>
      <c r="DN48" s="3033"/>
      <c r="DO48" s="3033"/>
      <c r="DP48" s="3033"/>
      <c r="DQ48" s="3033"/>
      <c r="DR48" s="3033"/>
      <c r="DS48" s="3033"/>
      <c r="DT48" s="3033"/>
      <c r="DU48" s="3033"/>
      <c r="DV48" s="3033"/>
      <c r="DW48" s="3033"/>
      <c r="DX48" s="3033"/>
      <c r="DY48" s="3033"/>
      <c r="DZ48" s="3033"/>
      <c r="EA48" s="3033"/>
      <c r="EB48" s="3033"/>
      <c r="EC48" s="3033"/>
      <c r="ED48" s="3033"/>
      <c r="EE48" s="3033"/>
      <c r="EF48" s="3033"/>
      <c r="EG48" s="3033"/>
      <c r="EH48" s="3033"/>
      <c r="EI48" s="3033"/>
      <c r="EJ48" s="3033"/>
      <c r="EK48" s="3033"/>
      <c r="EL48" s="3033"/>
      <c r="EM48" s="3033"/>
      <c r="EN48" s="3033"/>
      <c r="EO48" s="3033"/>
      <c r="EP48" s="3033"/>
      <c r="EQ48" s="3033"/>
      <c r="ER48" s="3033"/>
      <c r="ES48" s="3033"/>
      <c r="ET48" s="3033"/>
      <c r="EU48" s="3033"/>
      <c r="EV48" s="3033"/>
      <c r="EW48" s="3033"/>
      <c r="EX48" s="3033"/>
      <c r="EY48" s="3033"/>
      <c r="EZ48" s="3033"/>
      <c r="FA48" s="3033"/>
    </row>
    <row r="49" spans="3:157" s="3023" customFormat="1">
      <c r="C49" s="3024"/>
      <c r="D49" s="3024"/>
      <c r="E49" s="3024"/>
      <c r="H49" s="3025"/>
      <c r="I49" s="3025"/>
      <c r="J49" s="3026"/>
      <c r="K49" s="3026"/>
      <c r="M49" s="3027"/>
      <c r="N49" s="3027"/>
      <c r="O49" s="3027"/>
      <c r="P49" s="3027"/>
      <c r="Q49" s="3025"/>
      <c r="R49" s="3025"/>
      <c r="S49" s="3025"/>
      <c r="T49" s="3029"/>
      <c r="W49" s="3030"/>
      <c r="X49" s="3031"/>
      <c r="Y49" s="3030"/>
      <c r="Z49" s="3031"/>
      <c r="AA49" s="3112"/>
      <c r="AB49" s="3032"/>
      <c r="AC49" s="3029"/>
      <c r="AD49" s="3029"/>
      <c r="AE49" s="3130"/>
      <c r="AF49" s="3031"/>
      <c r="AG49" s="3031"/>
      <c r="AH49" s="3025"/>
      <c r="AK49" s="3030"/>
      <c r="AL49" s="3030"/>
      <c r="AM49" s="3030"/>
      <c r="AN49" s="3030"/>
      <c r="AO49" s="3030"/>
      <c r="AP49" s="3030"/>
      <c r="AQ49" s="3030"/>
      <c r="AR49" s="3031"/>
      <c r="AS49" s="3031"/>
      <c r="AT49" s="3030"/>
      <c r="AU49" s="3033"/>
      <c r="AV49" s="3030"/>
      <c r="AW49" s="3030"/>
      <c r="AX49" s="3033"/>
      <c r="AY49" s="3033"/>
      <c r="AZ49" s="3033"/>
      <c r="BA49" s="3033"/>
      <c r="BB49" s="3025"/>
      <c r="BC49" s="3025"/>
      <c r="BD49" s="3032"/>
      <c r="BE49" s="3032"/>
      <c r="BF49" s="3029"/>
      <c r="BG49" s="3029"/>
      <c r="BH49" s="3033"/>
      <c r="BI49" s="3030"/>
      <c r="BJ49" s="3029"/>
      <c r="BK49" s="3029"/>
      <c r="BL49" s="3029"/>
      <c r="BM49" s="3034"/>
      <c r="BN49" s="3034"/>
      <c r="BO49" s="3034"/>
      <c r="BP49" s="3034"/>
      <c r="BQ49" s="3035"/>
      <c r="BR49" s="3035"/>
      <c r="BS49" s="3035"/>
      <c r="BT49" s="3035"/>
      <c r="BU49" s="3033"/>
      <c r="BV49" s="3033"/>
      <c r="BW49" s="3033"/>
      <c r="BX49" s="3033"/>
      <c r="BY49" s="3033"/>
      <c r="BZ49" s="3033"/>
      <c r="CA49" s="3033"/>
      <c r="CB49" s="3033"/>
      <c r="CC49" s="3033"/>
      <c r="CD49" s="3033"/>
      <c r="CE49" s="3033"/>
      <c r="CF49" s="3033"/>
      <c r="CG49" s="3033"/>
      <c r="CH49" s="3033"/>
      <c r="CI49" s="3033"/>
      <c r="CJ49" s="3033"/>
      <c r="CK49" s="3033"/>
      <c r="CL49" s="3033"/>
      <c r="CM49" s="3033"/>
      <c r="CN49" s="3033"/>
      <c r="CO49" s="3033"/>
      <c r="CP49" s="3033"/>
      <c r="CQ49" s="3033"/>
      <c r="CR49" s="3033"/>
      <c r="CS49" s="3033"/>
      <c r="CT49" s="3033"/>
      <c r="CU49" s="3033"/>
      <c r="CV49" s="3033"/>
      <c r="CW49" s="3033"/>
      <c r="CX49" s="3033"/>
      <c r="CY49" s="3033"/>
      <c r="CZ49" s="3033"/>
      <c r="DA49" s="3033"/>
      <c r="DB49" s="3033"/>
      <c r="DC49" s="3033"/>
      <c r="DD49" s="3033"/>
      <c r="DE49" s="3033"/>
      <c r="DF49" s="3033"/>
      <c r="DG49" s="3033"/>
      <c r="DH49" s="3033"/>
      <c r="DI49" s="3036"/>
      <c r="DJ49" s="3036"/>
      <c r="DK49" s="3033"/>
      <c r="DL49" s="3033"/>
      <c r="DM49" s="3033"/>
      <c r="DN49" s="3033"/>
      <c r="DO49" s="3033"/>
      <c r="DP49" s="3033"/>
      <c r="DQ49" s="3033"/>
      <c r="DR49" s="3033"/>
      <c r="DS49" s="3033"/>
      <c r="DT49" s="3033"/>
      <c r="DU49" s="3033"/>
      <c r="DV49" s="3033"/>
      <c r="DW49" s="3033"/>
      <c r="DX49" s="3033"/>
      <c r="DY49" s="3033"/>
      <c r="DZ49" s="3033"/>
      <c r="EA49" s="3033"/>
      <c r="EB49" s="3033"/>
      <c r="EC49" s="3033"/>
      <c r="ED49" s="3033"/>
      <c r="EE49" s="3033"/>
      <c r="EF49" s="3033"/>
      <c r="EG49" s="3033"/>
      <c r="EH49" s="3033"/>
      <c r="EI49" s="3033"/>
      <c r="EJ49" s="3033"/>
      <c r="EK49" s="3033"/>
      <c r="EL49" s="3033"/>
      <c r="EM49" s="3033"/>
      <c r="EN49" s="3033"/>
      <c r="EO49" s="3033"/>
      <c r="EP49" s="3033"/>
      <c r="EQ49" s="3033"/>
      <c r="ER49" s="3033"/>
      <c r="ES49" s="3033"/>
      <c r="ET49" s="3033"/>
      <c r="EU49" s="3033"/>
      <c r="EV49" s="3033"/>
      <c r="EW49" s="3033"/>
      <c r="EX49" s="3033"/>
      <c r="EY49" s="3033"/>
      <c r="EZ49" s="3033"/>
      <c r="FA49" s="3033"/>
    </row>
    <row r="50" spans="3:157" s="3023" customFormat="1">
      <c r="C50" s="3024"/>
      <c r="D50" s="3024"/>
      <c r="E50" s="3024"/>
      <c r="H50" s="3025"/>
      <c r="I50" s="3025"/>
      <c r="J50" s="3026"/>
      <c r="K50" s="3026"/>
      <c r="M50" s="3027"/>
      <c r="N50" s="3027"/>
      <c r="O50" s="3027"/>
      <c r="P50" s="3027"/>
      <c r="Q50" s="3025"/>
      <c r="R50" s="3025"/>
      <c r="S50" s="3025"/>
      <c r="T50" s="3029"/>
      <c r="W50" s="3030"/>
      <c r="X50" s="3031"/>
      <c r="Y50" s="3030"/>
      <c r="Z50" s="3031"/>
      <c r="AA50" s="3112"/>
      <c r="AB50" s="3032"/>
      <c r="AC50" s="3029"/>
      <c r="AD50" s="3029"/>
      <c r="AE50" s="3130"/>
      <c r="AF50" s="3031"/>
      <c r="AG50" s="3031"/>
      <c r="AH50" s="3025"/>
      <c r="AK50" s="3030"/>
      <c r="AL50" s="3030"/>
      <c r="AM50" s="3030"/>
      <c r="AN50" s="3030"/>
      <c r="AO50" s="3030"/>
      <c r="AP50" s="3030"/>
      <c r="AQ50" s="3030"/>
      <c r="AR50" s="3031"/>
      <c r="AS50" s="3031"/>
      <c r="AT50" s="3030"/>
      <c r="AU50" s="3033"/>
      <c r="AV50" s="3030"/>
      <c r="AW50" s="3030"/>
      <c r="AX50" s="3033"/>
      <c r="AY50" s="3033"/>
      <c r="AZ50" s="3033"/>
      <c r="BA50" s="3033"/>
      <c r="BB50" s="3025"/>
      <c r="BC50" s="3025"/>
      <c r="BD50" s="3032"/>
      <c r="BE50" s="3032"/>
      <c r="BF50" s="3029"/>
      <c r="BG50" s="3029"/>
      <c r="BH50" s="3033"/>
      <c r="BI50" s="3030"/>
      <c r="BJ50" s="3029"/>
      <c r="BK50" s="3029"/>
      <c r="BL50" s="3029"/>
      <c r="BM50" s="3034"/>
      <c r="BN50" s="3034"/>
      <c r="BO50" s="3034"/>
      <c r="BP50" s="3034"/>
      <c r="BQ50" s="3035"/>
      <c r="BR50" s="3035"/>
      <c r="BS50" s="3035"/>
      <c r="BT50" s="3035"/>
      <c r="BU50" s="3033"/>
      <c r="BV50" s="3033"/>
      <c r="BW50" s="3033"/>
      <c r="BX50" s="3033"/>
      <c r="BY50" s="3033"/>
      <c r="BZ50" s="3033"/>
      <c r="CA50" s="3033"/>
      <c r="CB50" s="3033"/>
      <c r="CC50" s="3033"/>
      <c r="CD50" s="3033"/>
      <c r="CE50" s="3033"/>
      <c r="CF50" s="3033"/>
      <c r="CG50" s="3033"/>
      <c r="CH50" s="3033"/>
      <c r="CI50" s="3033"/>
      <c r="CJ50" s="3033"/>
      <c r="CK50" s="3033"/>
      <c r="CL50" s="3033"/>
      <c r="CM50" s="3033"/>
      <c r="CN50" s="3033"/>
      <c r="CO50" s="3033"/>
      <c r="CP50" s="3033"/>
      <c r="CQ50" s="3033"/>
      <c r="CR50" s="3033"/>
      <c r="CS50" s="3033"/>
      <c r="CT50" s="3033"/>
      <c r="CU50" s="3033"/>
      <c r="CV50" s="3033"/>
      <c r="CW50" s="3033"/>
      <c r="CX50" s="3033"/>
      <c r="CY50" s="3033"/>
      <c r="CZ50" s="3033"/>
      <c r="DA50" s="3033"/>
      <c r="DB50" s="3033"/>
      <c r="DC50" s="3033"/>
      <c r="DD50" s="3033"/>
      <c r="DE50" s="3033"/>
      <c r="DF50" s="3033"/>
      <c r="DG50" s="3033"/>
      <c r="DH50" s="3033"/>
      <c r="DI50" s="3036"/>
      <c r="DJ50" s="3036"/>
      <c r="DK50" s="3033"/>
      <c r="DL50" s="3033"/>
      <c r="DM50" s="3033"/>
      <c r="DN50" s="3033"/>
      <c r="DO50" s="3033"/>
      <c r="DP50" s="3033"/>
      <c r="DQ50" s="3033"/>
      <c r="DR50" s="3033"/>
      <c r="DS50" s="3033"/>
      <c r="DT50" s="3033"/>
      <c r="DU50" s="3033"/>
      <c r="DV50" s="3033"/>
      <c r="DW50" s="3033"/>
      <c r="DX50" s="3033"/>
      <c r="DY50" s="3033"/>
      <c r="DZ50" s="3033"/>
      <c r="EA50" s="3033"/>
      <c r="EB50" s="3033"/>
      <c r="EC50" s="3033"/>
      <c r="ED50" s="3033"/>
      <c r="EE50" s="3033"/>
      <c r="EF50" s="3033"/>
      <c r="EG50" s="3033"/>
      <c r="EH50" s="3033"/>
      <c r="EI50" s="3033"/>
      <c r="EJ50" s="3033"/>
      <c r="EK50" s="3033"/>
      <c r="EL50" s="3033"/>
      <c r="EM50" s="3033"/>
      <c r="EN50" s="3033"/>
      <c r="EO50" s="3033"/>
      <c r="EP50" s="3033"/>
      <c r="EQ50" s="3033"/>
      <c r="ER50" s="3033"/>
      <c r="ES50" s="3033"/>
      <c r="ET50" s="3033"/>
      <c r="EU50" s="3033"/>
      <c r="EV50" s="3033"/>
      <c r="EW50" s="3033"/>
      <c r="EX50" s="3033"/>
      <c r="EY50" s="3033"/>
      <c r="EZ50" s="3033"/>
      <c r="FA50" s="3033"/>
    </row>
    <row r="51" spans="3:157" s="3023" customFormat="1">
      <c r="C51" s="3024"/>
      <c r="D51" s="3024"/>
      <c r="E51" s="3024"/>
      <c r="H51" s="3025"/>
      <c r="I51" s="3025"/>
      <c r="J51" s="3026"/>
      <c r="K51" s="3026"/>
      <c r="M51" s="3027"/>
      <c r="N51" s="3027"/>
      <c r="O51" s="3027"/>
      <c r="P51" s="3027"/>
      <c r="Q51" s="3025"/>
      <c r="R51" s="3025"/>
      <c r="S51" s="3025"/>
      <c r="T51" s="3029"/>
      <c r="W51" s="3030"/>
      <c r="X51" s="3031"/>
      <c r="Y51" s="3030"/>
      <c r="Z51" s="3031"/>
      <c r="AA51" s="3112"/>
      <c r="AB51" s="3032"/>
      <c r="AC51" s="3029"/>
      <c r="AD51" s="3029"/>
      <c r="AE51" s="3130"/>
      <c r="AF51" s="3031"/>
      <c r="AG51" s="3031"/>
      <c r="AH51" s="3025"/>
      <c r="AK51" s="3030"/>
      <c r="AL51" s="3030"/>
      <c r="AM51" s="3030"/>
      <c r="AN51" s="3030"/>
      <c r="AO51" s="3030"/>
      <c r="AP51" s="3030"/>
      <c r="AQ51" s="3030"/>
      <c r="AR51" s="3031"/>
      <c r="AS51" s="3031"/>
      <c r="AT51" s="3030"/>
      <c r="AU51" s="3033"/>
      <c r="AV51" s="3030"/>
      <c r="AW51" s="3030"/>
      <c r="AX51" s="3033"/>
      <c r="AY51" s="3033"/>
      <c r="AZ51" s="3033"/>
      <c r="BA51" s="3033"/>
      <c r="BB51" s="3025"/>
      <c r="BC51" s="3025"/>
      <c r="BD51" s="3032"/>
      <c r="BE51" s="3032"/>
      <c r="BF51" s="3029"/>
      <c r="BG51" s="3029"/>
      <c r="BH51" s="3033"/>
      <c r="BI51" s="3030"/>
      <c r="BJ51" s="3029"/>
      <c r="BK51" s="3029"/>
      <c r="BL51" s="3029"/>
      <c r="BM51" s="3034"/>
      <c r="BN51" s="3034"/>
      <c r="BO51" s="3034"/>
      <c r="BP51" s="3034"/>
      <c r="BQ51" s="3035"/>
      <c r="BR51" s="3035"/>
      <c r="BS51" s="3035"/>
      <c r="BT51" s="3035"/>
      <c r="BU51" s="3033"/>
      <c r="BV51" s="3033"/>
      <c r="BW51" s="3033"/>
      <c r="BX51" s="3033"/>
      <c r="BY51" s="3033"/>
      <c r="BZ51" s="3033"/>
      <c r="CA51" s="3033"/>
      <c r="CB51" s="3033"/>
      <c r="CC51" s="3033"/>
      <c r="CD51" s="3033"/>
      <c r="CE51" s="3033"/>
      <c r="CF51" s="3033"/>
      <c r="CG51" s="3033"/>
      <c r="CH51" s="3033"/>
      <c r="CI51" s="3033"/>
      <c r="CJ51" s="3033"/>
      <c r="CK51" s="3033"/>
      <c r="CL51" s="3033"/>
      <c r="CM51" s="3033"/>
      <c r="CN51" s="3033"/>
      <c r="CO51" s="3033"/>
      <c r="CP51" s="3033"/>
      <c r="CQ51" s="3033"/>
      <c r="CR51" s="3033"/>
      <c r="CS51" s="3033"/>
      <c r="CT51" s="3033"/>
      <c r="CU51" s="3033"/>
      <c r="CV51" s="3033"/>
      <c r="CW51" s="3033"/>
      <c r="CX51" s="3033"/>
      <c r="CY51" s="3033"/>
      <c r="CZ51" s="3033"/>
      <c r="DA51" s="3033"/>
      <c r="DB51" s="3033"/>
      <c r="DC51" s="3033"/>
      <c r="DD51" s="3033"/>
      <c r="DE51" s="3033"/>
      <c r="DF51" s="3033"/>
      <c r="DG51" s="3033"/>
      <c r="DH51" s="3033"/>
      <c r="DI51" s="3036"/>
      <c r="DJ51" s="3036"/>
      <c r="DK51" s="3033"/>
      <c r="DL51" s="3033"/>
      <c r="DM51" s="3033"/>
      <c r="DN51" s="3033"/>
      <c r="DO51" s="3033"/>
      <c r="DP51" s="3033"/>
      <c r="DQ51" s="3033"/>
      <c r="DR51" s="3033"/>
      <c r="DS51" s="3033"/>
      <c r="DT51" s="3033"/>
      <c r="DU51" s="3033"/>
      <c r="DV51" s="3033"/>
      <c r="DW51" s="3033"/>
      <c r="DX51" s="3033"/>
      <c r="DY51" s="3033"/>
      <c r="DZ51" s="3033"/>
      <c r="EA51" s="3033"/>
      <c r="EB51" s="3033"/>
      <c r="EC51" s="3033"/>
      <c r="ED51" s="3033"/>
      <c r="EE51" s="3033"/>
      <c r="EF51" s="3033"/>
      <c r="EG51" s="3033"/>
      <c r="EH51" s="3033"/>
      <c r="EI51" s="3033"/>
      <c r="EJ51" s="3033"/>
      <c r="EK51" s="3033"/>
      <c r="EL51" s="3033"/>
      <c r="EM51" s="3033"/>
      <c r="EN51" s="3033"/>
      <c r="EO51" s="3033"/>
      <c r="EP51" s="3033"/>
      <c r="EQ51" s="3033"/>
      <c r="ER51" s="3033"/>
      <c r="ES51" s="3033"/>
      <c r="ET51" s="3033"/>
      <c r="EU51" s="3033"/>
      <c r="EV51" s="3033"/>
      <c r="EW51" s="3033"/>
      <c r="EX51" s="3033"/>
      <c r="EY51" s="3033"/>
      <c r="EZ51" s="3033"/>
      <c r="FA51" s="3033"/>
    </row>
    <row r="52" spans="3:157" s="3023" customFormat="1">
      <c r="C52" s="3024"/>
      <c r="D52" s="3024"/>
      <c r="E52" s="3024"/>
      <c r="H52" s="3025"/>
      <c r="I52" s="3025"/>
      <c r="J52" s="3026"/>
      <c r="K52" s="3026"/>
      <c r="M52" s="3027"/>
      <c r="N52" s="3027"/>
      <c r="O52" s="3027"/>
      <c r="P52" s="3027"/>
      <c r="Q52" s="3025"/>
      <c r="R52" s="3025"/>
      <c r="S52" s="3025"/>
      <c r="T52" s="3029"/>
      <c r="W52" s="3030"/>
      <c r="X52" s="3031"/>
      <c r="Y52" s="3030"/>
      <c r="Z52" s="3031"/>
      <c r="AA52" s="3112"/>
      <c r="AB52" s="3032"/>
      <c r="AC52" s="3029"/>
      <c r="AD52" s="3029"/>
      <c r="AE52" s="3130"/>
      <c r="AF52" s="3031"/>
      <c r="AG52" s="3031"/>
      <c r="AH52" s="3025"/>
      <c r="AK52" s="3030"/>
      <c r="AL52" s="3030"/>
      <c r="AM52" s="3030"/>
      <c r="AN52" s="3030"/>
      <c r="AO52" s="3030"/>
      <c r="AP52" s="3030"/>
      <c r="AQ52" s="3030"/>
      <c r="AR52" s="3031"/>
      <c r="AS52" s="3031"/>
      <c r="AT52" s="3030"/>
      <c r="AU52" s="3033"/>
      <c r="AV52" s="3030"/>
      <c r="AW52" s="3030"/>
      <c r="AX52" s="3033"/>
      <c r="AY52" s="3033"/>
      <c r="AZ52" s="3033"/>
      <c r="BA52" s="3033"/>
      <c r="BB52" s="3025"/>
      <c r="BC52" s="3025"/>
      <c r="BD52" s="3032"/>
      <c r="BE52" s="3032"/>
      <c r="BF52" s="3029"/>
      <c r="BG52" s="3029"/>
      <c r="BH52" s="3033"/>
      <c r="BI52" s="3030"/>
      <c r="BJ52" s="3029"/>
      <c r="BK52" s="3029"/>
      <c r="BL52" s="3029"/>
      <c r="BM52" s="3034"/>
      <c r="BN52" s="3034"/>
      <c r="BO52" s="3034"/>
      <c r="BP52" s="3034"/>
      <c r="BQ52" s="3035"/>
      <c r="BR52" s="3035"/>
      <c r="BS52" s="3035"/>
      <c r="BT52" s="3035"/>
      <c r="BU52" s="3033"/>
      <c r="BV52" s="3033"/>
      <c r="BW52" s="3033"/>
      <c r="BX52" s="3033"/>
      <c r="BY52" s="3033"/>
      <c r="BZ52" s="3033"/>
      <c r="CA52" s="3033"/>
      <c r="CB52" s="3033"/>
      <c r="CC52" s="3033"/>
      <c r="CD52" s="3033"/>
      <c r="CE52" s="3033"/>
      <c r="CF52" s="3033"/>
      <c r="CG52" s="3033"/>
      <c r="CH52" s="3033"/>
      <c r="CI52" s="3033"/>
      <c r="CJ52" s="3033"/>
      <c r="CK52" s="3033"/>
      <c r="CL52" s="3033"/>
      <c r="CM52" s="3033"/>
      <c r="CN52" s="3033"/>
      <c r="CO52" s="3033"/>
      <c r="CP52" s="3033"/>
      <c r="CQ52" s="3033"/>
      <c r="CR52" s="3033"/>
      <c r="CS52" s="3033"/>
      <c r="CT52" s="3033"/>
      <c r="CU52" s="3033"/>
      <c r="CV52" s="3033"/>
      <c r="CW52" s="3033"/>
      <c r="CX52" s="3033"/>
      <c r="CY52" s="3033"/>
      <c r="CZ52" s="3033"/>
      <c r="DA52" s="3033"/>
      <c r="DB52" s="3033"/>
      <c r="DC52" s="3033"/>
      <c r="DD52" s="3033"/>
      <c r="DE52" s="3033"/>
      <c r="DF52" s="3033"/>
      <c r="DG52" s="3033"/>
      <c r="DH52" s="3033"/>
      <c r="DI52" s="3036"/>
      <c r="DJ52" s="3036"/>
      <c r="DK52" s="3033"/>
      <c r="DL52" s="3033"/>
      <c r="DM52" s="3033"/>
      <c r="DN52" s="3033"/>
      <c r="DO52" s="3033"/>
      <c r="DP52" s="3033"/>
      <c r="DQ52" s="3033"/>
      <c r="DR52" s="3033"/>
      <c r="DS52" s="3033"/>
      <c r="DT52" s="3033"/>
      <c r="DU52" s="3033"/>
      <c r="DV52" s="3033"/>
      <c r="DW52" s="3033"/>
      <c r="DX52" s="3033"/>
      <c r="DY52" s="3033"/>
      <c r="DZ52" s="3033"/>
      <c r="EA52" s="3033"/>
      <c r="EB52" s="3033"/>
      <c r="EC52" s="3033"/>
      <c r="ED52" s="3033"/>
      <c r="EE52" s="3033"/>
      <c r="EF52" s="3033"/>
      <c r="EG52" s="3033"/>
      <c r="EH52" s="3033"/>
      <c r="EI52" s="3033"/>
      <c r="EJ52" s="3033"/>
      <c r="EK52" s="3033"/>
      <c r="EL52" s="3033"/>
      <c r="EM52" s="3033"/>
      <c r="EN52" s="3033"/>
      <c r="EO52" s="3033"/>
      <c r="EP52" s="3033"/>
      <c r="EQ52" s="3033"/>
      <c r="ER52" s="3033"/>
      <c r="ES52" s="3033"/>
      <c r="ET52" s="3033"/>
      <c r="EU52" s="3033"/>
      <c r="EV52" s="3033"/>
      <c r="EW52" s="3033"/>
      <c r="EX52" s="3033"/>
      <c r="EY52" s="3033"/>
      <c r="EZ52" s="3033"/>
      <c r="FA52" s="3033"/>
    </row>
    <row r="53" spans="3:157" s="3023" customFormat="1">
      <c r="C53" s="3024"/>
      <c r="D53" s="3024"/>
      <c r="E53" s="3024"/>
      <c r="H53" s="3025"/>
      <c r="I53" s="3025"/>
      <c r="J53" s="3026"/>
      <c r="K53" s="3026"/>
      <c r="M53" s="3027"/>
      <c r="N53" s="3027"/>
      <c r="O53" s="3027"/>
      <c r="P53" s="3027"/>
      <c r="Q53" s="3025"/>
      <c r="R53" s="3025"/>
      <c r="S53" s="3025"/>
      <c r="T53" s="3029"/>
      <c r="W53" s="3030"/>
      <c r="X53" s="3031"/>
      <c r="Y53" s="3030"/>
      <c r="Z53" s="3031"/>
      <c r="AA53" s="3112"/>
      <c r="AB53" s="3032"/>
      <c r="AC53" s="3029"/>
      <c r="AD53" s="3029"/>
      <c r="AE53" s="3130"/>
      <c r="AF53" s="3031"/>
      <c r="AG53" s="3031"/>
      <c r="AH53" s="3025"/>
      <c r="AK53" s="3030"/>
      <c r="AL53" s="3030"/>
      <c r="AM53" s="3030"/>
      <c r="AN53" s="3030"/>
      <c r="AO53" s="3030"/>
      <c r="AP53" s="3030"/>
      <c r="AQ53" s="3030"/>
      <c r="AR53" s="3031"/>
      <c r="AS53" s="3031"/>
      <c r="AT53" s="3030"/>
      <c r="AU53" s="3033"/>
      <c r="AV53" s="3030"/>
      <c r="AW53" s="3030"/>
      <c r="AX53" s="3033"/>
      <c r="AY53" s="3033"/>
      <c r="AZ53" s="3033"/>
      <c r="BA53" s="3033"/>
      <c r="BB53" s="3025"/>
      <c r="BC53" s="3025"/>
      <c r="BD53" s="3032"/>
      <c r="BE53" s="3032"/>
      <c r="BF53" s="3029"/>
      <c r="BG53" s="3029"/>
      <c r="BH53" s="3033"/>
      <c r="BI53" s="3030"/>
      <c r="BJ53" s="3029"/>
      <c r="BK53" s="3029"/>
      <c r="BL53" s="3029"/>
      <c r="BM53" s="3034"/>
      <c r="BN53" s="3034"/>
      <c r="BO53" s="3034"/>
      <c r="BP53" s="3034"/>
      <c r="BQ53" s="3035"/>
      <c r="BR53" s="3035"/>
      <c r="BS53" s="3035"/>
      <c r="BT53" s="3035"/>
      <c r="BU53" s="3033"/>
      <c r="BV53" s="3033"/>
      <c r="BW53" s="3033"/>
      <c r="BX53" s="3033"/>
      <c r="BY53" s="3033"/>
      <c r="BZ53" s="3033"/>
      <c r="CA53" s="3033"/>
      <c r="CB53" s="3033"/>
      <c r="CC53" s="3033"/>
      <c r="CD53" s="3033"/>
      <c r="CE53" s="3033"/>
      <c r="CF53" s="3033"/>
      <c r="CG53" s="3033"/>
      <c r="CH53" s="3033"/>
      <c r="CI53" s="3033"/>
      <c r="CJ53" s="3033"/>
      <c r="CK53" s="3033"/>
      <c r="CL53" s="3033"/>
      <c r="CM53" s="3033"/>
      <c r="CN53" s="3033"/>
      <c r="CO53" s="3033"/>
      <c r="CP53" s="3033"/>
      <c r="CQ53" s="3033"/>
      <c r="CR53" s="3033"/>
      <c r="CS53" s="3033"/>
      <c r="CT53" s="3033"/>
      <c r="CU53" s="3033"/>
      <c r="CV53" s="3033"/>
      <c r="CW53" s="3033"/>
      <c r="CX53" s="3033"/>
      <c r="CY53" s="3033"/>
      <c r="CZ53" s="3033"/>
      <c r="DA53" s="3033"/>
      <c r="DB53" s="3033"/>
      <c r="DC53" s="3033"/>
      <c r="DD53" s="3033"/>
      <c r="DE53" s="3033"/>
      <c r="DF53" s="3033"/>
      <c r="DG53" s="3033"/>
      <c r="DH53" s="3033"/>
      <c r="DI53" s="3036"/>
      <c r="DJ53" s="3036"/>
      <c r="DK53" s="3033"/>
      <c r="DL53" s="3033"/>
      <c r="DM53" s="3033"/>
      <c r="DN53" s="3033"/>
      <c r="DO53" s="3033"/>
      <c r="DP53" s="3033"/>
      <c r="DQ53" s="3033"/>
      <c r="DR53" s="3033"/>
      <c r="DS53" s="3033"/>
      <c r="DT53" s="3033"/>
      <c r="DU53" s="3033"/>
      <c r="DV53" s="3033"/>
      <c r="DW53" s="3033"/>
      <c r="DX53" s="3033"/>
      <c r="DY53" s="3033"/>
      <c r="DZ53" s="3033"/>
      <c r="EA53" s="3033"/>
      <c r="EB53" s="3033"/>
      <c r="EC53" s="3033"/>
      <c r="ED53" s="3033"/>
      <c r="EE53" s="3033"/>
      <c r="EF53" s="3033"/>
      <c r="EG53" s="3033"/>
      <c r="EH53" s="3033"/>
      <c r="EI53" s="3033"/>
      <c r="EJ53" s="3033"/>
      <c r="EK53" s="3033"/>
      <c r="EL53" s="3033"/>
      <c r="EM53" s="3033"/>
      <c r="EN53" s="3033"/>
      <c r="EO53" s="3033"/>
      <c r="EP53" s="3033"/>
      <c r="EQ53" s="3033"/>
      <c r="ER53" s="3033"/>
      <c r="ES53" s="3033"/>
      <c r="ET53" s="3033"/>
      <c r="EU53" s="3033"/>
      <c r="EV53" s="3033"/>
      <c r="EW53" s="3033"/>
      <c r="EX53" s="3033"/>
      <c r="EY53" s="3033"/>
      <c r="EZ53" s="3033"/>
      <c r="FA53" s="3033"/>
    </row>
    <row r="54" spans="3:157" s="3023" customFormat="1">
      <c r="C54" s="3024"/>
      <c r="D54" s="3024"/>
      <c r="E54" s="3024"/>
      <c r="H54" s="3025"/>
      <c r="I54" s="3025"/>
      <c r="J54" s="3026"/>
      <c r="K54" s="3026"/>
      <c r="M54" s="3027"/>
      <c r="N54" s="3027"/>
      <c r="O54" s="3027"/>
      <c r="P54" s="3027"/>
      <c r="Q54" s="3025"/>
      <c r="R54" s="3025"/>
      <c r="S54" s="3025"/>
      <c r="T54" s="3029"/>
      <c r="W54" s="3030"/>
      <c r="X54" s="3031"/>
      <c r="Y54" s="3030"/>
      <c r="Z54" s="3031"/>
      <c r="AA54" s="3112"/>
      <c r="AB54" s="3032"/>
      <c r="AC54" s="3029"/>
      <c r="AD54" s="3029"/>
      <c r="AE54" s="3130"/>
      <c r="AF54" s="3031"/>
      <c r="AG54" s="3031"/>
      <c r="AH54" s="3025"/>
      <c r="AK54" s="3030"/>
      <c r="AL54" s="3030"/>
      <c r="AM54" s="3030"/>
      <c r="AN54" s="3030"/>
      <c r="AO54" s="3030"/>
      <c r="AP54" s="3030"/>
      <c r="AQ54" s="3030"/>
      <c r="AR54" s="3031"/>
      <c r="AS54" s="3031"/>
      <c r="AT54" s="3030"/>
      <c r="AU54" s="3033"/>
      <c r="AV54" s="3030"/>
      <c r="AW54" s="3030"/>
      <c r="AX54" s="3033"/>
      <c r="AY54" s="3033"/>
      <c r="AZ54" s="3033"/>
      <c r="BA54" s="3033"/>
      <c r="BB54" s="3025"/>
      <c r="BC54" s="3025"/>
      <c r="BD54" s="3032"/>
      <c r="BE54" s="3032"/>
      <c r="BF54" s="3029"/>
      <c r="BG54" s="3029"/>
      <c r="BH54" s="3033"/>
      <c r="BI54" s="3030"/>
      <c r="BJ54" s="3029"/>
      <c r="BK54" s="3029"/>
      <c r="BL54" s="3029"/>
      <c r="BM54" s="3034"/>
      <c r="BN54" s="3034"/>
      <c r="BO54" s="3034"/>
      <c r="BP54" s="3034"/>
      <c r="BQ54" s="3035"/>
      <c r="BR54" s="3035"/>
      <c r="BS54" s="3035"/>
      <c r="BT54" s="3035"/>
      <c r="BU54" s="3033"/>
      <c r="BV54" s="3033"/>
      <c r="BW54" s="3033"/>
      <c r="BX54" s="3033"/>
      <c r="BY54" s="3033"/>
      <c r="BZ54" s="3033"/>
      <c r="CA54" s="3033"/>
      <c r="CB54" s="3033"/>
      <c r="CC54" s="3033"/>
      <c r="CD54" s="3033"/>
      <c r="CE54" s="3033"/>
      <c r="CF54" s="3033"/>
      <c r="CG54" s="3033"/>
      <c r="CH54" s="3033"/>
      <c r="CI54" s="3033"/>
      <c r="CJ54" s="3033"/>
      <c r="CK54" s="3033"/>
      <c r="CL54" s="3033"/>
      <c r="CM54" s="3033"/>
      <c r="CN54" s="3033"/>
      <c r="CO54" s="3033"/>
      <c r="CP54" s="3033"/>
      <c r="CQ54" s="3033"/>
      <c r="CR54" s="3033"/>
      <c r="CS54" s="3033"/>
      <c r="CT54" s="3033"/>
      <c r="CU54" s="3033"/>
      <c r="CV54" s="3033"/>
      <c r="CW54" s="3033"/>
      <c r="CX54" s="3033"/>
      <c r="CY54" s="3033"/>
      <c r="CZ54" s="3033"/>
      <c r="DA54" s="3033"/>
      <c r="DB54" s="3033"/>
      <c r="DC54" s="3033"/>
      <c r="DD54" s="3033"/>
      <c r="DE54" s="3033"/>
      <c r="DF54" s="3033"/>
      <c r="DG54" s="3033"/>
      <c r="DH54" s="3033"/>
      <c r="DI54" s="3036"/>
      <c r="DJ54" s="3036"/>
      <c r="DK54" s="3033"/>
      <c r="DL54" s="3033"/>
      <c r="DM54" s="3033"/>
      <c r="DN54" s="3033"/>
      <c r="DO54" s="3033"/>
      <c r="DP54" s="3033"/>
      <c r="DQ54" s="3033"/>
      <c r="DR54" s="3033"/>
      <c r="DS54" s="3033"/>
      <c r="DT54" s="3033"/>
      <c r="DU54" s="3033"/>
      <c r="DV54" s="3033"/>
      <c r="DW54" s="3033"/>
      <c r="DX54" s="3033"/>
      <c r="DY54" s="3033"/>
      <c r="DZ54" s="3033"/>
      <c r="EA54" s="3033"/>
      <c r="EB54" s="3033"/>
      <c r="EC54" s="3033"/>
      <c r="ED54" s="3033"/>
      <c r="EE54" s="3033"/>
      <c r="EF54" s="3033"/>
      <c r="EG54" s="3033"/>
      <c r="EH54" s="3033"/>
      <c r="EI54" s="3033"/>
      <c r="EJ54" s="3033"/>
      <c r="EK54" s="3033"/>
      <c r="EL54" s="3033"/>
      <c r="EM54" s="3033"/>
      <c r="EN54" s="3033"/>
      <c r="EO54" s="3033"/>
      <c r="EP54" s="3033"/>
      <c r="EQ54" s="3033"/>
      <c r="ER54" s="3033"/>
      <c r="ES54" s="3033"/>
      <c r="ET54" s="3033"/>
      <c r="EU54" s="3033"/>
      <c r="EV54" s="3033"/>
      <c r="EW54" s="3033"/>
      <c r="EX54" s="3033"/>
      <c r="EY54" s="3033"/>
      <c r="EZ54" s="3033"/>
      <c r="FA54" s="3033"/>
    </row>
    <row r="55" spans="3:157" s="3023" customFormat="1">
      <c r="C55" s="3024"/>
      <c r="D55" s="3024"/>
      <c r="E55" s="3024"/>
      <c r="H55" s="3025"/>
      <c r="I55" s="3025"/>
      <c r="J55" s="3026"/>
      <c r="K55" s="3026"/>
      <c r="M55" s="3027"/>
      <c r="N55" s="3027"/>
      <c r="O55" s="3027"/>
      <c r="P55" s="3027"/>
      <c r="Q55" s="3025"/>
      <c r="R55" s="3025"/>
      <c r="S55" s="3025"/>
      <c r="T55" s="3029"/>
      <c r="W55" s="3030"/>
      <c r="X55" s="3031"/>
      <c r="Y55" s="3030"/>
      <c r="Z55" s="3031"/>
      <c r="AA55" s="3112"/>
      <c r="AB55" s="3032"/>
      <c r="AC55" s="3029"/>
      <c r="AD55" s="3029"/>
      <c r="AE55" s="3130"/>
      <c r="AF55" s="3031"/>
      <c r="AG55" s="3031"/>
      <c r="AH55" s="3025"/>
      <c r="AK55" s="3030"/>
      <c r="AL55" s="3030"/>
      <c r="AM55" s="3030"/>
      <c r="AN55" s="3030"/>
      <c r="AO55" s="3030"/>
      <c r="AP55" s="3030"/>
      <c r="AQ55" s="3030"/>
      <c r="AR55" s="3031"/>
      <c r="AS55" s="3031"/>
      <c r="AT55" s="3030"/>
      <c r="AU55" s="3033"/>
      <c r="AV55" s="3030"/>
      <c r="AW55" s="3030"/>
      <c r="AX55" s="3033"/>
      <c r="AY55" s="3033"/>
      <c r="AZ55" s="3033"/>
      <c r="BA55" s="3033"/>
      <c r="BB55" s="3025"/>
      <c r="BC55" s="3025"/>
      <c r="BD55" s="3032"/>
      <c r="BE55" s="3032"/>
      <c r="BF55" s="3029"/>
      <c r="BG55" s="3029"/>
      <c r="BH55" s="3033"/>
      <c r="BI55" s="3030"/>
      <c r="BJ55" s="3029"/>
      <c r="BK55" s="3029"/>
      <c r="BL55" s="3029"/>
      <c r="BM55" s="3034"/>
      <c r="BN55" s="3034"/>
      <c r="BO55" s="3034"/>
      <c r="BP55" s="3034"/>
      <c r="BQ55" s="3035"/>
      <c r="BR55" s="3035"/>
      <c r="BS55" s="3035"/>
      <c r="BT55" s="3035"/>
      <c r="BU55" s="3033"/>
      <c r="BV55" s="3033"/>
      <c r="BW55" s="3033"/>
      <c r="BX55" s="3033"/>
      <c r="BY55" s="3033"/>
      <c r="BZ55" s="3033"/>
      <c r="CA55" s="3033"/>
      <c r="CB55" s="3033"/>
      <c r="CC55" s="3033"/>
      <c r="CD55" s="3033"/>
      <c r="CE55" s="3033"/>
      <c r="CF55" s="3033"/>
      <c r="CG55" s="3033"/>
      <c r="CH55" s="3033"/>
      <c r="CI55" s="3033"/>
      <c r="CJ55" s="3033"/>
      <c r="CK55" s="3033"/>
      <c r="CL55" s="3033"/>
      <c r="CM55" s="3033"/>
      <c r="CN55" s="3033"/>
      <c r="CO55" s="3033"/>
      <c r="CP55" s="3033"/>
      <c r="CQ55" s="3033"/>
      <c r="CR55" s="3033"/>
      <c r="CS55" s="3033"/>
      <c r="CT55" s="3033"/>
      <c r="CU55" s="3033"/>
      <c r="CV55" s="3033"/>
      <c r="CW55" s="3033"/>
      <c r="CX55" s="3033"/>
      <c r="CY55" s="3033"/>
      <c r="CZ55" s="3033"/>
      <c r="DA55" s="3033"/>
      <c r="DB55" s="3033"/>
      <c r="DC55" s="3033"/>
      <c r="DD55" s="3033"/>
      <c r="DE55" s="3033"/>
      <c r="DF55" s="3033"/>
      <c r="DG55" s="3033"/>
      <c r="DH55" s="3033"/>
      <c r="DI55" s="3036"/>
      <c r="DJ55" s="3036"/>
      <c r="DK55" s="3033"/>
      <c r="DL55" s="3033"/>
      <c r="DM55" s="3033"/>
      <c r="DN55" s="3033"/>
      <c r="DO55" s="3033"/>
      <c r="DP55" s="3033"/>
      <c r="DQ55" s="3033"/>
      <c r="DR55" s="3033"/>
      <c r="DS55" s="3033"/>
      <c r="DT55" s="3033"/>
      <c r="DU55" s="3033"/>
      <c r="DV55" s="3033"/>
      <c r="DW55" s="3033"/>
      <c r="DX55" s="3033"/>
      <c r="DY55" s="3033"/>
      <c r="DZ55" s="3033"/>
      <c r="EA55" s="3033"/>
      <c r="EB55" s="3033"/>
      <c r="EC55" s="3033"/>
      <c r="ED55" s="3033"/>
      <c r="EE55" s="3033"/>
      <c r="EF55" s="3033"/>
      <c r="EG55" s="3033"/>
      <c r="EH55" s="3033"/>
      <c r="EI55" s="3033"/>
      <c r="EJ55" s="3033"/>
      <c r="EK55" s="3033"/>
      <c r="EL55" s="3033"/>
      <c r="EM55" s="3033"/>
      <c r="EN55" s="3033"/>
      <c r="EO55" s="3033"/>
      <c r="EP55" s="3033"/>
      <c r="EQ55" s="3033"/>
      <c r="ER55" s="3033"/>
      <c r="ES55" s="3033"/>
      <c r="ET55" s="3033"/>
      <c r="EU55" s="3033"/>
      <c r="EV55" s="3033"/>
      <c r="EW55" s="3033"/>
      <c r="EX55" s="3033"/>
      <c r="EY55" s="3033"/>
      <c r="EZ55" s="3033"/>
      <c r="FA55" s="3033"/>
    </row>
    <row r="56" spans="3:157" s="3023" customFormat="1">
      <c r="C56" s="3024"/>
      <c r="D56" s="3024"/>
      <c r="E56" s="3024"/>
      <c r="H56" s="3025"/>
      <c r="I56" s="3025"/>
      <c r="J56" s="3026"/>
      <c r="K56" s="3026"/>
      <c r="M56" s="3027"/>
      <c r="N56" s="3027"/>
      <c r="O56" s="3027"/>
      <c r="P56" s="3027"/>
      <c r="Q56" s="3025"/>
      <c r="R56" s="3025"/>
      <c r="S56" s="3025"/>
      <c r="T56" s="3029"/>
      <c r="W56" s="3030"/>
      <c r="X56" s="3031"/>
      <c r="Y56" s="3030"/>
      <c r="Z56" s="3031"/>
      <c r="AA56" s="3112"/>
      <c r="AB56" s="3032"/>
      <c r="AC56" s="3029"/>
      <c r="AD56" s="3029"/>
      <c r="AE56" s="3130"/>
      <c r="AF56" s="3031"/>
      <c r="AG56" s="3031"/>
      <c r="AH56" s="3025"/>
      <c r="AK56" s="3030"/>
      <c r="AL56" s="3030"/>
      <c r="AM56" s="3030"/>
      <c r="AN56" s="3030"/>
      <c r="AO56" s="3030"/>
      <c r="AP56" s="3030"/>
      <c r="AQ56" s="3030"/>
      <c r="AR56" s="3031"/>
      <c r="AS56" s="3031"/>
      <c r="AT56" s="3030"/>
      <c r="AU56" s="3033"/>
      <c r="AV56" s="3030"/>
      <c r="AW56" s="3030"/>
      <c r="AX56" s="3033"/>
      <c r="AY56" s="3033"/>
      <c r="AZ56" s="3033"/>
      <c r="BA56" s="3033"/>
      <c r="BB56" s="3025"/>
      <c r="BC56" s="3025"/>
      <c r="BD56" s="3032"/>
      <c r="BE56" s="3032"/>
      <c r="BF56" s="3029"/>
      <c r="BG56" s="3029"/>
      <c r="BH56" s="3033"/>
      <c r="BI56" s="3030"/>
      <c r="BJ56" s="3029"/>
      <c r="BK56" s="3029"/>
      <c r="BL56" s="3029"/>
      <c r="BM56" s="3034"/>
      <c r="BN56" s="3034"/>
      <c r="BO56" s="3034"/>
      <c r="BP56" s="3034"/>
      <c r="BQ56" s="3035"/>
      <c r="BR56" s="3035"/>
      <c r="BS56" s="3035"/>
      <c r="BT56" s="3035"/>
      <c r="BU56" s="3033"/>
      <c r="BV56" s="3033"/>
      <c r="BW56" s="3033"/>
      <c r="BX56" s="3033"/>
      <c r="BY56" s="3033"/>
      <c r="BZ56" s="3033"/>
      <c r="CA56" s="3033"/>
      <c r="CB56" s="3033"/>
      <c r="CC56" s="3033"/>
      <c r="CD56" s="3033"/>
      <c r="CE56" s="3033"/>
      <c r="CF56" s="3033"/>
      <c r="CG56" s="3033"/>
      <c r="CH56" s="3033"/>
      <c r="CI56" s="3033"/>
      <c r="CJ56" s="3033"/>
      <c r="CK56" s="3033"/>
      <c r="CL56" s="3033"/>
      <c r="CM56" s="3033"/>
      <c r="CN56" s="3033"/>
      <c r="CO56" s="3033"/>
      <c r="CP56" s="3033"/>
      <c r="CQ56" s="3033"/>
      <c r="CR56" s="3033"/>
      <c r="CS56" s="3033"/>
      <c r="CT56" s="3033"/>
      <c r="CU56" s="3033"/>
      <c r="CV56" s="3033"/>
      <c r="CW56" s="3033"/>
      <c r="CX56" s="3033"/>
      <c r="CY56" s="3033"/>
      <c r="CZ56" s="3033"/>
      <c r="DA56" s="3033"/>
      <c r="DB56" s="3033"/>
      <c r="DC56" s="3033"/>
      <c r="DD56" s="3033"/>
      <c r="DE56" s="3033"/>
      <c r="DF56" s="3033"/>
      <c r="DG56" s="3033"/>
      <c r="DH56" s="3033"/>
      <c r="DI56" s="3036"/>
      <c r="DJ56" s="3036"/>
      <c r="DK56" s="3033"/>
      <c r="DL56" s="3033"/>
      <c r="DM56" s="3033"/>
      <c r="DN56" s="3033"/>
      <c r="DO56" s="3033"/>
      <c r="DP56" s="3033"/>
      <c r="DQ56" s="3033"/>
      <c r="DR56" s="3033"/>
      <c r="DS56" s="3033"/>
      <c r="DT56" s="3033"/>
      <c r="DU56" s="3033"/>
      <c r="DV56" s="3033"/>
      <c r="DW56" s="3033"/>
      <c r="DX56" s="3033"/>
      <c r="DY56" s="3033"/>
      <c r="DZ56" s="3033"/>
      <c r="EA56" s="3033"/>
      <c r="EB56" s="3033"/>
      <c r="EC56" s="3033"/>
      <c r="ED56" s="3033"/>
      <c r="EE56" s="3033"/>
      <c r="EF56" s="3033"/>
      <c r="EG56" s="3033"/>
      <c r="EH56" s="3033"/>
      <c r="EI56" s="3033"/>
      <c r="EJ56" s="3033"/>
      <c r="EK56" s="3033"/>
      <c r="EL56" s="3033"/>
      <c r="EM56" s="3033"/>
      <c r="EN56" s="3033"/>
      <c r="EO56" s="3033"/>
      <c r="EP56" s="3033"/>
      <c r="EQ56" s="3033"/>
      <c r="ER56" s="3033"/>
      <c r="ES56" s="3033"/>
      <c r="ET56" s="3033"/>
      <c r="EU56" s="3033"/>
      <c r="EV56" s="3033"/>
      <c r="EW56" s="3033"/>
      <c r="EX56" s="3033"/>
      <c r="EY56" s="3033"/>
      <c r="EZ56" s="3033"/>
      <c r="FA56" s="3033"/>
    </row>
    <row r="57" spans="3:157" s="3023" customFormat="1">
      <c r="C57" s="3024"/>
      <c r="D57" s="3024"/>
      <c r="E57" s="3024"/>
      <c r="H57" s="3025"/>
      <c r="I57" s="3025"/>
      <c r="J57" s="3026"/>
      <c r="K57" s="3026"/>
      <c r="M57" s="3027"/>
      <c r="N57" s="3027"/>
      <c r="O57" s="3027"/>
      <c r="P57" s="3027"/>
      <c r="Q57" s="3025"/>
      <c r="R57" s="3025"/>
      <c r="S57" s="3025"/>
      <c r="T57" s="3029"/>
      <c r="W57" s="3030"/>
      <c r="X57" s="3031"/>
      <c r="Y57" s="3030"/>
      <c r="Z57" s="3031"/>
      <c r="AA57" s="3112"/>
      <c r="AB57" s="3032"/>
      <c r="AC57" s="3029"/>
      <c r="AD57" s="3029"/>
      <c r="AE57" s="3130"/>
      <c r="AF57" s="3031"/>
      <c r="AG57" s="3031"/>
      <c r="AH57" s="3025"/>
      <c r="AK57" s="3030"/>
      <c r="AL57" s="3030"/>
      <c r="AM57" s="3030"/>
      <c r="AN57" s="3030"/>
      <c r="AO57" s="3030"/>
      <c r="AP57" s="3030"/>
      <c r="AQ57" s="3030"/>
      <c r="AR57" s="3031"/>
      <c r="AS57" s="3031"/>
      <c r="AT57" s="3030"/>
      <c r="AU57" s="3033"/>
      <c r="AV57" s="3030"/>
      <c r="AW57" s="3030"/>
      <c r="AX57" s="3033"/>
      <c r="AY57" s="3033"/>
      <c r="AZ57" s="3033"/>
      <c r="BA57" s="3033"/>
      <c r="BB57" s="3025"/>
      <c r="BC57" s="3025"/>
      <c r="BD57" s="3032"/>
      <c r="BE57" s="3032"/>
      <c r="BF57" s="3029"/>
      <c r="BG57" s="3029"/>
      <c r="BH57" s="3033"/>
      <c r="BI57" s="3030"/>
      <c r="BJ57" s="3029"/>
      <c r="BK57" s="3029"/>
      <c r="BL57" s="3029"/>
      <c r="BM57" s="3034"/>
      <c r="BN57" s="3034"/>
      <c r="BO57" s="3034"/>
      <c r="BP57" s="3034"/>
      <c r="BQ57" s="3035"/>
      <c r="BR57" s="3035"/>
      <c r="BS57" s="3035"/>
      <c r="BT57" s="3035"/>
      <c r="BU57" s="3033"/>
      <c r="BV57" s="3033"/>
      <c r="BW57" s="3033"/>
      <c r="BX57" s="3033"/>
      <c r="BY57" s="3033"/>
      <c r="BZ57" s="3033"/>
      <c r="CA57" s="3033"/>
      <c r="CB57" s="3033"/>
      <c r="CC57" s="3033"/>
      <c r="CD57" s="3033"/>
      <c r="CE57" s="3033"/>
      <c r="CF57" s="3033"/>
      <c r="CG57" s="3033"/>
      <c r="CH57" s="3033"/>
      <c r="CI57" s="3033"/>
      <c r="CJ57" s="3033"/>
      <c r="CK57" s="3033"/>
      <c r="CL57" s="3033"/>
      <c r="CM57" s="3033"/>
      <c r="CN57" s="3033"/>
      <c r="CO57" s="3033"/>
      <c r="CP57" s="3033"/>
      <c r="CQ57" s="3033"/>
      <c r="CR57" s="3033"/>
      <c r="CS57" s="3033"/>
      <c r="CT57" s="3033"/>
      <c r="CU57" s="3033"/>
      <c r="CV57" s="3033"/>
      <c r="CW57" s="3033"/>
      <c r="CX57" s="3033"/>
      <c r="CY57" s="3033"/>
      <c r="CZ57" s="3033"/>
      <c r="DA57" s="3033"/>
      <c r="DB57" s="3033"/>
      <c r="DC57" s="3033"/>
      <c r="DD57" s="3033"/>
      <c r="DE57" s="3033"/>
      <c r="DF57" s="3033"/>
      <c r="DG57" s="3033"/>
      <c r="DH57" s="3033"/>
      <c r="DI57" s="3036"/>
      <c r="DJ57" s="3036"/>
      <c r="DK57" s="3033"/>
      <c r="DL57" s="3033"/>
      <c r="DM57" s="3033"/>
      <c r="DN57" s="3033"/>
      <c r="DO57" s="3033"/>
      <c r="DP57" s="3033"/>
      <c r="DQ57" s="3033"/>
      <c r="DR57" s="3033"/>
      <c r="DS57" s="3033"/>
      <c r="DT57" s="3033"/>
      <c r="DU57" s="3033"/>
      <c r="DV57" s="3033"/>
      <c r="DW57" s="3033"/>
      <c r="DX57" s="3033"/>
      <c r="DY57" s="3033"/>
      <c r="DZ57" s="3033"/>
      <c r="EA57" s="3033"/>
      <c r="EB57" s="3033"/>
      <c r="EC57" s="3033"/>
      <c r="ED57" s="3033"/>
      <c r="EE57" s="3033"/>
      <c r="EF57" s="3033"/>
      <c r="EG57" s="3033"/>
      <c r="EH57" s="3033"/>
      <c r="EI57" s="3033"/>
      <c r="EJ57" s="3033"/>
      <c r="EK57" s="3033"/>
      <c r="EL57" s="3033"/>
      <c r="EM57" s="3033"/>
      <c r="EN57" s="3033"/>
      <c r="EO57" s="3033"/>
      <c r="EP57" s="3033"/>
      <c r="EQ57" s="3033"/>
      <c r="ER57" s="3033"/>
      <c r="ES57" s="3033"/>
      <c r="ET57" s="3033"/>
      <c r="EU57" s="3033"/>
      <c r="EV57" s="3033"/>
      <c r="EW57" s="3033"/>
      <c r="EX57" s="3033"/>
      <c r="EY57" s="3033"/>
      <c r="EZ57" s="3033"/>
      <c r="FA57" s="3033"/>
    </row>
    <row r="58" spans="3:157" s="3023" customFormat="1">
      <c r="C58" s="3024"/>
      <c r="D58" s="3024"/>
      <c r="E58" s="3024"/>
      <c r="H58" s="3025"/>
      <c r="I58" s="3025"/>
      <c r="J58" s="3026"/>
      <c r="K58" s="3026"/>
      <c r="M58" s="3027"/>
      <c r="N58" s="3027"/>
      <c r="O58" s="3027"/>
      <c r="P58" s="3027"/>
      <c r="Q58" s="3025"/>
      <c r="R58" s="3025"/>
      <c r="S58" s="3025"/>
      <c r="T58" s="3029"/>
      <c r="W58" s="3030"/>
      <c r="X58" s="3031"/>
      <c r="Y58" s="3030"/>
      <c r="Z58" s="3031"/>
      <c r="AA58" s="3112"/>
      <c r="AB58" s="3032"/>
      <c r="AC58" s="3029"/>
      <c r="AD58" s="3029"/>
      <c r="AE58" s="3130"/>
      <c r="AF58" s="3031"/>
      <c r="AG58" s="3031"/>
      <c r="AH58" s="3025"/>
      <c r="AK58" s="3030"/>
      <c r="AL58" s="3030"/>
      <c r="AM58" s="3030"/>
      <c r="AN58" s="3030"/>
      <c r="AO58" s="3030"/>
      <c r="AP58" s="3030"/>
      <c r="AQ58" s="3030"/>
      <c r="AR58" s="3031"/>
      <c r="AS58" s="3031"/>
      <c r="AT58" s="3030"/>
      <c r="AU58" s="3033"/>
      <c r="AV58" s="3030"/>
      <c r="AW58" s="3030"/>
      <c r="AX58" s="3033"/>
      <c r="AY58" s="3033"/>
      <c r="AZ58" s="3033"/>
      <c r="BA58" s="3033"/>
      <c r="BB58" s="3025"/>
      <c r="BC58" s="3025"/>
      <c r="BD58" s="3032"/>
      <c r="BE58" s="3032"/>
      <c r="BF58" s="3029"/>
      <c r="BG58" s="3029"/>
      <c r="BH58" s="3033"/>
      <c r="BI58" s="3030"/>
      <c r="BJ58" s="3029"/>
      <c r="BK58" s="3029"/>
      <c r="BL58" s="3029"/>
      <c r="BM58" s="3034"/>
      <c r="BN58" s="3034"/>
      <c r="BO58" s="3034"/>
      <c r="BP58" s="3034"/>
      <c r="BQ58" s="3035"/>
      <c r="BR58" s="3035"/>
      <c r="BS58" s="3035"/>
      <c r="BT58" s="3035"/>
      <c r="BU58" s="3033"/>
      <c r="BV58" s="3033"/>
      <c r="BW58" s="3033"/>
      <c r="BX58" s="3033"/>
      <c r="BY58" s="3033"/>
      <c r="BZ58" s="3033"/>
      <c r="CA58" s="3033"/>
      <c r="CB58" s="3033"/>
      <c r="CC58" s="3033"/>
      <c r="CD58" s="3033"/>
      <c r="CE58" s="3033"/>
      <c r="CF58" s="3033"/>
      <c r="CG58" s="3033"/>
      <c r="CH58" s="3033"/>
      <c r="CI58" s="3033"/>
      <c r="CJ58" s="3033"/>
      <c r="CK58" s="3033"/>
      <c r="CL58" s="3033"/>
      <c r="CM58" s="3033"/>
      <c r="CN58" s="3033"/>
      <c r="CO58" s="3033"/>
      <c r="CP58" s="3033"/>
      <c r="CQ58" s="3033"/>
      <c r="CR58" s="3033"/>
      <c r="CS58" s="3033"/>
      <c r="CT58" s="3033"/>
      <c r="CU58" s="3033"/>
      <c r="CV58" s="3033"/>
      <c r="CW58" s="3033"/>
      <c r="CX58" s="3033"/>
      <c r="CY58" s="3033"/>
      <c r="CZ58" s="3033"/>
      <c r="DA58" s="3033"/>
      <c r="DB58" s="3033"/>
      <c r="DC58" s="3033"/>
      <c r="DD58" s="3033"/>
      <c r="DE58" s="3033"/>
      <c r="DF58" s="3033"/>
      <c r="DG58" s="3033"/>
      <c r="DH58" s="3033"/>
      <c r="DI58" s="3036"/>
      <c r="DJ58" s="3036"/>
      <c r="DK58" s="3033"/>
      <c r="DL58" s="3033"/>
      <c r="DM58" s="3033"/>
      <c r="DN58" s="3033"/>
      <c r="DO58" s="3033"/>
      <c r="DP58" s="3033"/>
      <c r="DQ58" s="3033"/>
      <c r="DR58" s="3033"/>
      <c r="DS58" s="3033"/>
      <c r="DT58" s="3033"/>
      <c r="DU58" s="3033"/>
      <c r="DV58" s="3033"/>
      <c r="DW58" s="3033"/>
      <c r="DX58" s="3033"/>
      <c r="DY58" s="3033"/>
      <c r="DZ58" s="3033"/>
      <c r="EA58" s="3033"/>
      <c r="EB58" s="3033"/>
      <c r="EC58" s="3033"/>
      <c r="ED58" s="3033"/>
      <c r="EE58" s="3033"/>
      <c r="EF58" s="3033"/>
      <c r="EG58" s="3033"/>
      <c r="EH58" s="3033"/>
      <c r="EI58" s="3033"/>
      <c r="EJ58" s="3033"/>
      <c r="EK58" s="3033"/>
      <c r="EL58" s="3033"/>
      <c r="EM58" s="3033"/>
      <c r="EN58" s="3033"/>
      <c r="EO58" s="3033"/>
      <c r="EP58" s="3033"/>
      <c r="EQ58" s="3033"/>
      <c r="ER58" s="3033"/>
      <c r="ES58" s="3033"/>
      <c r="ET58" s="3033"/>
      <c r="EU58" s="3033"/>
      <c r="EV58" s="3033"/>
      <c r="EW58" s="3033"/>
      <c r="EX58" s="3033"/>
      <c r="EY58" s="3033"/>
      <c r="EZ58" s="3033"/>
      <c r="FA58" s="3033"/>
    </row>
    <row r="59" spans="3:157" s="3023" customFormat="1">
      <c r="C59" s="3024"/>
      <c r="D59" s="3024"/>
      <c r="E59" s="3024"/>
      <c r="H59" s="3025"/>
      <c r="I59" s="3025"/>
      <c r="J59" s="3026"/>
      <c r="K59" s="3026"/>
      <c r="M59" s="3027"/>
      <c r="N59" s="3027"/>
      <c r="O59" s="3027"/>
      <c r="P59" s="3027"/>
      <c r="Q59" s="3025"/>
      <c r="R59" s="3025"/>
      <c r="S59" s="3025"/>
      <c r="T59" s="3029"/>
      <c r="W59" s="3030"/>
      <c r="X59" s="3031"/>
      <c r="Y59" s="3030"/>
      <c r="Z59" s="3031"/>
      <c r="AA59" s="3112"/>
      <c r="AB59" s="3032"/>
      <c r="AC59" s="3029"/>
      <c r="AD59" s="3029"/>
      <c r="AE59" s="3130"/>
      <c r="AF59" s="3031"/>
      <c r="AG59" s="3031"/>
      <c r="AH59" s="3025"/>
      <c r="AK59" s="3030"/>
      <c r="AL59" s="3030"/>
      <c r="AM59" s="3030"/>
      <c r="AN59" s="3030"/>
      <c r="AO59" s="3030"/>
      <c r="AP59" s="3030"/>
      <c r="AQ59" s="3030"/>
      <c r="AR59" s="3031"/>
      <c r="AS59" s="3031"/>
      <c r="AT59" s="3030"/>
      <c r="AU59" s="3033"/>
      <c r="AV59" s="3030"/>
      <c r="AW59" s="3030"/>
      <c r="AX59" s="3033"/>
      <c r="AY59" s="3033"/>
      <c r="AZ59" s="3033"/>
      <c r="BA59" s="3033"/>
      <c r="BB59" s="3025"/>
      <c r="BC59" s="3025"/>
      <c r="BD59" s="3032"/>
      <c r="BE59" s="3032"/>
      <c r="BF59" s="3029"/>
      <c r="BG59" s="3029"/>
      <c r="BH59" s="3033"/>
      <c r="BI59" s="3030"/>
      <c r="BJ59" s="3029"/>
      <c r="BK59" s="3029"/>
      <c r="BL59" s="3029"/>
      <c r="BM59" s="3034"/>
      <c r="BN59" s="3034"/>
      <c r="BO59" s="3034"/>
      <c r="BP59" s="3034"/>
      <c r="BQ59" s="3035"/>
      <c r="BR59" s="3035"/>
      <c r="BS59" s="3035"/>
      <c r="BT59" s="3035"/>
      <c r="BU59" s="3033"/>
      <c r="BV59" s="3033"/>
      <c r="BW59" s="3033"/>
      <c r="BX59" s="3033"/>
      <c r="BY59" s="3033"/>
      <c r="BZ59" s="3033"/>
      <c r="CA59" s="3033"/>
      <c r="CB59" s="3033"/>
      <c r="CC59" s="3033"/>
      <c r="CD59" s="3033"/>
      <c r="CE59" s="3033"/>
      <c r="CF59" s="3033"/>
      <c r="CG59" s="3033"/>
      <c r="CH59" s="3033"/>
      <c r="CI59" s="3033"/>
      <c r="CJ59" s="3033"/>
      <c r="CK59" s="3033"/>
      <c r="CL59" s="3033"/>
      <c r="CM59" s="3033"/>
      <c r="CN59" s="3033"/>
      <c r="CO59" s="3033"/>
      <c r="CP59" s="3033"/>
      <c r="CQ59" s="3033"/>
      <c r="CR59" s="3033"/>
      <c r="CS59" s="3033"/>
      <c r="CT59" s="3033"/>
      <c r="CU59" s="3033"/>
      <c r="CV59" s="3033"/>
      <c r="CW59" s="3033"/>
      <c r="CX59" s="3033"/>
      <c r="CY59" s="3033"/>
      <c r="CZ59" s="3033"/>
      <c r="DA59" s="3033"/>
      <c r="DB59" s="3033"/>
      <c r="DC59" s="3033"/>
      <c r="DD59" s="3033"/>
      <c r="DE59" s="3033"/>
      <c r="DF59" s="3033"/>
      <c r="DG59" s="3033"/>
      <c r="DH59" s="3033"/>
      <c r="DI59" s="3036"/>
      <c r="DJ59" s="3036"/>
      <c r="DK59" s="3033"/>
      <c r="DL59" s="3033"/>
      <c r="DM59" s="3033"/>
      <c r="DN59" s="3033"/>
      <c r="DO59" s="3033"/>
      <c r="DP59" s="3033"/>
      <c r="DQ59" s="3033"/>
      <c r="DR59" s="3033"/>
      <c r="DS59" s="3033"/>
      <c r="DT59" s="3033"/>
      <c r="DU59" s="3033"/>
      <c r="DV59" s="3033"/>
      <c r="DW59" s="3033"/>
      <c r="DX59" s="3033"/>
      <c r="DY59" s="3033"/>
      <c r="DZ59" s="3033"/>
      <c r="EA59" s="3033"/>
      <c r="EB59" s="3033"/>
      <c r="EC59" s="3033"/>
      <c r="ED59" s="3033"/>
      <c r="EE59" s="3033"/>
      <c r="EF59" s="3033"/>
      <c r="EG59" s="3033"/>
      <c r="EH59" s="3033"/>
      <c r="EI59" s="3033"/>
      <c r="EJ59" s="3033"/>
      <c r="EK59" s="3033"/>
      <c r="EL59" s="3033"/>
      <c r="EM59" s="3033"/>
      <c r="EN59" s="3033"/>
      <c r="EO59" s="3033"/>
      <c r="EP59" s="3033"/>
      <c r="EQ59" s="3033"/>
      <c r="ER59" s="3033"/>
      <c r="ES59" s="3033"/>
      <c r="ET59" s="3033"/>
      <c r="EU59" s="3033"/>
      <c r="EV59" s="3033"/>
      <c r="EW59" s="3033"/>
      <c r="EX59" s="3033"/>
      <c r="EY59" s="3033"/>
      <c r="EZ59" s="3033"/>
      <c r="FA59" s="3033"/>
    </row>
    <row r="60" spans="3:157" s="3023" customFormat="1">
      <c r="C60" s="3024"/>
      <c r="D60" s="3024"/>
      <c r="E60" s="3024"/>
      <c r="H60" s="3025"/>
      <c r="I60" s="3025"/>
      <c r="J60" s="3026"/>
      <c r="K60" s="3026"/>
      <c r="M60" s="3027"/>
      <c r="N60" s="3027"/>
      <c r="O60" s="3027"/>
      <c r="P60" s="3027"/>
      <c r="Q60" s="3025"/>
      <c r="R60" s="3025"/>
      <c r="S60" s="3025"/>
      <c r="T60" s="3029"/>
      <c r="W60" s="3030"/>
      <c r="X60" s="3031"/>
      <c r="Y60" s="3030"/>
      <c r="Z60" s="3031"/>
      <c r="AA60" s="3112"/>
      <c r="AB60" s="3032"/>
      <c r="AC60" s="3029"/>
      <c r="AD60" s="3029"/>
      <c r="AE60" s="3130"/>
      <c r="AF60" s="3031"/>
      <c r="AG60" s="3031"/>
      <c r="AH60" s="3025"/>
      <c r="AK60" s="3030"/>
      <c r="AL60" s="3030"/>
      <c r="AM60" s="3030"/>
      <c r="AN60" s="3030"/>
      <c r="AO60" s="3030"/>
      <c r="AP60" s="3030"/>
      <c r="AQ60" s="3030"/>
      <c r="AR60" s="3031"/>
      <c r="AS60" s="3031"/>
      <c r="AT60" s="3030"/>
      <c r="AU60" s="3033"/>
      <c r="AV60" s="3030"/>
      <c r="AW60" s="3030"/>
      <c r="AX60" s="3033"/>
      <c r="AY60" s="3033"/>
      <c r="AZ60" s="3033"/>
      <c r="BA60" s="3033"/>
      <c r="BB60" s="3025"/>
      <c r="BC60" s="3025"/>
      <c r="BD60" s="3032"/>
      <c r="BE60" s="3032"/>
      <c r="BF60" s="3029"/>
      <c r="BG60" s="3029"/>
      <c r="BH60" s="3033"/>
      <c r="BI60" s="3030"/>
      <c r="BJ60" s="3029"/>
      <c r="BK60" s="3029"/>
      <c r="BL60" s="3029"/>
      <c r="BM60" s="3034"/>
      <c r="BN60" s="3034"/>
      <c r="BO60" s="3034"/>
      <c r="BP60" s="3034"/>
      <c r="BQ60" s="3035"/>
      <c r="BR60" s="3035"/>
      <c r="BS60" s="3035"/>
      <c r="BT60" s="3035"/>
      <c r="BU60" s="3033"/>
      <c r="BV60" s="3033"/>
      <c r="BW60" s="3033"/>
      <c r="BX60" s="3033"/>
      <c r="BY60" s="3033"/>
      <c r="BZ60" s="3033"/>
      <c r="CA60" s="3033"/>
      <c r="CB60" s="3033"/>
      <c r="CC60" s="3033"/>
      <c r="CD60" s="3033"/>
      <c r="CE60" s="3033"/>
      <c r="CF60" s="3033"/>
      <c r="CG60" s="3033"/>
      <c r="CH60" s="3033"/>
      <c r="CI60" s="3033"/>
      <c r="CJ60" s="3033"/>
      <c r="CK60" s="3033"/>
      <c r="CL60" s="3033"/>
      <c r="CM60" s="3033"/>
      <c r="CN60" s="3033"/>
      <c r="CO60" s="3033"/>
      <c r="CP60" s="3033"/>
      <c r="CQ60" s="3033"/>
      <c r="CR60" s="3033"/>
      <c r="CS60" s="3033"/>
      <c r="CT60" s="3033"/>
      <c r="CU60" s="3033"/>
      <c r="CV60" s="3033"/>
      <c r="CW60" s="3033"/>
      <c r="CX60" s="3033"/>
      <c r="CY60" s="3033"/>
      <c r="CZ60" s="3033"/>
      <c r="DA60" s="3033"/>
      <c r="DB60" s="3033"/>
      <c r="DC60" s="3033"/>
      <c r="DD60" s="3033"/>
      <c r="DE60" s="3033"/>
      <c r="DF60" s="3033"/>
      <c r="DG60" s="3033"/>
      <c r="DH60" s="3033"/>
      <c r="DI60" s="3036"/>
      <c r="DJ60" s="3036"/>
      <c r="DK60" s="3033"/>
      <c r="DL60" s="3033"/>
      <c r="DM60" s="3033"/>
      <c r="DN60" s="3033"/>
      <c r="DO60" s="3033"/>
      <c r="DP60" s="3033"/>
      <c r="DQ60" s="3033"/>
      <c r="DR60" s="3033"/>
      <c r="DS60" s="3033"/>
      <c r="DT60" s="3033"/>
      <c r="DU60" s="3033"/>
      <c r="DV60" s="3033"/>
      <c r="DW60" s="3033"/>
      <c r="DX60" s="3033"/>
      <c r="DY60" s="3033"/>
      <c r="DZ60" s="3033"/>
      <c r="EA60" s="3033"/>
      <c r="EB60" s="3033"/>
      <c r="EC60" s="3033"/>
      <c r="ED60" s="3033"/>
      <c r="EE60" s="3033"/>
      <c r="EF60" s="3033"/>
      <c r="EG60" s="3033"/>
      <c r="EH60" s="3033"/>
      <c r="EI60" s="3033"/>
      <c r="EJ60" s="3033"/>
      <c r="EK60" s="3033"/>
      <c r="EL60" s="3033"/>
      <c r="EM60" s="3033"/>
      <c r="EN60" s="3033"/>
      <c r="EO60" s="3033"/>
      <c r="EP60" s="3033"/>
      <c r="EQ60" s="3033"/>
      <c r="ER60" s="3033"/>
      <c r="ES60" s="3033"/>
      <c r="ET60" s="3033"/>
      <c r="EU60" s="3033"/>
      <c r="EV60" s="3033"/>
      <c r="EW60" s="3033"/>
      <c r="EX60" s="3033"/>
      <c r="EY60" s="3033"/>
      <c r="EZ60" s="3033"/>
      <c r="FA60" s="3033"/>
    </row>
    <row r="61" spans="3:157" s="3023" customFormat="1">
      <c r="C61" s="3024"/>
      <c r="D61" s="3024"/>
      <c r="E61" s="3024"/>
      <c r="H61" s="3025"/>
      <c r="I61" s="3025"/>
      <c r="J61" s="3026"/>
      <c r="K61" s="3026"/>
      <c r="M61" s="3027"/>
      <c r="N61" s="3027"/>
      <c r="O61" s="3027"/>
      <c r="P61" s="3027"/>
      <c r="Q61" s="3025"/>
      <c r="R61" s="3025"/>
      <c r="S61" s="3025"/>
      <c r="T61" s="3029"/>
      <c r="W61" s="3030"/>
      <c r="X61" s="3031"/>
      <c r="Y61" s="3030"/>
      <c r="Z61" s="3031"/>
      <c r="AA61" s="3112"/>
      <c r="AB61" s="3032"/>
      <c r="AC61" s="3029"/>
      <c r="AD61" s="3029"/>
      <c r="AE61" s="3130"/>
      <c r="AF61" s="3031"/>
      <c r="AG61" s="3031"/>
      <c r="AH61" s="3025"/>
      <c r="AK61" s="3030"/>
      <c r="AL61" s="3030"/>
      <c r="AM61" s="3030"/>
      <c r="AN61" s="3030"/>
      <c r="AO61" s="3030"/>
      <c r="AP61" s="3030"/>
      <c r="AQ61" s="3030"/>
      <c r="AR61" s="3031"/>
      <c r="AS61" s="3031"/>
      <c r="AT61" s="3030"/>
      <c r="AU61" s="3033"/>
      <c r="AV61" s="3030"/>
      <c r="AW61" s="3030"/>
      <c r="AX61" s="3033"/>
      <c r="AY61" s="3033"/>
      <c r="AZ61" s="3033"/>
      <c r="BA61" s="3033"/>
      <c r="BB61" s="3025"/>
      <c r="BC61" s="3025"/>
      <c r="BD61" s="3032"/>
      <c r="BE61" s="3032"/>
      <c r="BF61" s="3029"/>
      <c r="BG61" s="3029"/>
      <c r="BH61" s="3033"/>
      <c r="BI61" s="3030"/>
      <c r="BJ61" s="3029"/>
      <c r="BK61" s="3029"/>
      <c r="BL61" s="3029"/>
      <c r="BM61" s="3034"/>
      <c r="BN61" s="3034"/>
      <c r="BO61" s="3034"/>
      <c r="BP61" s="3034"/>
      <c r="BQ61" s="3035"/>
      <c r="BR61" s="3035"/>
      <c r="BS61" s="3035"/>
      <c r="BT61" s="3035"/>
      <c r="BU61" s="3033"/>
      <c r="BV61" s="3033"/>
      <c r="BW61" s="3033"/>
      <c r="BX61" s="3033"/>
      <c r="BY61" s="3033"/>
      <c r="BZ61" s="3033"/>
      <c r="CA61" s="3033"/>
      <c r="CB61" s="3033"/>
      <c r="CC61" s="3033"/>
      <c r="CD61" s="3033"/>
      <c r="CE61" s="3033"/>
      <c r="CF61" s="3033"/>
      <c r="CG61" s="3033"/>
      <c r="CH61" s="3033"/>
      <c r="CI61" s="3033"/>
      <c r="CJ61" s="3033"/>
      <c r="CK61" s="3033"/>
      <c r="CL61" s="3033"/>
      <c r="CM61" s="3033"/>
      <c r="CN61" s="3033"/>
      <c r="CO61" s="3033"/>
      <c r="CP61" s="3033"/>
      <c r="CQ61" s="3033"/>
      <c r="CR61" s="3033"/>
      <c r="CS61" s="3033"/>
      <c r="CT61" s="3033"/>
      <c r="CU61" s="3033"/>
      <c r="CV61" s="3033"/>
      <c r="CW61" s="3033"/>
      <c r="CX61" s="3033"/>
      <c r="CY61" s="3033"/>
      <c r="CZ61" s="3033"/>
      <c r="DA61" s="3033"/>
      <c r="DB61" s="3033"/>
      <c r="DC61" s="3033"/>
      <c r="DD61" s="3033"/>
      <c r="DE61" s="3033"/>
      <c r="DF61" s="3033"/>
      <c r="DG61" s="3033"/>
      <c r="DH61" s="3033"/>
      <c r="DI61" s="3036"/>
      <c r="DJ61" s="3036"/>
      <c r="DK61" s="3033"/>
      <c r="DL61" s="3033"/>
      <c r="DM61" s="3033"/>
      <c r="DN61" s="3033"/>
      <c r="DO61" s="3033"/>
      <c r="DP61" s="3033"/>
      <c r="DQ61" s="3033"/>
      <c r="DR61" s="3033"/>
      <c r="DS61" s="3033"/>
      <c r="DT61" s="3033"/>
      <c r="DU61" s="3033"/>
      <c r="DV61" s="3033"/>
      <c r="DW61" s="3033"/>
      <c r="DX61" s="3033"/>
      <c r="DY61" s="3033"/>
      <c r="DZ61" s="3033"/>
      <c r="EA61" s="3033"/>
      <c r="EB61" s="3033"/>
      <c r="EC61" s="3033"/>
      <c r="ED61" s="3033"/>
      <c r="EE61" s="3033"/>
      <c r="EF61" s="3033"/>
      <c r="EG61" s="3033"/>
      <c r="EH61" s="3033"/>
      <c r="EI61" s="3033"/>
      <c r="EJ61" s="3033"/>
      <c r="EK61" s="3033"/>
      <c r="EL61" s="3033"/>
      <c r="EM61" s="3033"/>
      <c r="EN61" s="3033"/>
      <c r="EO61" s="3033"/>
      <c r="EP61" s="3033"/>
      <c r="EQ61" s="3033"/>
      <c r="ER61" s="3033"/>
      <c r="ES61" s="3033"/>
      <c r="ET61" s="3033"/>
      <c r="EU61" s="3033"/>
      <c r="EV61" s="3033"/>
      <c r="EW61" s="3033"/>
      <c r="EX61" s="3033"/>
      <c r="EY61" s="3033"/>
      <c r="EZ61" s="3033"/>
      <c r="FA61" s="3033"/>
    </row>
    <row r="62" spans="3:157" s="3023" customFormat="1">
      <c r="C62" s="3024"/>
      <c r="D62" s="3024"/>
      <c r="E62" s="3024"/>
      <c r="H62" s="3025"/>
      <c r="I62" s="3025"/>
      <c r="J62" s="3026"/>
      <c r="K62" s="3026"/>
      <c r="M62" s="3027"/>
      <c r="N62" s="3027"/>
      <c r="O62" s="3027"/>
      <c r="P62" s="3027"/>
      <c r="Q62" s="3025"/>
      <c r="R62" s="3025"/>
      <c r="S62" s="3025"/>
      <c r="T62" s="3029"/>
      <c r="W62" s="3030"/>
      <c r="X62" s="3031"/>
      <c r="Y62" s="3030"/>
      <c r="Z62" s="3031"/>
      <c r="AA62" s="3112"/>
      <c r="AB62" s="3032"/>
      <c r="AC62" s="3029"/>
      <c r="AD62" s="3029"/>
      <c r="AE62" s="3130"/>
      <c r="AF62" s="3031"/>
      <c r="AG62" s="3031"/>
      <c r="AH62" s="3025"/>
      <c r="AK62" s="3030"/>
      <c r="AL62" s="3030"/>
      <c r="AM62" s="3030"/>
      <c r="AN62" s="3030"/>
      <c r="AO62" s="3030"/>
      <c r="AP62" s="3030"/>
      <c r="AQ62" s="3030"/>
      <c r="AR62" s="3031"/>
      <c r="AS62" s="3031"/>
      <c r="AT62" s="3030"/>
      <c r="AU62" s="3033"/>
      <c r="AV62" s="3030"/>
      <c r="AW62" s="3030"/>
      <c r="AX62" s="3033"/>
      <c r="AY62" s="3033"/>
      <c r="AZ62" s="3033"/>
      <c r="BA62" s="3033"/>
      <c r="BB62" s="3025"/>
      <c r="BC62" s="3025"/>
      <c r="BD62" s="3032"/>
      <c r="BE62" s="3032"/>
      <c r="BF62" s="3029"/>
      <c r="BG62" s="3029"/>
      <c r="BH62" s="3033"/>
      <c r="BI62" s="3030"/>
      <c r="BJ62" s="3029"/>
      <c r="BK62" s="3029"/>
      <c r="BL62" s="3029"/>
      <c r="BM62" s="3034"/>
      <c r="BN62" s="3034"/>
      <c r="BO62" s="3034"/>
      <c r="BP62" s="3034"/>
      <c r="BQ62" s="3035"/>
      <c r="BR62" s="3035"/>
      <c r="BS62" s="3035"/>
      <c r="BT62" s="3035"/>
      <c r="BU62" s="3033"/>
      <c r="BV62" s="3033"/>
      <c r="BW62" s="3033"/>
      <c r="BX62" s="3033"/>
      <c r="BY62" s="3033"/>
      <c r="BZ62" s="3033"/>
      <c r="CA62" s="3033"/>
      <c r="CB62" s="3033"/>
      <c r="CC62" s="3033"/>
      <c r="CD62" s="3033"/>
      <c r="CE62" s="3033"/>
      <c r="CF62" s="3033"/>
      <c r="CG62" s="3033"/>
      <c r="CH62" s="3033"/>
      <c r="CI62" s="3033"/>
      <c r="CJ62" s="3033"/>
      <c r="CK62" s="3033"/>
      <c r="CL62" s="3033"/>
      <c r="CM62" s="3033"/>
      <c r="CN62" s="3033"/>
      <c r="CO62" s="3033"/>
      <c r="CP62" s="3033"/>
      <c r="CQ62" s="3033"/>
      <c r="CR62" s="3033"/>
      <c r="CS62" s="3033"/>
      <c r="CT62" s="3033"/>
      <c r="CU62" s="3033"/>
      <c r="CV62" s="3033"/>
      <c r="CW62" s="3033"/>
      <c r="CX62" s="3033"/>
      <c r="CY62" s="3033"/>
      <c r="CZ62" s="3033"/>
      <c r="DA62" s="3033"/>
      <c r="DB62" s="3033"/>
      <c r="DC62" s="3033"/>
      <c r="DD62" s="3033"/>
      <c r="DE62" s="3033"/>
      <c r="DF62" s="3033"/>
      <c r="DG62" s="3033"/>
      <c r="DH62" s="3033"/>
      <c r="DI62" s="3036"/>
      <c r="DJ62" s="3036"/>
      <c r="DK62" s="3033"/>
      <c r="DL62" s="3033"/>
      <c r="DM62" s="3033"/>
      <c r="DN62" s="3033"/>
      <c r="DO62" s="3033"/>
      <c r="DP62" s="3033"/>
      <c r="DQ62" s="3033"/>
      <c r="DR62" s="3033"/>
      <c r="DS62" s="3033"/>
      <c r="DT62" s="3033"/>
      <c r="DU62" s="3033"/>
      <c r="DV62" s="3033"/>
      <c r="DW62" s="3033"/>
      <c r="DX62" s="3033"/>
      <c r="DY62" s="3033"/>
      <c r="DZ62" s="3033"/>
      <c r="EA62" s="3033"/>
      <c r="EB62" s="3033"/>
      <c r="EC62" s="3033"/>
      <c r="ED62" s="3033"/>
      <c r="EE62" s="3033"/>
      <c r="EF62" s="3033"/>
      <c r="EG62" s="3033"/>
      <c r="EH62" s="3033"/>
      <c r="EI62" s="3033"/>
      <c r="EJ62" s="3033"/>
      <c r="EK62" s="3033"/>
      <c r="EL62" s="3033"/>
      <c r="EM62" s="3033"/>
      <c r="EN62" s="3033"/>
      <c r="EO62" s="3033"/>
      <c r="EP62" s="3033"/>
      <c r="EQ62" s="3033"/>
      <c r="ER62" s="3033"/>
      <c r="ES62" s="3033"/>
      <c r="ET62" s="3033"/>
      <c r="EU62" s="3033"/>
      <c r="EV62" s="3033"/>
      <c r="EW62" s="3033"/>
      <c r="EX62" s="3033"/>
      <c r="EY62" s="3033"/>
      <c r="EZ62" s="3033"/>
      <c r="FA62" s="3033"/>
    </row>
    <row r="63" spans="3:157">
      <c r="AL63" s="3043"/>
      <c r="AM63" s="3043"/>
      <c r="AO63" s="3043"/>
      <c r="AP63" s="3043"/>
      <c r="AQ63" s="3043"/>
      <c r="AW63" s="3043"/>
      <c r="AZ63" s="3046"/>
      <c r="BV63" s="3046"/>
      <c r="BW63" s="3046"/>
      <c r="BX63" s="3046"/>
      <c r="BY63" s="3046"/>
      <c r="BZ63" s="3046"/>
      <c r="CA63" s="3046"/>
      <c r="CB63" s="3046"/>
      <c r="CC63" s="3046"/>
      <c r="CD63" s="3046"/>
      <c r="CE63" s="3046"/>
      <c r="CF63" s="3046"/>
      <c r="CG63" s="3046"/>
      <c r="CH63" s="3046"/>
      <c r="CI63" s="3046"/>
      <c r="CJ63" s="3046"/>
      <c r="CK63" s="3046"/>
      <c r="CL63" s="3046"/>
      <c r="CM63" s="3046"/>
      <c r="CN63" s="3046"/>
      <c r="CO63" s="3046"/>
      <c r="CP63" s="3046"/>
      <c r="CQ63" s="3046"/>
      <c r="CR63" s="3046"/>
      <c r="CS63" s="3046"/>
      <c r="CT63" s="3046"/>
      <c r="CU63" s="3046"/>
      <c r="CV63" s="3046"/>
      <c r="CW63" s="3046"/>
      <c r="CX63" s="3046"/>
      <c r="CY63" s="3046"/>
      <c r="CZ63" s="3046"/>
      <c r="DA63" s="3046"/>
      <c r="DB63" s="3046"/>
      <c r="DC63" s="3046"/>
      <c r="DD63" s="3046"/>
      <c r="DE63" s="3046"/>
      <c r="DF63" s="3046"/>
      <c r="DG63" s="3046"/>
      <c r="DH63" s="3046"/>
      <c r="DI63" s="3049"/>
      <c r="DJ63" s="3049"/>
      <c r="DK63" s="3046"/>
      <c r="DL63" s="3046"/>
      <c r="DM63" s="3046"/>
      <c r="DN63" s="3046"/>
      <c r="DO63" s="3046"/>
      <c r="DP63" s="3046"/>
      <c r="DQ63" s="3046"/>
      <c r="DR63" s="3046"/>
      <c r="DS63" s="3046"/>
      <c r="DT63" s="3046"/>
      <c r="DU63" s="3046"/>
      <c r="DV63" s="3046"/>
      <c r="DW63" s="3046"/>
      <c r="DX63" s="3046"/>
      <c r="DY63" s="3046"/>
      <c r="DZ63" s="3046"/>
      <c r="EA63" s="3046"/>
      <c r="EB63" s="3046"/>
      <c r="EC63" s="3046"/>
      <c r="ED63" s="3046"/>
      <c r="EE63" s="3046"/>
      <c r="EF63" s="3046"/>
      <c r="EG63" s="3046"/>
      <c r="EH63" s="3046"/>
      <c r="EI63" s="3046"/>
      <c r="EJ63" s="3046"/>
      <c r="EK63" s="3046"/>
      <c r="EL63" s="3046"/>
      <c r="EM63" s="3046"/>
      <c r="EN63" s="3046"/>
      <c r="EO63" s="3046"/>
      <c r="EP63" s="3046"/>
      <c r="EQ63" s="3046"/>
      <c r="ER63" s="3046"/>
      <c r="ES63" s="3046"/>
      <c r="ET63" s="3046"/>
      <c r="EU63" s="3046"/>
      <c r="EV63" s="3046"/>
      <c r="EW63" s="3046"/>
      <c r="EX63" s="3046"/>
      <c r="EY63" s="3046"/>
      <c r="EZ63" s="3046"/>
      <c r="FA63" s="3046"/>
    </row>
    <row r="64" spans="3:157">
      <c r="AL64" s="3043"/>
      <c r="AM64" s="3043"/>
      <c r="AO64" s="3043"/>
      <c r="AP64" s="3043"/>
      <c r="AQ64" s="3043"/>
      <c r="AW64" s="3043"/>
      <c r="AZ64" s="3046"/>
      <c r="BV64" s="3046"/>
      <c r="BW64" s="3046"/>
      <c r="BX64" s="3046"/>
      <c r="BY64" s="3046"/>
      <c r="BZ64" s="3046"/>
      <c r="CA64" s="3046"/>
      <c r="CB64" s="3046"/>
      <c r="CC64" s="3046"/>
      <c r="CD64" s="3046"/>
      <c r="CE64" s="3046"/>
      <c r="CF64" s="3046"/>
      <c r="CG64" s="3046"/>
      <c r="CH64" s="3046"/>
      <c r="CI64" s="3046"/>
      <c r="CJ64" s="3046"/>
      <c r="CK64" s="3046"/>
      <c r="CL64" s="3046"/>
      <c r="CM64" s="3046"/>
      <c r="CN64" s="3046"/>
      <c r="CO64" s="3046"/>
      <c r="CP64" s="3046"/>
      <c r="CQ64" s="3046"/>
      <c r="CR64" s="3046"/>
      <c r="CS64" s="3046"/>
      <c r="CT64" s="3046"/>
      <c r="CU64" s="3046"/>
      <c r="CV64" s="3046"/>
      <c r="CW64" s="3046"/>
      <c r="CX64" s="3046"/>
      <c r="CY64" s="3046"/>
      <c r="CZ64" s="3046"/>
      <c r="DA64" s="3046"/>
      <c r="DB64" s="3046"/>
      <c r="DC64" s="3046"/>
      <c r="DD64" s="3046"/>
      <c r="DE64" s="3046"/>
      <c r="DF64" s="3046"/>
      <c r="DG64" s="3046"/>
      <c r="DH64" s="3046"/>
      <c r="DI64" s="3049"/>
      <c r="DJ64" s="3049"/>
      <c r="DK64" s="3046"/>
      <c r="DL64" s="3046"/>
      <c r="DM64" s="3046"/>
      <c r="DN64" s="3046"/>
      <c r="DO64" s="3046"/>
      <c r="DP64" s="3046"/>
      <c r="DQ64" s="3046"/>
      <c r="DR64" s="3046"/>
      <c r="DS64" s="3046"/>
      <c r="DT64" s="3046"/>
      <c r="DU64" s="3046"/>
      <c r="DV64" s="3046"/>
      <c r="DW64" s="3046"/>
      <c r="DX64" s="3046"/>
      <c r="DY64" s="3046"/>
      <c r="DZ64" s="3046"/>
      <c r="EA64" s="3046"/>
      <c r="EB64" s="3046"/>
      <c r="EC64" s="3046"/>
      <c r="ED64" s="3046"/>
      <c r="EE64" s="3046"/>
      <c r="EF64" s="3046"/>
      <c r="EG64" s="3046"/>
      <c r="EH64" s="3046"/>
      <c r="EI64" s="3046"/>
      <c r="EJ64" s="3046"/>
      <c r="EK64" s="3046"/>
      <c r="EL64" s="3046"/>
      <c r="EM64" s="3046"/>
      <c r="EN64" s="3046"/>
      <c r="EO64" s="3046"/>
      <c r="EP64" s="3046"/>
      <c r="EQ64" s="3046"/>
      <c r="ER64" s="3046"/>
      <c r="ES64" s="3046"/>
      <c r="ET64" s="3046"/>
      <c r="EU64" s="3046"/>
      <c r="EV64" s="3046"/>
      <c r="EW64" s="3046"/>
      <c r="EX64" s="3046"/>
      <c r="EY64" s="3046"/>
      <c r="EZ64" s="3046"/>
      <c r="FA64" s="3046"/>
    </row>
    <row r="65" spans="38:157">
      <c r="AL65" s="3043"/>
      <c r="AM65" s="3043"/>
      <c r="AO65" s="3043"/>
      <c r="AP65" s="3043"/>
      <c r="AQ65" s="3043"/>
      <c r="AW65" s="3043"/>
      <c r="AZ65" s="3046"/>
      <c r="BV65" s="3046"/>
      <c r="BW65" s="3046"/>
      <c r="BX65" s="3046"/>
      <c r="BY65" s="3046"/>
      <c r="BZ65" s="3046"/>
      <c r="CA65" s="3046"/>
      <c r="CB65" s="3046"/>
      <c r="CC65" s="3046"/>
      <c r="CD65" s="3046"/>
      <c r="CE65" s="3046"/>
      <c r="CF65" s="3046"/>
      <c r="CG65" s="3046"/>
      <c r="CH65" s="3046"/>
      <c r="CI65" s="3046"/>
      <c r="CJ65" s="3046"/>
      <c r="CK65" s="3046"/>
      <c r="CL65" s="3046"/>
      <c r="CM65" s="3046"/>
      <c r="CN65" s="3046"/>
      <c r="CO65" s="3046"/>
      <c r="CP65" s="3046"/>
      <c r="CQ65" s="3046"/>
      <c r="CR65" s="3046"/>
      <c r="CS65" s="3046"/>
      <c r="CT65" s="3046"/>
      <c r="CU65" s="3046"/>
      <c r="CV65" s="3046"/>
      <c r="CW65" s="3046"/>
      <c r="CX65" s="3046"/>
      <c r="CY65" s="3046"/>
      <c r="CZ65" s="3046"/>
      <c r="DA65" s="3046"/>
      <c r="DB65" s="3046"/>
      <c r="DC65" s="3046"/>
      <c r="DD65" s="3046"/>
      <c r="DE65" s="3046"/>
      <c r="DF65" s="3046"/>
      <c r="DG65" s="3046"/>
      <c r="DH65" s="3046"/>
      <c r="DI65" s="3049"/>
      <c r="DJ65" s="3049"/>
      <c r="DK65" s="3046"/>
      <c r="DL65" s="3046"/>
      <c r="DM65" s="3046"/>
      <c r="DN65" s="3046"/>
      <c r="DO65" s="3046"/>
      <c r="DP65" s="3046"/>
      <c r="DQ65" s="3046"/>
      <c r="DR65" s="3046"/>
      <c r="DS65" s="3046"/>
      <c r="DT65" s="3046"/>
      <c r="DU65" s="3046"/>
      <c r="DV65" s="3046"/>
      <c r="DW65" s="3046"/>
      <c r="DX65" s="3046"/>
      <c r="DY65" s="3046"/>
      <c r="DZ65" s="3046"/>
      <c r="EA65" s="3046"/>
      <c r="EB65" s="3046"/>
      <c r="EC65" s="3046"/>
      <c r="ED65" s="3046"/>
      <c r="EE65" s="3046"/>
      <c r="EF65" s="3046"/>
      <c r="EG65" s="3046"/>
      <c r="EH65" s="3046"/>
      <c r="EI65" s="3046"/>
      <c r="EJ65" s="3046"/>
      <c r="EK65" s="3046"/>
      <c r="EL65" s="3046"/>
      <c r="EM65" s="3046"/>
      <c r="EN65" s="3046"/>
      <c r="EO65" s="3046"/>
      <c r="EP65" s="3046"/>
      <c r="EQ65" s="3046"/>
      <c r="ER65" s="3046"/>
      <c r="ES65" s="3046"/>
      <c r="ET65" s="3046"/>
      <c r="EU65" s="3046"/>
      <c r="EV65" s="3046"/>
      <c r="EW65" s="3046"/>
      <c r="EX65" s="3046"/>
      <c r="EY65" s="3046"/>
      <c r="EZ65" s="3046"/>
      <c r="FA65" s="3046"/>
    </row>
    <row r="66" spans="38:157">
      <c r="AL66" s="3043"/>
      <c r="AM66" s="3043"/>
      <c r="AO66" s="3043"/>
      <c r="AP66" s="3043"/>
      <c r="AQ66" s="3043"/>
      <c r="AW66" s="3043"/>
      <c r="AZ66" s="3046"/>
      <c r="BV66" s="3046"/>
      <c r="BW66" s="3046"/>
      <c r="BX66" s="3046"/>
      <c r="BY66" s="3046"/>
      <c r="BZ66" s="3046"/>
      <c r="CA66" s="3046"/>
      <c r="CB66" s="3046"/>
      <c r="CC66" s="3046"/>
      <c r="CD66" s="3046"/>
      <c r="CE66" s="3046"/>
      <c r="CF66" s="3046"/>
      <c r="CG66" s="3046"/>
      <c r="CH66" s="3046"/>
      <c r="CI66" s="3046"/>
      <c r="CJ66" s="3046"/>
      <c r="CK66" s="3046"/>
      <c r="CL66" s="3046"/>
      <c r="CM66" s="3046"/>
      <c r="CN66" s="3046"/>
      <c r="CO66" s="3046"/>
      <c r="CP66" s="3046"/>
      <c r="CQ66" s="3046"/>
      <c r="CR66" s="3046"/>
      <c r="CS66" s="3046"/>
      <c r="CT66" s="3046"/>
      <c r="CU66" s="3046"/>
      <c r="CV66" s="3046"/>
      <c r="CW66" s="3046"/>
      <c r="CX66" s="3046"/>
      <c r="CY66" s="3046"/>
      <c r="CZ66" s="3046"/>
      <c r="DA66" s="3046"/>
      <c r="DB66" s="3046"/>
      <c r="DC66" s="3046"/>
      <c r="DD66" s="3046"/>
      <c r="DE66" s="3046"/>
      <c r="DF66" s="3046"/>
      <c r="DG66" s="3046"/>
      <c r="DH66" s="3046"/>
      <c r="DI66" s="3049"/>
      <c r="DJ66" s="3049"/>
      <c r="DK66" s="3046"/>
      <c r="DL66" s="3046"/>
      <c r="DM66" s="3046"/>
      <c r="DN66" s="3046"/>
      <c r="DO66" s="3046"/>
      <c r="DP66" s="3046"/>
      <c r="DQ66" s="3046"/>
      <c r="DR66" s="3046"/>
      <c r="DS66" s="3046"/>
      <c r="DT66" s="3046"/>
      <c r="DU66" s="3046"/>
      <c r="DV66" s="3046"/>
      <c r="DW66" s="3046"/>
      <c r="DX66" s="3046"/>
      <c r="DY66" s="3046"/>
      <c r="DZ66" s="3046"/>
      <c r="EA66" s="3046"/>
      <c r="EB66" s="3046"/>
      <c r="EC66" s="3046"/>
      <c r="ED66" s="3046"/>
      <c r="EE66" s="3046"/>
      <c r="EF66" s="3046"/>
      <c r="EG66" s="3046"/>
      <c r="EH66" s="3046"/>
      <c r="EI66" s="3046"/>
      <c r="EJ66" s="3046"/>
      <c r="EK66" s="3046"/>
      <c r="EL66" s="3046"/>
      <c r="EM66" s="3046"/>
      <c r="EN66" s="3046"/>
      <c r="EO66" s="3046"/>
      <c r="EP66" s="3046"/>
      <c r="EQ66" s="3046"/>
      <c r="ER66" s="3046"/>
      <c r="ES66" s="3046"/>
      <c r="ET66" s="3046"/>
      <c r="EU66" s="3046"/>
      <c r="EV66" s="3046"/>
      <c r="EW66" s="3046"/>
      <c r="EX66" s="3046"/>
      <c r="EY66" s="3046"/>
      <c r="EZ66" s="3046"/>
      <c r="FA66" s="3046"/>
    </row>
    <row r="67" spans="38:157">
      <c r="AL67" s="3043"/>
      <c r="AM67" s="3043"/>
      <c r="AO67" s="3043"/>
      <c r="AP67" s="3043"/>
      <c r="AQ67" s="3043"/>
      <c r="AW67" s="3043"/>
      <c r="AZ67" s="3046"/>
      <c r="BV67" s="3046"/>
      <c r="BW67" s="3046"/>
      <c r="BX67" s="3046"/>
      <c r="BY67" s="3046"/>
      <c r="BZ67" s="3046"/>
      <c r="CA67" s="3046"/>
      <c r="CB67" s="3046"/>
      <c r="CC67" s="3046"/>
      <c r="CD67" s="3046"/>
      <c r="CE67" s="3046"/>
      <c r="CF67" s="3046"/>
      <c r="CG67" s="3046"/>
      <c r="CH67" s="3046"/>
      <c r="CI67" s="3046"/>
      <c r="CJ67" s="3046"/>
      <c r="CK67" s="3046"/>
      <c r="CL67" s="3046"/>
      <c r="CM67" s="3046"/>
      <c r="CN67" s="3046"/>
      <c r="CO67" s="3046"/>
      <c r="CP67" s="3046"/>
      <c r="CQ67" s="3046"/>
      <c r="CR67" s="3046"/>
      <c r="CS67" s="3046"/>
      <c r="CT67" s="3046"/>
      <c r="CU67" s="3046"/>
      <c r="CV67" s="3046"/>
      <c r="CW67" s="3046"/>
      <c r="CX67" s="3046"/>
      <c r="CY67" s="3046"/>
      <c r="CZ67" s="3046"/>
      <c r="DA67" s="3046"/>
      <c r="DB67" s="3046"/>
      <c r="DC67" s="3046"/>
      <c r="DD67" s="3046"/>
      <c r="DE67" s="3046"/>
      <c r="DF67" s="3046"/>
      <c r="DG67" s="3046"/>
      <c r="DH67" s="3046"/>
      <c r="DI67" s="3049"/>
      <c r="DJ67" s="3049"/>
      <c r="DK67" s="3046"/>
      <c r="DL67" s="3046"/>
      <c r="DM67" s="3046"/>
      <c r="DN67" s="3046"/>
      <c r="DO67" s="3046"/>
      <c r="DP67" s="3046"/>
      <c r="DQ67" s="3046"/>
      <c r="DR67" s="3046"/>
      <c r="DS67" s="3046"/>
      <c r="DT67" s="3046"/>
      <c r="DU67" s="3046"/>
      <c r="DV67" s="3046"/>
      <c r="DW67" s="3046"/>
      <c r="DX67" s="3046"/>
      <c r="DY67" s="3046"/>
      <c r="DZ67" s="3046"/>
      <c r="EA67" s="3046"/>
      <c r="EB67" s="3046"/>
      <c r="EC67" s="3046"/>
      <c r="ED67" s="3046"/>
      <c r="EE67" s="3046"/>
      <c r="EF67" s="3046"/>
      <c r="EG67" s="3046"/>
      <c r="EH67" s="3046"/>
      <c r="EI67" s="3046"/>
      <c r="EJ67" s="3046"/>
      <c r="EK67" s="3046"/>
      <c r="EL67" s="3046"/>
      <c r="EM67" s="3046"/>
      <c r="EN67" s="3046"/>
      <c r="EO67" s="3046"/>
      <c r="EP67" s="3046"/>
      <c r="EQ67" s="3046"/>
      <c r="ER67" s="3046"/>
      <c r="ES67" s="3046"/>
      <c r="ET67" s="3046"/>
      <c r="EU67" s="3046"/>
      <c r="EV67" s="3046"/>
      <c r="EW67" s="3046"/>
      <c r="EX67" s="3046"/>
      <c r="EY67" s="3046"/>
      <c r="EZ67" s="3046"/>
      <c r="FA67" s="3046"/>
    </row>
    <row r="68" spans="38:157">
      <c r="AL68" s="3043"/>
      <c r="AM68" s="3043"/>
      <c r="AO68" s="3043"/>
      <c r="AP68" s="3043"/>
      <c r="AQ68" s="3043"/>
      <c r="AW68" s="3043"/>
      <c r="AZ68" s="3046"/>
      <c r="BV68" s="3046"/>
      <c r="BW68" s="3046"/>
      <c r="BX68" s="3046"/>
      <c r="BY68" s="3046"/>
      <c r="BZ68" s="3046"/>
      <c r="CA68" s="3046"/>
      <c r="CB68" s="3046"/>
      <c r="CC68" s="3046"/>
      <c r="CD68" s="3046"/>
      <c r="CE68" s="3046"/>
      <c r="CF68" s="3046"/>
      <c r="CG68" s="3046"/>
      <c r="CH68" s="3046"/>
      <c r="CI68" s="3046"/>
      <c r="CJ68" s="3046"/>
      <c r="CK68" s="3046"/>
      <c r="CL68" s="3046"/>
      <c r="CM68" s="3046"/>
      <c r="CN68" s="3046"/>
      <c r="CO68" s="3046"/>
      <c r="CP68" s="3046"/>
      <c r="CQ68" s="3046"/>
      <c r="CR68" s="3046"/>
      <c r="CS68" s="3046"/>
      <c r="CT68" s="3046"/>
      <c r="CU68" s="3046"/>
      <c r="CV68" s="3046"/>
      <c r="CW68" s="3046"/>
      <c r="CX68" s="3046"/>
      <c r="CY68" s="3046"/>
      <c r="CZ68" s="3046"/>
      <c r="DA68" s="3046"/>
      <c r="DB68" s="3046"/>
      <c r="DC68" s="3046"/>
      <c r="DD68" s="3046"/>
      <c r="DE68" s="3046"/>
      <c r="DF68" s="3046"/>
      <c r="DG68" s="3046"/>
      <c r="DH68" s="3046"/>
      <c r="DI68" s="3049"/>
      <c r="DJ68" s="3049"/>
      <c r="DK68" s="3046"/>
      <c r="DL68" s="3046"/>
      <c r="DM68" s="3046"/>
      <c r="DN68" s="3046"/>
      <c r="DO68" s="3046"/>
      <c r="DP68" s="3046"/>
      <c r="DQ68" s="3046"/>
      <c r="DR68" s="3046"/>
      <c r="DS68" s="3046"/>
      <c r="DT68" s="3046"/>
      <c r="DU68" s="3046"/>
      <c r="DV68" s="3046"/>
      <c r="DW68" s="3046"/>
      <c r="DX68" s="3046"/>
      <c r="DY68" s="3046"/>
      <c r="DZ68" s="3046"/>
      <c r="EA68" s="3046"/>
      <c r="EB68" s="3046"/>
      <c r="EC68" s="3046"/>
      <c r="ED68" s="3046"/>
      <c r="EE68" s="3046"/>
      <c r="EF68" s="3046"/>
      <c r="EG68" s="3046"/>
      <c r="EH68" s="3046"/>
      <c r="EI68" s="3046"/>
      <c r="EJ68" s="3046"/>
      <c r="EK68" s="3046"/>
      <c r="EL68" s="3046"/>
      <c r="EM68" s="3046"/>
      <c r="EN68" s="3046"/>
      <c r="EO68" s="3046"/>
      <c r="EP68" s="3046"/>
      <c r="EQ68" s="3046"/>
      <c r="ER68" s="3046"/>
      <c r="ES68" s="3046"/>
      <c r="ET68" s="3046"/>
      <c r="EU68" s="3046"/>
      <c r="EV68" s="3046"/>
      <c r="EW68" s="3046"/>
      <c r="EX68" s="3046"/>
      <c r="EY68" s="3046"/>
      <c r="EZ68" s="3046"/>
      <c r="FA68" s="3046"/>
    </row>
    <row r="69" spans="38:157">
      <c r="AL69" s="3043"/>
      <c r="AM69" s="3043"/>
      <c r="AO69" s="3043"/>
      <c r="AP69" s="3043"/>
      <c r="AQ69" s="3043"/>
      <c r="AW69" s="3043"/>
      <c r="AZ69" s="3046"/>
      <c r="BV69" s="3046"/>
      <c r="BW69" s="3046"/>
      <c r="BX69" s="3046"/>
      <c r="BY69" s="3046"/>
      <c r="BZ69" s="3046"/>
      <c r="CA69" s="3046"/>
      <c r="CB69" s="3046"/>
      <c r="CC69" s="3046"/>
      <c r="CD69" s="3046"/>
      <c r="CE69" s="3046"/>
      <c r="CF69" s="3046"/>
      <c r="CG69" s="3046"/>
      <c r="CH69" s="3046"/>
      <c r="CI69" s="3046"/>
      <c r="CJ69" s="3046"/>
      <c r="CK69" s="3046"/>
      <c r="CL69" s="3046"/>
      <c r="CM69" s="3046"/>
      <c r="CN69" s="3046"/>
      <c r="CO69" s="3046"/>
      <c r="CP69" s="3046"/>
      <c r="CQ69" s="3046"/>
      <c r="CR69" s="3046"/>
      <c r="CS69" s="3046"/>
      <c r="CT69" s="3046"/>
      <c r="CU69" s="3046"/>
      <c r="CV69" s="3046"/>
      <c r="CW69" s="3046"/>
      <c r="CX69" s="3046"/>
      <c r="CY69" s="3046"/>
      <c r="CZ69" s="3046"/>
      <c r="DA69" s="3046"/>
      <c r="DB69" s="3046"/>
      <c r="DC69" s="3046"/>
      <c r="DD69" s="3046"/>
      <c r="DE69" s="3046"/>
      <c r="DF69" s="3046"/>
      <c r="DG69" s="3046"/>
      <c r="DH69" s="3046"/>
      <c r="DI69" s="3049"/>
      <c r="DJ69" s="3049"/>
      <c r="DK69" s="3046"/>
      <c r="DL69" s="3046"/>
      <c r="DM69" s="3046"/>
      <c r="DN69" s="3046"/>
      <c r="DO69" s="3046"/>
      <c r="DP69" s="3046"/>
      <c r="DQ69" s="3046"/>
      <c r="DR69" s="3046"/>
      <c r="DS69" s="3046"/>
      <c r="DT69" s="3046"/>
      <c r="DU69" s="3046"/>
      <c r="DV69" s="3046"/>
      <c r="DW69" s="3046"/>
      <c r="DX69" s="3046"/>
      <c r="DY69" s="3046"/>
      <c r="DZ69" s="3046"/>
      <c r="EA69" s="3046"/>
      <c r="EB69" s="3046"/>
      <c r="EC69" s="3046"/>
      <c r="ED69" s="3046"/>
      <c r="EE69" s="3046"/>
      <c r="EF69" s="3046"/>
      <c r="EG69" s="3046"/>
      <c r="EH69" s="3046"/>
      <c r="EI69" s="3046"/>
      <c r="EJ69" s="3046"/>
      <c r="EK69" s="3046"/>
      <c r="EL69" s="3046"/>
      <c r="EM69" s="3046"/>
      <c r="EN69" s="3046"/>
      <c r="EO69" s="3046"/>
      <c r="EP69" s="3046"/>
      <c r="EQ69" s="3046"/>
      <c r="ER69" s="3046"/>
      <c r="ES69" s="3046"/>
      <c r="ET69" s="3046"/>
      <c r="EU69" s="3046"/>
      <c r="EV69" s="3046"/>
      <c r="EW69" s="3046"/>
      <c r="EX69" s="3046"/>
      <c r="EY69" s="3046"/>
      <c r="EZ69" s="3046"/>
      <c r="FA69" s="3046"/>
    </row>
    <row r="70" spans="38:157">
      <c r="AL70" s="3043"/>
      <c r="AM70" s="3043"/>
      <c r="AO70" s="3043"/>
      <c r="AP70" s="3043"/>
      <c r="AQ70" s="3043"/>
      <c r="AW70" s="3043"/>
      <c r="AZ70" s="3046"/>
      <c r="BV70" s="3046"/>
      <c r="BW70" s="3046"/>
      <c r="BX70" s="3046"/>
      <c r="BY70" s="3046"/>
      <c r="BZ70" s="3046"/>
      <c r="CA70" s="3046"/>
      <c r="CB70" s="3046"/>
      <c r="CC70" s="3046"/>
      <c r="CD70" s="3046"/>
      <c r="CE70" s="3046"/>
      <c r="CF70" s="3046"/>
      <c r="CG70" s="3046"/>
      <c r="CH70" s="3046"/>
      <c r="CI70" s="3046"/>
      <c r="CJ70" s="3046"/>
      <c r="CK70" s="3046"/>
      <c r="CL70" s="3046"/>
      <c r="CM70" s="3046"/>
      <c r="CN70" s="3046"/>
      <c r="CO70" s="3046"/>
      <c r="CP70" s="3046"/>
      <c r="CQ70" s="3046"/>
      <c r="CR70" s="3046"/>
      <c r="CS70" s="3046"/>
      <c r="CT70" s="3046"/>
      <c r="CU70" s="3046"/>
      <c r="CV70" s="3046"/>
      <c r="CW70" s="3046"/>
      <c r="CX70" s="3046"/>
      <c r="CY70" s="3046"/>
      <c r="CZ70" s="3046"/>
      <c r="DA70" s="3046"/>
      <c r="DB70" s="3046"/>
      <c r="DC70" s="3046"/>
      <c r="DD70" s="3046"/>
      <c r="DE70" s="3046"/>
      <c r="DF70" s="3046"/>
      <c r="DG70" s="3046"/>
      <c r="DH70" s="3046"/>
      <c r="DI70" s="3049"/>
      <c r="DJ70" s="3049"/>
      <c r="DK70" s="3046"/>
      <c r="DL70" s="3046"/>
      <c r="DM70" s="3046"/>
      <c r="DN70" s="3046"/>
      <c r="DO70" s="3046"/>
      <c r="DP70" s="3046"/>
      <c r="DQ70" s="3046"/>
      <c r="DR70" s="3046"/>
      <c r="DS70" s="3046"/>
      <c r="DT70" s="3046"/>
      <c r="DU70" s="3046"/>
      <c r="DV70" s="3046"/>
      <c r="DW70" s="3046"/>
      <c r="DX70" s="3046"/>
      <c r="DY70" s="3046"/>
      <c r="DZ70" s="3046"/>
      <c r="EA70" s="3046"/>
      <c r="EB70" s="3046"/>
      <c r="EC70" s="3046"/>
      <c r="ED70" s="3046"/>
      <c r="EE70" s="3046"/>
      <c r="EF70" s="3046"/>
      <c r="EG70" s="3046"/>
      <c r="EH70" s="3046"/>
      <c r="EI70" s="3046"/>
      <c r="EJ70" s="3046"/>
      <c r="EK70" s="3046"/>
      <c r="EL70" s="3046"/>
      <c r="EM70" s="3046"/>
      <c r="EN70" s="3046"/>
      <c r="EO70" s="3046"/>
      <c r="EP70" s="3046"/>
      <c r="EQ70" s="3046"/>
      <c r="ER70" s="3046"/>
      <c r="ES70" s="3046"/>
      <c r="ET70" s="3046"/>
      <c r="EU70" s="3046"/>
      <c r="EV70" s="3046"/>
      <c r="EW70" s="3046"/>
      <c r="EX70" s="3046"/>
      <c r="EY70" s="3046"/>
      <c r="EZ70" s="3046"/>
      <c r="FA70" s="3046"/>
    </row>
    <row r="71" spans="38:157">
      <c r="AL71" s="3043"/>
      <c r="AM71" s="3043"/>
      <c r="AO71" s="3043"/>
      <c r="AP71" s="3043"/>
      <c r="AQ71" s="3043"/>
      <c r="AW71" s="3043"/>
      <c r="AZ71" s="3046"/>
      <c r="BV71" s="3046"/>
      <c r="BW71" s="3046"/>
      <c r="BX71" s="3046"/>
      <c r="BY71" s="3046"/>
      <c r="BZ71" s="3046"/>
      <c r="CA71" s="3046"/>
      <c r="CB71" s="3046"/>
      <c r="CC71" s="3046"/>
      <c r="CD71" s="3046"/>
      <c r="CE71" s="3046"/>
      <c r="CF71" s="3046"/>
      <c r="CG71" s="3046"/>
      <c r="CH71" s="3046"/>
      <c r="CI71" s="3046"/>
      <c r="CJ71" s="3046"/>
      <c r="CK71" s="3046"/>
      <c r="CL71" s="3046"/>
      <c r="CM71" s="3046"/>
      <c r="CN71" s="3046"/>
      <c r="CO71" s="3046"/>
      <c r="CP71" s="3046"/>
      <c r="CQ71" s="3046"/>
      <c r="CR71" s="3046"/>
      <c r="CS71" s="3046"/>
      <c r="CT71" s="3046"/>
      <c r="CU71" s="3046"/>
      <c r="CV71" s="3046"/>
      <c r="CW71" s="3046"/>
      <c r="CX71" s="3046"/>
      <c r="CY71" s="3046"/>
      <c r="CZ71" s="3046"/>
      <c r="DA71" s="3046"/>
      <c r="DB71" s="3046"/>
      <c r="DC71" s="3046"/>
      <c r="DD71" s="3046"/>
      <c r="DE71" s="3046"/>
      <c r="DF71" s="3046"/>
      <c r="DG71" s="3046"/>
      <c r="DH71" s="3046"/>
      <c r="DI71" s="3049"/>
      <c r="DJ71" s="3049"/>
      <c r="DK71" s="3046"/>
      <c r="DL71" s="3046"/>
      <c r="DM71" s="3046"/>
      <c r="DN71" s="3046"/>
      <c r="DO71" s="3046"/>
      <c r="DP71" s="3046"/>
      <c r="DQ71" s="3046"/>
      <c r="DR71" s="3046"/>
      <c r="DS71" s="3046"/>
      <c r="DT71" s="3046"/>
      <c r="DU71" s="3046"/>
      <c r="DV71" s="3046"/>
      <c r="DW71" s="3046"/>
      <c r="DX71" s="3046"/>
      <c r="DY71" s="3046"/>
      <c r="DZ71" s="3046"/>
      <c r="EA71" s="3046"/>
      <c r="EB71" s="3046"/>
      <c r="EC71" s="3046"/>
      <c r="ED71" s="3046"/>
      <c r="EE71" s="3046"/>
      <c r="EF71" s="3046"/>
      <c r="EG71" s="3046"/>
      <c r="EH71" s="3046"/>
      <c r="EI71" s="3046"/>
      <c r="EJ71" s="3046"/>
      <c r="EK71" s="3046"/>
      <c r="EL71" s="3046"/>
      <c r="EM71" s="3046"/>
      <c r="EN71" s="3046"/>
      <c r="EO71" s="3046"/>
      <c r="EP71" s="3046"/>
      <c r="EQ71" s="3046"/>
      <c r="ER71" s="3046"/>
      <c r="ES71" s="3046"/>
      <c r="ET71" s="3046"/>
      <c r="EU71" s="3046"/>
      <c r="EV71" s="3046"/>
      <c r="EW71" s="3046"/>
      <c r="EX71" s="3046"/>
      <c r="EY71" s="3046"/>
      <c r="EZ71" s="3046"/>
      <c r="FA71" s="3046"/>
    </row>
    <row r="72" spans="38:157">
      <c r="AL72" s="3043"/>
      <c r="AM72" s="3043"/>
      <c r="AO72" s="3043"/>
      <c r="AP72" s="3043"/>
      <c r="AQ72" s="3043"/>
      <c r="AW72" s="3043"/>
      <c r="AZ72" s="3046"/>
      <c r="BV72" s="3046"/>
      <c r="BW72" s="3046"/>
      <c r="BX72" s="3046"/>
      <c r="BY72" s="3046"/>
      <c r="BZ72" s="3046"/>
      <c r="CA72" s="3046"/>
      <c r="CB72" s="3046"/>
      <c r="CC72" s="3046"/>
      <c r="CD72" s="3046"/>
      <c r="CE72" s="3046"/>
      <c r="CF72" s="3046"/>
      <c r="CG72" s="3046"/>
      <c r="CH72" s="3046"/>
      <c r="CI72" s="3046"/>
      <c r="CJ72" s="3046"/>
      <c r="CK72" s="3046"/>
      <c r="CL72" s="3046"/>
      <c r="CM72" s="3046"/>
      <c r="CN72" s="3046"/>
      <c r="CO72" s="3046"/>
      <c r="CP72" s="3046"/>
      <c r="CQ72" s="3046"/>
      <c r="CR72" s="3046"/>
      <c r="CS72" s="3046"/>
      <c r="CT72" s="3046"/>
      <c r="CU72" s="3046"/>
      <c r="CV72" s="3046"/>
      <c r="CW72" s="3046"/>
      <c r="CX72" s="3046"/>
      <c r="CY72" s="3046"/>
      <c r="CZ72" s="3046"/>
      <c r="DA72" s="3046"/>
      <c r="DB72" s="3046"/>
      <c r="DC72" s="3046"/>
      <c r="DD72" s="3046"/>
      <c r="DE72" s="3046"/>
      <c r="DF72" s="3046"/>
      <c r="DG72" s="3046"/>
      <c r="DH72" s="3046"/>
      <c r="DI72" s="3049"/>
      <c r="DJ72" s="3049"/>
      <c r="DK72" s="3046"/>
      <c r="DL72" s="3046"/>
      <c r="DM72" s="3046"/>
      <c r="DN72" s="3046"/>
      <c r="DO72" s="3046"/>
      <c r="DP72" s="3046"/>
      <c r="DQ72" s="3046"/>
      <c r="DR72" s="3046"/>
      <c r="DS72" s="3046"/>
      <c r="DT72" s="3046"/>
      <c r="DU72" s="3046"/>
      <c r="DV72" s="3046"/>
      <c r="DW72" s="3046"/>
      <c r="DX72" s="3046"/>
      <c r="DY72" s="3046"/>
      <c r="DZ72" s="3046"/>
      <c r="EA72" s="3046"/>
      <c r="EB72" s="3046"/>
      <c r="EC72" s="3046"/>
      <c r="ED72" s="3046"/>
      <c r="EE72" s="3046"/>
      <c r="EF72" s="3046"/>
      <c r="EG72" s="3046"/>
      <c r="EH72" s="3046"/>
      <c r="EI72" s="3046"/>
      <c r="EJ72" s="3046"/>
      <c r="EK72" s="3046"/>
      <c r="EL72" s="3046"/>
      <c r="EM72" s="3046"/>
      <c r="EN72" s="3046"/>
      <c r="EO72" s="3046"/>
      <c r="EP72" s="3046"/>
      <c r="EQ72" s="3046"/>
      <c r="ER72" s="3046"/>
      <c r="ES72" s="3046"/>
      <c r="ET72" s="3046"/>
      <c r="EU72" s="3046"/>
      <c r="EV72" s="3046"/>
      <c r="EW72" s="3046"/>
      <c r="EX72" s="3046"/>
      <c r="EY72" s="3046"/>
      <c r="EZ72" s="3046"/>
      <c r="FA72" s="3046"/>
    </row>
    <row r="73" spans="38:157">
      <c r="AL73" s="3043"/>
      <c r="AM73" s="3043"/>
      <c r="AO73" s="3043"/>
      <c r="AP73" s="3043"/>
      <c r="AQ73" s="3043"/>
      <c r="AW73" s="3043"/>
      <c r="AZ73" s="3046"/>
      <c r="BV73" s="3046"/>
      <c r="BW73" s="3046"/>
      <c r="BX73" s="3046"/>
      <c r="BY73" s="3046"/>
      <c r="BZ73" s="3046"/>
      <c r="CA73" s="3046"/>
      <c r="CB73" s="3046"/>
      <c r="CC73" s="3046"/>
      <c r="CD73" s="3046"/>
      <c r="CE73" s="3046"/>
      <c r="CF73" s="3046"/>
      <c r="CG73" s="3046"/>
      <c r="CH73" s="3046"/>
      <c r="CI73" s="3046"/>
      <c r="CJ73" s="3046"/>
      <c r="CK73" s="3046"/>
      <c r="CL73" s="3046"/>
      <c r="CM73" s="3046"/>
      <c r="CN73" s="3046"/>
      <c r="CO73" s="3046"/>
      <c r="CP73" s="3046"/>
      <c r="CQ73" s="3046"/>
      <c r="CR73" s="3046"/>
      <c r="CS73" s="3046"/>
      <c r="CT73" s="3046"/>
      <c r="CU73" s="3046"/>
      <c r="CV73" s="3046"/>
      <c r="CW73" s="3046"/>
      <c r="CX73" s="3046"/>
      <c r="CY73" s="3046"/>
      <c r="CZ73" s="3046"/>
      <c r="DA73" s="3046"/>
      <c r="DB73" s="3046"/>
      <c r="DC73" s="3046"/>
      <c r="DD73" s="3046"/>
      <c r="DE73" s="3046"/>
      <c r="DF73" s="3046"/>
      <c r="DG73" s="3046"/>
      <c r="DH73" s="3046"/>
      <c r="DI73" s="3049"/>
      <c r="DJ73" s="3049"/>
      <c r="DK73" s="3046"/>
      <c r="DL73" s="3046"/>
      <c r="DM73" s="3046"/>
      <c r="DN73" s="3046"/>
      <c r="DO73" s="3046"/>
      <c r="DP73" s="3046"/>
      <c r="DQ73" s="3046"/>
      <c r="DR73" s="3046"/>
      <c r="DS73" s="3046"/>
      <c r="DT73" s="3046"/>
      <c r="DU73" s="3046"/>
      <c r="DV73" s="3046"/>
      <c r="DW73" s="3046"/>
      <c r="DX73" s="3046"/>
      <c r="DY73" s="3046"/>
      <c r="DZ73" s="3046"/>
      <c r="EA73" s="3046"/>
      <c r="EB73" s="3046"/>
      <c r="EC73" s="3046"/>
      <c r="ED73" s="3046"/>
      <c r="EE73" s="3046"/>
      <c r="EF73" s="3046"/>
      <c r="EG73" s="3046"/>
      <c r="EH73" s="3046"/>
      <c r="EI73" s="3046"/>
      <c r="EJ73" s="3046"/>
      <c r="EK73" s="3046"/>
      <c r="EL73" s="3046"/>
      <c r="EM73" s="3046"/>
      <c r="EN73" s="3046"/>
      <c r="EO73" s="3046"/>
      <c r="EP73" s="3046"/>
      <c r="EQ73" s="3046"/>
      <c r="ER73" s="3046"/>
      <c r="ES73" s="3046"/>
      <c r="ET73" s="3046"/>
      <c r="EU73" s="3046"/>
      <c r="EV73" s="3046"/>
      <c r="EW73" s="3046"/>
      <c r="EX73" s="3046"/>
      <c r="EY73" s="3046"/>
      <c r="EZ73" s="3046"/>
      <c r="FA73" s="3046"/>
    </row>
    <row r="74" spans="38:157">
      <c r="AL74" s="3043"/>
      <c r="AM74" s="3043"/>
      <c r="AO74" s="3043"/>
      <c r="AP74" s="3043"/>
      <c r="AQ74" s="3043"/>
      <c r="AW74" s="3043"/>
      <c r="AZ74" s="3046"/>
      <c r="BV74" s="3046"/>
      <c r="BW74" s="3046"/>
      <c r="BX74" s="3046"/>
      <c r="BY74" s="3046"/>
      <c r="BZ74" s="3046"/>
      <c r="CA74" s="3046"/>
      <c r="CB74" s="3046"/>
      <c r="CC74" s="3046"/>
      <c r="CD74" s="3046"/>
      <c r="CE74" s="3046"/>
      <c r="CF74" s="3046"/>
      <c r="CG74" s="3046"/>
      <c r="CH74" s="3046"/>
      <c r="CI74" s="3046"/>
      <c r="CJ74" s="3046"/>
      <c r="CK74" s="3046"/>
      <c r="CL74" s="3046"/>
      <c r="CM74" s="3046"/>
      <c r="CN74" s="3046"/>
      <c r="CO74" s="3046"/>
      <c r="CP74" s="3046"/>
      <c r="CQ74" s="3046"/>
      <c r="CR74" s="3046"/>
      <c r="CS74" s="3046"/>
      <c r="CT74" s="3046"/>
      <c r="CU74" s="3046"/>
      <c r="CV74" s="3046"/>
      <c r="CW74" s="3046"/>
      <c r="CX74" s="3046"/>
      <c r="CY74" s="3046"/>
      <c r="CZ74" s="3046"/>
      <c r="DA74" s="3046"/>
      <c r="DB74" s="3046"/>
      <c r="DC74" s="3046"/>
      <c r="DD74" s="3046"/>
      <c r="DE74" s="3046"/>
      <c r="DF74" s="3046"/>
      <c r="DG74" s="3046"/>
      <c r="DH74" s="3046"/>
      <c r="DI74" s="3049"/>
      <c r="DJ74" s="3049"/>
      <c r="DK74" s="3046"/>
      <c r="DL74" s="3046"/>
      <c r="DM74" s="3046"/>
      <c r="DN74" s="3046"/>
      <c r="DO74" s="3046"/>
      <c r="DP74" s="3046"/>
      <c r="DQ74" s="3046"/>
      <c r="DR74" s="3046"/>
      <c r="DS74" s="3046"/>
      <c r="DT74" s="3046"/>
      <c r="DU74" s="3046"/>
      <c r="DV74" s="3046"/>
      <c r="DW74" s="3046"/>
      <c r="DX74" s="3046"/>
      <c r="DY74" s="3046"/>
      <c r="DZ74" s="3046"/>
      <c r="EA74" s="3046"/>
      <c r="EB74" s="3046"/>
      <c r="EC74" s="3046"/>
      <c r="ED74" s="3046"/>
      <c r="EE74" s="3046"/>
      <c r="EF74" s="3046"/>
      <c r="EG74" s="3046"/>
      <c r="EH74" s="3046"/>
      <c r="EI74" s="3046"/>
      <c r="EJ74" s="3046"/>
      <c r="EK74" s="3046"/>
      <c r="EL74" s="3046"/>
      <c r="EM74" s="3046"/>
      <c r="EN74" s="3046"/>
      <c r="EO74" s="3046"/>
      <c r="EP74" s="3046"/>
      <c r="EQ74" s="3046"/>
      <c r="ER74" s="3046"/>
      <c r="ES74" s="3046"/>
      <c r="ET74" s="3046"/>
      <c r="EU74" s="3046"/>
      <c r="EV74" s="3046"/>
      <c r="EW74" s="3046"/>
      <c r="EX74" s="3046"/>
      <c r="EY74" s="3046"/>
      <c r="EZ74" s="3046"/>
      <c r="FA74" s="3046"/>
    </row>
    <row r="75" spans="38:157">
      <c r="AL75" s="3043"/>
      <c r="AM75" s="3043"/>
      <c r="AO75" s="3043"/>
      <c r="AP75" s="3043"/>
      <c r="AQ75" s="3043"/>
      <c r="AW75" s="3043"/>
      <c r="AZ75" s="3046"/>
      <c r="BV75" s="3046"/>
      <c r="BW75" s="3046"/>
      <c r="BX75" s="3046"/>
      <c r="BY75" s="3046"/>
      <c r="BZ75" s="3046"/>
      <c r="CA75" s="3046"/>
      <c r="CB75" s="3046"/>
      <c r="CC75" s="3046"/>
      <c r="CD75" s="3046"/>
      <c r="CE75" s="3046"/>
      <c r="CF75" s="3046"/>
      <c r="CG75" s="3046"/>
      <c r="CH75" s="3046"/>
      <c r="CI75" s="3046"/>
      <c r="CJ75" s="3046"/>
      <c r="CK75" s="3046"/>
      <c r="CL75" s="3046"/>
      <c r="CM75" s="3046"/>
      <c r="CN75" s="3046"/>
      <c r="CO75" s="3046"/>
      <c r="CP75" s="3046"/>
      <c r="CQ75" s="3046"/>
      <c r="CR75" s="3046"/>
      <c r="CS75" s="3046"/>
      <c r="CT75" s="3046"/>
      <c r="CU75" s="3046"/>
      <c r="CV75" s="3046"/>
      <c r="CW75" s="3046"/>
      <c r="CX75" s="3046"/>
      <c r="CY75" s="3046"/>
      <c r="CZ75" s="3046"/>
      <c r="DA75" s="3046"/>
      <c r="DB75" s="3046"/>
      <c r="DC75" s="3046"/>
      <c r="DD75" s="3046"/>
      <c r="DE75" s="3046"/>
      <c r="DF75" s="3046"/>
      <c r="DG75" s="3046"/>
      <c r="DH75" s="3046"/>
      <c r="DI75" s="3049"/>
      <c r="DJ75" s="3049"/>
      <c r="DK75" s="3046"/>
      <c r="DL75" s="3046"/>
      <c r="DM75" s="3046"/>
      <c r="DN75" s="3046"/>
      <c r="DO75" s="3046"/>
      <c r="DP75" s="3046"/>
      <c r="DQ75" s="3046"/>
      <c r="DR75" s="3046"/>
      <c r="DS75" s="3046"/>
      <c r="DT75" s="3046"/>
      <c r="DU75" s="3046"/>
      <c r="DV75" s="3046"/>
      <c r="DW75" s="3046"/>
      <c r="DX75" s="3046"/>
      <c r="DY75" s="3046"/>
      <c r="DZ75" s="3046"/>
      <c r="EA75" s="3046"/>
      <c r="EB75" s="3046"/>
      <c r="EC75" s="3046"/>
      <c r="ED75" s="3046"/>
      <c r="EE75" s="3046"/>
      <c r="EF75" s="3046"/>
      <c r="EG75" s="3046"/>
      <c r="EH75" s="3046"/>
      <c r="EI75" s="3046"/>
      <c r="EJ75" s="3046"/>
      <c r="EK75" s="3046"/>
      <c r="EL75" s="3046"/>
      <c r="EM75" s="3046"/>
      <c r="EN75" s="3046"/>
      <c r="EO75" s="3046"/>
      <c r="EP75" s="3046"/>
      <c r="EQ75" s="3046"/>
      <c r="ER75" s="3046"/>
      <c r="ES75" s="3046"/>
      <c r="ET75" s="3046"/>
      <c r="EU75" s="3046"/>
      <c r="EV75" s="3046"/>
      <c r="EW75" s="3046"/>
      <c r="EX75" s="3046"/>
      <c r="EY75" s="3046"/>
      <c r="EZ75" s="3046"/>
      <c r="FA75" s="3046"/>
    </row>
    <row r="76" spans="38:157">
      <c r="AL76" s="3043"/>
      <c r="AM76" s="3043"/>
      <c r="AO76" s="3043"/>
      <c r="AP76" s="3043"/>
      <c r="AQ76" s="3043"/>
      <c r="AW76" s="3043"/>
      <c r="AZ76" s="3046"/>
      <c r="BV76" s="3046"/>
      <c r="BW76" s="3046"/>
      <c r="BX76" s="3046"/>
      <c r="BY76" s="3046"/>
      <c r="BZ76" s="3046"/>
      <c r="CA76" s="3046"/>
      <c r="CB76" s="3046"/>
      <c r="CC76" s="3046"/>
      <c r="CD76" s="3046"/>
      <c r="CE76" s="3046"/>
      <c r="CF76" s="3046"/>
      <c r="CG76" s="3046"/>
      <c r="CH76" s="3046"/>
      <c r="CI76" s="3046"/>
      <c r="CJ76" s="3046"/>
      <c r="CK76" s="3046"/>
      <c r="CL76" s="3046"/>
      <c r="CM76" s="3046"/>
      <c r="CN76" s="3046"/>
      <c r="CO76" s="3046"/>
      <c r="CP76" s="3046"/>
      <c r="CQ76" s="3046"/>
      <c r="CR76" s="3046"/>
      <c r="CS76" s="3046"/>
      <c r="CT76" s="3046"/>
      <c r="CU76" s="3046"/>
      <c r="CV76" s="3046"/>
      <c r="CW76" s="3046"/>
      <c r="CX76" s="3046"/>
      <c r="CY76" s="3046"/>
      <c r="CZ76" s="3046"/>
      <c r="DA76" s="3046"/>
      <c r="DB76" s="3046"/>
      <c r="DC76" s="3046"/>
      <c r="DD76" s="3046"/>
      <c r="DE76" s="3046"/>
      <c r="DF76" s="3046"/>
      <c r="DG76" s="3046"/>
      <c r="DH76" s="3046"/>
      <c r="DI76" s="3049"/>
      <c r="DJ76" s="3049"/>
      <c r="DK76" s="3046"/>
      <c r="DL76" s="3046"/>
      <c r="DM76" s="3046"/>
      <c r="DN76" s="3046"/>
      <c r="DO76" s="3046"/>
      <c r="DP76" s="3046"/>
      <c r="DQ76" s="3046"/>
      <c r="DR76" s="3046"/>
      <c r="DS76" s="3046"/>
      <c r="DT76" s="3046"/>
      <c r="DU76" s="3046"/>
      <c r="DV76" s="3046"/>
      <c r="DW76" s="3046"/>
      <c r="DX76" s="3046"/>
      <c r="DY76" s="3046"/>
      <c r="DZ76" s="3046"/>
      <c r="EA76" s="3046"/>
      <c r="EB76" s="3046"/>
      <c r="EC76" s="3046"/>
      <c r="ED76" s="3046"/>
      <c r="EE76" s="3046"/>
      <c r="EF76" s="3046"/>
      <c r="EG76" s="3046"/>
      <c r="EH76" s="3046"/>
      <c r="EI76" s="3046"/>
      <c r="EJ76" s="3046"/>
      <c r="EK76" s="3046"/>
      <c r="EL76" s="3046"/>
      <c r="EM76" s="3046"/>
      <c r="EN76" s="3046"/>
      <c r="EO76" s="3046"/>
      <c r="EP76" s="3046"/>
      <c r="EQ76" s="3046"/>
      <c r="ER76" s="3046"/>
      <c r="ES76" s="3046"/>
      <c r="ET76" s="3046"/>
      <c r="EU76" s="3046"/>
      <c r="EV76" s="3046"/>
      <c r="EW76" s="3046"/>
      <c r="EX76" s="3046"/>
      <c r="EY76" s="3046"/>
      <c r="EZ76" s="3046"/>
      <c r="FA76" s="3046"/>
    </row>
    <row r="77" spans="38:157">
      <c r="AL77" s="3043"/>
      <c r="AM77" s="3043"/>
      <c r="AO77" s="3043"/>
      <c r="AP77" s="3043"/>
      <c r="AQ77" s="3043"/>
      <c r="AW77" s="3043"/>
      <c r="AZ77" s="3046"/>
      <c r="BV77" s="3046"/>
      <c r="BW77" s="3046"/>
      <c r="BX77" s="3046"/>
      <c r="BY77" s="3046"/>
      <c r="BZ77" s="3046"/>
      <c r="CA77" s="3046"/>
      <c r="CB77" s="3046"/>
      <c r="CC77" s="3046"/>
      <c r="CD77" s="3046"/>
      <c r="CE77" s="3046"/>
      <c r="CF77" s="3046"/>
      <c r="CG77" s="3046"/>
      <c r="CH77" s="3046"/>
      <c r="CI77" s="3046"/>
      <c r="CJ77" s="3046"/>
      <c r="CK77" s="3046"/>
      <c r="CL77" s="3046"/>
      <c r="CM77" s="3046"/>
      <c r="CN77" s="3046"/>
      <c r="CO77" s="3046"/>
      <c r="CP77" s="3046"/>
      <c r="CQ77" s="3046"/>
      <c r="CR77" s="3046"/>
      <c r="CS77" s="3046"/>
      <c r="CT77" s="3046"/>
      <c r="CU77" s="3046"/>
      <c r="CV77" s="3046"/>
      <c r="CW77" s="3046"/>
      <c r="CX77" s="3046"/>
      <c r="CY77" s="3046"/>
      <c r="CZ77" s="3046"/>
      <c r="DA77" s="3046"/>
      <c r="DB77" s="3046"/>
      <c r="DC77" s="3046"/>
      <c r="DD77" s="3046"/>
      <c r="DE77" s="3046"/>
      <c r="DF77" s="3046"/>
      <c r="DG77" s="3046"/>
      <c r="DH77" s="3046"/>
      <c r="DI77" s="3049"/>
      <c r="DJ77" s="3049"/>
      <c r="DK77" s="3046"/>
      <c r="DL77" s="3046"/>
      <c r="DM77" s="3046"/>
      <c r="DN77" s="3046"/>
      <c r="DO77" s="3046"/>
      <c r="DP77" s="3046"/>
      <c r="DQ77" s="3046"/>
      <c r="DR77" s="3046"/>
      <c r="DS77" s="3046"/>
      <c r="DT77" s="3046"/>
      <c r="DU77" s="3046"/>
      <c r="DV77" s="3046"/>
      <c r="DW77" s="3046"/>
      <c r="DX77" s="3046"/>
      <c r="DY77" s="3046"/>
      <c r="DZ77" s="3046"/>
      <c r="EA77" s="3046"/>
      <c r="EB77" s="3046"/>
      <c r="EC77" s="3046"/>
      <c r="ED77" s="3046"/>
      <c r="EE77" s="3046"/>
      <c r="EF77" s="3046"/>
      <c r="EG77" s="3046"/>
      <c r="EH77" s="3046"/>
      <c r="EI77" s="3046"/>
      <c r="EJ77" s="3046"/>
      <c r="EK77" s="3046"/>
      <c r="EL77" s="3046"/>
      <c r="EM77" s="3046"/>
      <c r="EN77" s="3046"/>
      <c r="EO77" s="3046"/>
      <c r="EP77" s="3046"/>
      <c r="EQ77" s="3046"/>
      <c r="ER77" s="3046"/>
      <c r="ES77" s="3046"/>
      <c r="ET77" s="3046"/>
      <c r="EU77" s="3046"/>
      <c r="EV77" s="3046"/>
      <c r="EW77" s="3046"/>
      <c r="EX77" s="3046"/>
      <c r="EY77" s="3046"/>
      <c r="EZ77" s="3046"/>
      <c r="FA77" s="3046"/>
    </row>
    <row r="78" spans="38:157">
      <c r="AL78" s="3043"/>
      <c r="AM78" s="3043"/>
      <c r="AO78" s="3043"/>
      <c r="AP78" s="3043"/>
      <c r="AQ78" s="3043"/>
      <c r="AW78" s="3043"/>
      <c r="AZ78" s="3046"/>
      <c r="BV78" s="3046"/>
      <c r="BW78" s="3046"/>
      <c r="BX78" s="3046"/>
      <c r="BY78" s="3046"/>
      <c r="BZ78" s="3046"/>
      <c r="CA78" s="3046"/>
      <c r="CB78" s="3046"/>
      <c r="CC78" s="3046"/>
      <c r="CD78" s="3046"/>
      <c r="CE78" s="3046"/>
      <c r="CF78" s="3046"/>
      <c r="CG78" s="3046"/>
      <c r="CH78" s="3046"/>
      <c r="CI78" s="3046"/>
      <c r="CJ78" s="3046"/>
      <c r="CK78" s="3046"/>
      <c r="CL78" s="3046"/>
      <c r="CM78" s="3046"/>
      <c r="CN78" s="3046"/>
      <c r="CO78" s="3046"/>
      <c r="CP78" s="3046"/>
      <c r="CQ78" s="3046"/>
      <c r="CR78" s="3046"/>
      <c r="CS78" s="3046"/>
      <c r="CT78" s="3046"/>
      <c r="CU78" s="3046"/>
      <c r="CV78" s="3046"/>
      <c r="CW78" s="3046"/>
      <c r="CX78" s="3046"/>
      <c r="CY78" s="3046"/>
      <c r="CZ78" s="3046"/>
      <c r="DA78" s="3046"/>
      <c r="DB78" s="3046"/>
      <c r="DC78" s="3046"/>
      <c r="DD78" s="3046"/>
      <c r="DE78" s="3046"/>
      <c r="DF78" s="3046"/>
      <c r="DG78" s="3046"/>
      <c r="DH78" s="3046"/>
      <c r="DI78" s="3049"/>
      <c r="DJ78" s="3049"/>
      <c r="DK78" s="3046"/>
      <c r="DL78" s="3046"/>
      <c r="DM78" s="3046"/>
      <c r="DN78" s="3046"/>
      <c r="DO78" s="3046"/>
      <c r="DP78" s="3046"/>
      <c r="DQ78" s="3046"/>
      <c r="DR78" s="3046"/>
      <c r="DS78" s="3046"/>
      <c r="DT78" s="3046"/>
      <c r="DU78" s="3046"/>
      <c r="DV78" s="3046"/>
      <c r="DW78" s="3046"/>
      <c r="DX78" s="3046"/>
      <c r="DY78" s="3046"/>
      <c r="DZ78" s="3046"/>
      <c r="EA78" s="3046"/>
      <c r="EB78" s="3046"/>
      <c r="EC78" s="3046"/>
      <c r="ED78" s="3046"/>
      <c r="EE78" s="3046"/>
      <c r="EF78" s="3046"/>
      <c r="EG78" s="3046"/>
      <c r="EH78" s="3046"/>
      <c r="EI78" s="3046"/>
      <c r="EJ78" s="3046"/>
      <c r="EK78" s="3046"/>
      <c r="EL78" s="3046"/>
      <c r="EM78" s="3046"/>
      <c r="EN78" s="3046"/>
      <c r="EO78" s="3046"/>
      <c r="EP78" s="3046"/>
      <c r="EQ78" s="3046"/>
      <c r="ER78" s="3046"/>
      <c r="ES78" s="3046"/>
      <c r="ET78" s="3046"/>
      <c r="EU78" s="3046"/>
      <c r="EV78" s="3046"/>
      <c r="EW78" s="3046"/>
      <c r="EX78" s="3046"/>
      <c r="EY78" s="3046"/>
      <c r="EZ78" s="3046"/>
      <c r="FA78" s="3046"/>
    </row>
    <row r="79" spans="38:157">
      <c r="AL79" s="3043"/>
      <c r="AM79" s="3043"/>
      <c r="AO79" s="3043"/>
      <c r="AP79" s="3043"/>
      <c r="AQ79" s="3043"/>
      <c r="AW79" s="3043"/>
      <c r="AZ79" s="3046"/>
      <c r="BV79" s="3046"/>
      <c r="BW79" s="3046"/>
      <c r="BX79" s="3046"/>
      <c r="BY79" s="3046"/>
      <c r="BZ79" s="3046"/>
      <c r="CA79" s="3046"/>
      <c r="CB79" s="3046"/>
      <c r="CC79" s="3046"/>
      <c r="CD79" s="3046"/>
      <c r="CE79" s="3046"/>
      <c r="CF79" s="3046"/>
      <c r="CG79" s="3046"/>
      <c r="CH79" s="3046"/>
      <c r="CI79" s="3046"/>
      <c r="CJ79" s="3046"/>
      <c r="CK79" s="3046"/>
      <c r="CL79" s="3046"/>
      <c r="CM79" s="3046"/>
      <c r="CN79" s="3046"/>
      <c r="CO79" s="3046"/>
      <c r="CP79" s="3046"/>
      <c r="CQ79" s="3046"/>
      <c r="CR79" s="3046"/>
      <c r="CS79" s="3046"/>
      <c r="CT79" s="3046"/>
      <c r="CU79" s="3046"/>
      <c r="CV79" s="3046"/>
      <c r="CW79" s="3046"/>
      <c r="CX79" s="3046"/>
      <c r="CY79" s="3046"/>
      <c r="CZ79" s="3046"/>
      <c r="DA79" s="3046"/>
      <c r="DB79" s="3046"/>
      <c r="DC79" s="3046"/>
      <c r="DD79" s="3046"/>
      <c r="DE79" s="3046"/>
      <c r="DF79" s="3046"/>
      <c r="DG79" s="3046"/>
      <c r="DH79" s="3046"/>
      <c r="DI79" s="3049"/>
      <c r="DJ79" s="3049"/>
      <c r="DK79" s="3046"/>
      <c r="DL79" s="3046"/>
      <c r="DM79" s="3046"/>
      <c r="DN79" s="3046"/>
      <c r="DO79" s="3046"/>
      <c r="DP79" s="3046"/>
      <c r="DQ79" s="3046"/>
      <c r="DR79" s="3046"/>
      <c r="DS79" s="3046"/>
      <c r="DT79" s="3046"/>
      <c r="DU79" s="3046"/>
      <c r="DV79" s="3046"/>
      <c r="DW79" s="3046"/>
      <c r="DX79" s="3046"/>
      <c r="DY79" s="3046"/>
      <c r="DZ79" s="3046"/>
      <c r="EA79" s="3046"/>
      <c r="EB79" s="3046"/>
      <c r="EC79" s="3046"/>
      <c r="ED79" s="3046"/>
      <c r="EE79" s="3046"/>
      <c r="EF79" s="3046"/>
      <c r="EG79" s="3046"/>
      <c r="EH79" s="3046"/>
      <c r="EI79" s="3046"/>
      <c r="EJ79" s="3046"/>
      <c r="EK79" s="3046"/>
      <c r="EL79" s="3046"/>
      <c r="EM79" s="3046"/>
      <c r="EN79" s="3046"/>
      <c r="EO79" s="3046"/>
      <c r="EP79" s="3046"/>
      <c r="EQ79" s="3046"/>
      <c r="ER79" s="3046"/>
      <c r="ES79" s="3046"/>
      <c r="ET79" s="3046"/>
      <c r="EU79" s="3046"/>
      <c r="EV79" s="3046"/>
      <c r="EW79" s="3046"/>
      <c r="EX79" s="3046"/>
      <c r="EY79" s="3046"/>
      <c r="EZ79" s="3046"/>
      <c r="FA79" s="3046"/>
    </row>
    <row r="80" spans="38:157">
      <c r="AL80" s="3043"/>
      <c r="AM80" s="3043"/>
      <c r="AO80" s="3043"/>
      <c r="AP80" s="3043"/>
      <c r="AQ80" s="3043"/>
      <c r="AW80" s="3043"/>
      <c r="AZ80" s="3046"/>
    </row>
    <row r="81" spans="38:52">
      <c r="AL81" s="3043"/>
      <c r="AM81" s="3043"/>
      <c r="AO81" s="3043"/>
      <c r="AP81" s="3043"/>
      <c r="AQ81" s="3043"/>
      <c r="AW81" s="3043"/>
      <c r="AZ81" s="3046"/>
    </row>
    <row r="82" spans="38:52">
      <c r="AL82" s="3043"/>
      <c r="AM82" s="3043"/>
      <c r="AO82" s="3043"/>
      <c r="AP82" s="3043"/>
      <c r="AQ82" s="3043"/>
      <c r="AW82" s="3043"/>
      <c r="AZ82" s="3046"/>
    </row>
    <row r="83" spans="38:52">
      <c r="AL83" s="3043"/>
      <c r="AM83" s="3043"/>
      <c r="AO83" s="3043"/>
      <c r="AP83" s="3043"/>
      <c r="AQ83" s="3043"/>
      <c r="AW83" s="3043"/>
      <c r="AZ83" s="3046"/>
    </row>
    <row r="84" spans="38:52">
      <c r="AL84" s="3043"/>
      <c r="AM84" s="3043"/>
      <c r="AO84" s="3043"/>
      <c r="AP84" s="3043"/>
      <c r="AQ84" s="3043"/>
      <c r="AW84" s="3043"/>
      <c r="AZ84" s="3046"/>
    </row>
    <row r="85" spans="38:52">
      <c r="AL85" s="3043"/>
      <c r="AM85" s="3043"/>
      <c r="AO85" s="3043"/>
      <c r="AP85" s="3043"/>
      <c r="AQ85" s="3043"/>
      <c r="AW85" s="3043"/>
      <c r="AZ85" s="3046"/>
    </row>
    <row r="86" spans="38:52">
      <c r="AL86" s="3043"/>
      <c r="AM86" s="3043"/>
      <c r="AO86" s="3043"/>
      <c r="AP86" s="3043"/>
      <c r="AQ86" s="3043"/>
      <c r="AW86" s="3043"/>
      <c r="AZ86" s="3046"/>
    </row>
    <row r="87" spans="38:52">
      <c r="AL87" s="3043"/>
      <c r="AM87" s="3043"/>
      <c r="AO87" s="3043"/>
      <c r="AP87" s="3043"/>
      <c r="AQ87" s="3043"/>
      <c r="AW87" s="3043"/>
      <c r="AZ87" s="3046"/>
    </row>
    <row r="88" spans="38:52">
      <c r="AL88" s="3043"/>
      <c r="AM88" s="3043"/>
      <c r="AO88" s="3043"/>
      <c r="AP88" s="3043"/>
      <c r="AQ88" s="3043"/>
      <c r="AW88" s="3043"/>
      <c r="AZ88" s="3046"/>
    </row>
    <row r="89" spans="38:52">
      <c r="AL89" s="3043"/>
      <c r="AM89" s="3043"/>
      <c r="AO89" s="3043"/>
      <c r="AP89" s="3043"/>
      <c r="AQ89" s="3043"/>
      <c r="AW89" s="3043"/>
      <c r="AZ89" s="3046"/>
    </row>
    <row r="90" spans="38:52">
      <c r="AL90" s="3043"/>
      <c r="AM90" s="3043"/>
      <c r="AO90" s="3043"/>
      <c r="AP90" s="3043"/>
      <c r="AQ90" s="3043"/>
      <c r="AW90" s="3043"/>
      <c r="AZ90" s="3046"/>
    </row>
    <row r="91" spans="38:52">
      <c r="AL91" s="3043"/>
      <c r="AM91" s="3043"/>
      <c r="AO91" s="3043"/>
      <c r="AP91" s="3043"/>
      <c r="AQ91" s="3043"/>
      <c r="AW91" s="3043"/>
      <c r="AZ91" s="3046"/>
    </row>
    <row r="92" spans="38:52">
      <c r="AL92" s="3043"/>
      <c r="AM92" s="3043"/>
      <c r="AO92" s="3043"/>
      <c r="AP92" s="3043"/>
      <c r="AQ92" s="3043"/>
      <c r="AW92" s="3043"/>
      <c r="AZ92" s="3046"/>
    </row>
    <row r="93" spans="38:52">
      <c r="AL93" s="3043"/>
      <c r="AM93" s="3043"/>
      <c r="AO93" s="3043"/>
      <c r="AP93" s="3043"/>
      <c r="AQ93" s="3043"/>
      <c r="AW93" s="3043"/>
      <c r="AZ93" s="3046"/>
    </row>
    <row r="94" spans="38:52">
      <c r="AL94" s="3043"/>
      <c r="AM94" s="3043"/>
      <c r="AO94" s="3043"/>
      <c r="AP94" s="3043"/>
      <c r="AQ94" s="3043"/>
      <c r="AW94" s="3043"/>
      <c r="AZ94" s="3046"/>
    </row>
    <row r="341" spans="3:73">
      <c r="C341" s="3038"/>
      <c r="D341" s="3038"/>
      <c r="E341" s="3038"/>
      <c r="H341" s="3038"/>
      <c r="I341" s="3038"/>
      <c r="J341" s="3038"/>
      <c r="K341" s="3038"/>
      <c r="M341" s="3038"/>
      <c r="N341" s="3038"/>
      <c r="O341" s="3038"/>
      <c r="P341" s="3038"/>
      <c r="Q341" s="3038"/>
      <c r="R341" s="3038"/>
      <c r="S341" s="3038"/>
      <c r="T341" s="3038"/>
      <c r="W341" s="3038"/>
      <c r="X341" s="3038"/>
      <c r="Y341" s="3038"/>
      <c r="Z341" s="3038"/>
      <c r="AA341" s="3113"/>
      <c r="AB341" s="3038"/>
      <c r="AC341" s="3038"/>
      <c r="AD341" s="3038"/>
      <c r="AE341" s="3132"/>
      <c r="AF341" s="3038"/>
      <c r="AG341" s="3038"/>
      <c r="AH341" s="3038"/>
      <c r="AK341" s="3038"/>
      <c r="AL341" s="3038"/>
      <c r="AM341" s="3038"/>
      <c r="AN341" s="3038"/>
      <c r="AO341" s="3038"/>
      <c r="AP341" s="3038"/>
      <c r="AQ341" s="3038"/>
      <c r="AR341" s="3038"/>
      <c r="AS341" s="3038"/>
      <c r="AT341" s="3038"/>
      <c r="AU341" s="3038"/>
      <c r="AV341" s="3038"/>
      <c r="AW341" s="3038"/>
      <c r="AX341" s="3038"/>
      <c r="AY341" s="3038"/>
      <c r="AZ341" s="3038"/>
      <c r="BA341" s="3038"/>
      <c r="BB341" s="3038"/>
      <c r="BC341" s="3038"/>
      <c r="BD341" s="3038"/>
      <c r="BE341" s="3038"/>
      <c r="BF341" s="3038"/>
      <c r="BG341" s="3038"/>
      <c r="BH341" s="3038"/>
      <c r="BI341" s="3038"/>
      <c r="BJ341" s="3038"/>
      <c r="BK341" s="3038"/>
      <c r="BL341" s="3038"/>
      <c r="BM341" s="3038"/>
      <c r="BN341" s="3038"/>
      <c r="BO341" s="3038"/>
      <c r="BP341" s="3038"/>
      <c r="BQ341" s="3038"/>
      <c r="BR341" s="3038"/>
      <c r="BS341" s="3038"/>
      <c r="BT341" s="3038"/>
      <c r="BU341" s="3038"/>
    </row>
    <row r="342" spans="3:73">
      <c r="C342" s="3038"/>
      <c r="D342" s="3038"/>
      <c r="E342" s="3038"/>
      <c r="H342" s="3038"/>
      <c r="I342" s="3038"/>
      <c r="J342" s="3038"/>
      <c r="K342" s="3038"/>
      <c r="M342" s="3038"/>
      <c r="N342" s="3038"/>
      <c r="O342" s="3038"/>
      <c r="P342" s="3038"/>
      <c r="Q342" s="3038"/>
      <c r="R342" s="3038"/>
      <c r="S342" s="3038"/>
      <c r="T342" s="3038"/>
      <c r="W342" s="3038"/>
      <c r="X342" s="3038"/>
      <c r="Y342" s="3038"/>
      <c r="Z342" s="3038"/>
      <c r="AA342" s="3113"/>
      <c r="AB342" s="3038"/>
      <c r="AC342" s="3038"/>
      <c r="AD342" s="3038"/>
      <c r="AE342" s="3132"/>
      <c r="AF342" s="3038"/>
      <c r="AG342" s="3038"/>
      <c r="AH342" s="3038"/>
      <c r="AK342" s="3038"/>
      <c r="AL342" s="3038"/>
      <c r="AM342" s="3038"/>
      <c r="AN342" s="3038"/>
      <c r="AO342" s="3038"/>
      <c r="AP342" s="3038"/>
      <c r="AQ342" s="3038"/>
      <c r="AR342" s="3038"/>
      <c r="AS342" s="3038"/>
      <c r="AT342" s="3038"/>
      <c r="AU342" s="3038"/>
      <c r="AV342" s="3038"/>
      <c r="AW342" s="3038"/>
      <c r="AX342" s="3038"/>
      <c r="AY342" s="3038"/>
      <c r="AZ342" s="3038"/>
      <c r="BA342" s="3038"/>
      <c r="BB342" s="3038"/>
      <c r="BC342" s="3038"/>
      <c r="BD342" s="3038"/>
      <c r="BE342" s="3038"/>
      <c r="BF342" s="3038"/>
      <c r="BG342" s="3038"/>
      <c r="BH342" s="3038"/>
      <c r="BI342" s="3038"/>
      <c r="BJ342" s="3038"/>
      <c r="BK342" s="3038"/>
      <c r="BL342" s="3038"/>
      <c r="BM342" s="3038"/>
      <c r="BN342" s="3038"/>
      <c r="BO342" s="3038"/>
      <c r="BP342" s="3038"/>
      <c r="BQ342" s="3038"/>
      <c r="BR342" s="3038"/>
      <c r="BS342" s="3038"/>
      <c r="BT342" s="3038"/>
      <c r="BU342" s="3038"/>
    </row>
    <row r="343" spans="3:73">
      <c r="C343" s="3038"/>
      <c r="D343" s="3038"/>
      <c r="E343" s="3038"/>
      <c r="H343" s="3038"/>
      <c r="I343" s="3038"/>
      <c r="J343" s="3038"/>
      <c r="K343" s="3038"/>
      <c r="M343" s="3038"/>
      <c r="N343" s="3038"/>
      <c r="O343" s="3038"/>
      <c r="P343" s="3038"/>
      <c r="Q343" s="3038"/>
      <c r="R343" s="3038"/>
      <c r="S343" s="3038"/>
      <c r="T343" s="3038"/>
      <c r="W343" s="3038"/>
      <c r="X343" s="3038"/>
      <c r="Y343" s="3038"/>
      <c r="Z343" s="3038"/>
      <c r="AA343" s="3113"/>
      <c r="AB343" s="3038"/>
      <c r="AC343" s="3038"/>
      <c r="AD343" s="3038"/>
      <c r="AE343" s="3132"/>
      <c r="AF343" s="3038"/>
      <c r="AG343" s="3038"/>
      <c r="AH343" s="3038"/>
      <c r="AK343" s="3038"/>
      <c r="AL343" s="3038"/>
      <c r="AM343" s="3038"/>
      <c r="AN343" s="3038"/>
      <c r="AO343" s="3038"/>
      <c r="AP343" s="3038"/>
      <c r="AQ343" s="3038"/>
      <c r="AR343" s="3038"/>
      <c r="AS343" s="3038"/>
      <c r="AT343" s="3038"/>
      <c r="AU343" s="3038"/>
      <c r="AV343" s="3038"/>
      <c r="AW343" s="3038"/>
      <c r="AX343" s="3038"/>
      <c r="AY343" s="3038"/>
      <c r="AZ343" s="3038"/>
      <c r="BA343" s="3038"/>
      <c r="BB343" s="3038"/>
      <c r="BC343" s="3038"/>
      <c r="BD343" s="3038"/>
      <c r="BE343" s="3038"/>
      <c r="BF343" s="3038"/>
      <c r="BG343" s="3038"/>
      <c r="BH343" s="3038"/>
      <c r="BI343" s="3038"/>
      <c r="BJ343" s="3038"/>
      <c r="BK343" s="3038"/>
      <c r="BL343" s="3038"/>
      <c r="BM343" s="3038"/>
      <c r="BN343" s="3038"/>
      <c r="BO343" s="3038"/>
      <c r="BP343" s="3038"/>
      <c r="BQ343" s="3038"/>
      <c r="BR343" s="3038"/>
      <c r="BS343" s="3038"/>
      <c r="BT343" s="3038"/>
      <c r="BU343" s="3038"/>
    </row>
    <row r="344" spans="3:73">
      <c r="C344" s="3038"/>
      <c r="D344" s="3038"/>
      <c r="E344" s="3038"/>
      <c r="H344" s="3038"/>
      <c r="I344" s="3038"/>
      <c r="J344" s="3038"/>
      <c r="K344" s="3038"/>
      <c r="M344" s="3038"/>
      <c r="N344" s="3038"/>
      <c r="O344" s="3038"/>
      <c r="P344" s="3038"/>
      <c r="Q344" s="3038"/>
      <c r="R344" s="3038"/>
      <c r="S344" s="3038"/>
      <c r="T344" s="3038"/>
      <c r="W344" s="3038"/>
      <c r="X344" s="3038"/>
      <c r="Y344" s="3038"/>
      <c r="Z344" s="3038"/>
      <c r="AA344" s="3113"/>
      <c r="AB344" s="3038"/>
      <c r="AC344" s="3038"/>
      <c r="AD344" s="3038"/>
      <c r="AE344" s="3132"/>
      <c r="AF344" s="3038"/>
      <c r="AG344" s="3038"/>
      <c r="AH344" s="3038"/>
      <c r="AK344" s="3038"/>
      <c r="AL344" s="3038"/>
      <c r="AM344" s="3038"/>
      <c r="AN344" s="3038"/>
      <c r="AO344" s="3038"/>
      <c r="AP344" s="3038"/>
      <c r="AQ344" s="3038"/>
      <c r="AR344" s="3038"/>
      <c r="AS344" s="3038"/>
      <c r="AT344" s="3038"/>
      <c r="AU344" s="3038"/>
      <c r="AV344" s="3038"/>
      <c r="AW344" s="3038"/>
      <c r="AX344" s="3038"/>
      <c r="AY344" s="3038"/>
      <c r="AZ344" s="3038"/>
      <c r="BA344" s="3038"/>
      <c r="BB344" s="3038"/>
      <c r="BC344" s="3038"/>
      <c r="BD344" s="3038"/>
      <c r="BE344" s="3038"/>
      <c r="BF344" s="3038"/>
      <c r="BG344" s="3038"/>
      <c r="BH344" s="3038"/>
      <c r="BI344" s="3038"/>
      <c r="BJ344" s="3038"/>
      <c r="BK344" s="3038"/>
      <c r="BL344" s="3038"/>
      <c r="BM344" s="3038"/>
      <c r="BN344" s="3038"/>
      <c r="BO344" s="3038"/>
      <c r="BP344" s="3038"/>
      <c r="BQ344" s="3038"/>
      <c r="BR344" s="3038"/>
      <c r="BS344" s="3038"/>
      <c r="BT344" s="3038"/>
      <c r="BU344" s="3038"/>
    </row>
    <row r="345" spans="3:73">
      <c r="C345" s="3038"/>
      <c r="D345" s="3038"/>
      <c r="E345" s="3038"/>
      <c r="H345" s="3038"/>
      <c r="I345" s="3038"/>
      <c r="J345" s="3038"/>
      <c r="K345" s="3038"/>
      <c r="M345" s="3038"/>
      <c r="N345" s="3038"/>
      <c r="O345" s="3038"/>
      <c r="P345" s="3038"/>
      <c r="Q345" s="3038"/>
      <c r="R345" s="3038"/>
      <c r="S345" s="3038"/>
      <c r="T345" s="3038"/>
      <c r="W345" s="3038"/>
      <c r="X345" s="3038"/>
      <c r="Y345" s="3038"/>
      <c r="Z345" s="3038"/>
      <c r="AA345" s="3113"/>
      <c r="AB345" s="3038"/>
      <c r="AC345" s="3038"/>
      <c r="AD345" s="3038"/>
      <c r="AE345" s="3132"/>
      <c r="AF345" s="3038"/>
      <c r="AG345" s="3038"/>
      <c r="AH345" s="3038"/>
      <c r="AK345" s="3038"/>
      <c r="AL345" s="3038"/>
      <c r="AM345" s="3038"/>
      <c r="AN345" s="3038"/>
      <c r="AO345" s="3038"/>
      <c r="AP345" s="3038"/>
      <c r="AQ345" s="3038"/>
      <c r="AR345" s="3038"/>
      <c r="AS345" s="3038"/>
      <c r="AT345" s="3038"/>
      <c r="AU345" s="3038"/>
      <c r="AV345" s="3038"/>
      <c r="AW345" s="3038"/>
      <c r="AX345" s="3038"/>
      <c r="AY345" s="3038"/>
      <c r="AZ345" s="3038"/>
      <c r="BA345" s="3038"/>
      <c r="BB345" s="3038"/>
      <c r="BC345" s="3038"/>
      <c r="BD345" s="3038"/>
      <c r="BE345" s="3038"/>
      <c r="BF345" s="3038"/>
      <c r="BG345" s="3038"/>
      <c r="BH345" s="3038"/>
      <c r="BI345" s="3038"/>
      <c r="BJ345" s="3038"/>
      <c r="BK345" s="3038"/>
      <c r="BL345" s="3038"/>
      <c r="BM345" s="3038"/>
      <c r="BN345" s="3038"/>
      <c r="BO345" s="3038"/>
      <c r="BP345" s="3038"/>
      <c r="BQ345" s="3038"/>
      <c r="BR345" s="3038"/>
      <c r="BS345" s="3038"/>
      <c r="BT345" s="3038"/>
      <c r="BU345" s="3038"/>
    </row>
    <row r="346" spans="3:73">
      <c r="C346" s="3038"/>
      <c r="D346" s="3038"/>
      <c r="E346" s="3038"/>
      <c r="H346" s="3038"/>
      <c r="I346" s="3038"/>
      <c r="J346" s="3038"/>
      <c r="K346" s="3038"/>
      <c r="M346" s="3038"/>
      <c r="N346" s="3038"/>
      <c r="O346" s="3038"/>
      <c r="P346" s="3038"/>
      <c r="Q346" s="3038"/>
      <c r="R346" s="3038"/>
      <c r="S346" s="3038"/>
      <c r="T346" s="3038"/>
      <c r="W346" s="3038"/>
      <c r="X346" s="3038"/>
      <c r="Y346" s="3038"/>
      <c r="Z346" s="3038"/>
      <c r="AA346" s="3113"/>
      <c r="AB346" s="3038"/>
      <c r="AC346" s="3038"/>
      <c r="AD346" s="3038"/>
      <c r="AE346" s="3132"/>
      <c r="AF346" s="3038"/>
      <c r="AG346" s="3038"/>
      <c r="AH346" s="3038"/>
      <c r="AK346" s="3038"/>
      <c r="AL346" s="3038"/>
      <c r="AM346" s="3038"/>
      <c r="AN346" s="3038"/>
      <c r="AO346" s="3038"/>
      <c r="AP346" s="3038"/>
      <c r="AQ346" s="3038"/>
      <c r="AR346" s="3038"/>
      <c r="AS346" s="3038"/>
      <c r="AT346" s="3038"/>
      <c r="AU346" s="3038"/>
      <c r="AV346" s="3038"/>
      <c r="AW346" s="3038"/>
      <c r="AX346" s="3038"/>
      <c r="AY346" s="3038"/>
      <c r="AZ346" s="3038"/>
      <c r="BA346" s="3038"/>
      <c r="BB346" s="3038"/>
      <c r="BC346" s="3038"/>
      <c r="BD346" s="3038"/>
      <c r="BE346" s="3038"/>
      <c r="BF346" s="3038"/>
      <c r="BG346" s="3038"/>
      <c r="BH346" s="3038"/>
      <c r="BI346" s="3038"/>
      <c r="BJ346" s="3038"/>
      <c r="BK346" s="3038"/>
      <c r="BL346" s="3038"/>
      <c r="BM346" s="3038"/>
      <c r="BN346" s="3038"/>
      <c r="BO346" s="3038"/>
      <c r="BP346" s="3038"/>
      <c r="BQ346" s="3038"/>
      <c r="BR346" s="3038"/>
      <c r="BS346" s="3038"/>
      <c r="BT346" s="3038"/>
      <c r="BU346" s="3038"/>
    </row>
    <row r="347" spans="3:73">
      <c r="C347" s="3038"/>
      <c r="D347" s="3038"/>
      <c r="E347" s="3038"/>
      <c r="H347" s="3038"/>
      <c r="I347" s="3038"/>
      <c r="J347" s="3038"/>
      <c r="K347" s="3038"/>
      <c r="M347" s="3038"/>
      <c r="N347" s="3038"/>
      <c r="O347" s="3038"/>
      <c r="P347" s="3038"/>
      <c r="Q347" s="3038"/>
      <c r="R347" s="3038"/>
      <c r="S347" s="3038"/>
      <c r="T347" s="3038"/>
      <c r="W347" s="3038"/>
      <c r="X347" s="3038"/>
      <c r="Y347" s="3038"/>
      <c r="Z347" s="3038"/>
      <c r="AA347" s="3113"/>
      <c r="AB347" s="3038"/>
      <c r="AC347" s="3038"/>
      <c r="AD347" s="3038"/>
      <c r="AE347" s="3132"/>
      <c r="AF347" s="3038"/>
      <c r="AG347" s="3038"/>
      <c r="AH347" s="3038"/>
      <c r="AK347" s="3038"/>
      <c r="AL347" s="3038"/>
      <c r="AM347" s="3038"/>
      <c r="AN347" s="3038"/>
      <c r="AO347" s="3038"/>
      <c r="AP347" s="3038"/>
      <c r="AQ347" s="3038"/>
      <c r="AR347" s="3038"/>
      <c r="AS347" s="3038"/>
      <c r="AT347" s="3038"/>
      <c r="AU347" s="3038"/>
      <c r="AV347" s="3038"/>
      <c r="AW347" s="3038"/>
      <c r="AX347" s="3038"/>
      <c r="AY347" s="3038"/>
      <c r="AZ347" s="3038"/>
      <c r="BA347" s="3038"/>
      <c r="BB347" s="3038"/>
      <c r="BC347" s="3038"/>
      <c r="BD347" s="3038"/>
      <c r="BE347" s="3038"/>
      <c r="BF347" s="3038"/>
      <c r="BG347" s="3038"/>
      <c r="BH347" s="3038"/>
      <c r="BI347" s="3038"/>
      <c r="BJ347" s="3038"/>
      <c r="BK347" s="3038"/>
      <c r="BL347" s="3038"/>
      <c r="BM347" s="3038"/>
      <c r="BN347" s="3038"/>
      <c r="BO347" s="3038"/>
      <c r="BP347" s="3038"/>
      <c r="BQ347" s="3038"/>
      <c r="BR347" s="3038"/>
      <c r="BS347" s="3038"/>
      <c r="BT347" s="3038"/>
      <c r="BU347" s="3038"/>
    </row>
    <row r="348" spans="3:73">
      <c r="C348" s="3038"/>
      <c r="D348" s="3038"/>
      <c r="E348" s="3038"/>
      <c r="H348" s="3038"/>
      <c r="I348" s="3038"/>
      <c r="J348" s="3038"/>
      <c r="K348" s="3038"/>
      <c r="M348" s="3038"/>
      <c r="N348" s="3038"/>
      <c r="O348" s="3038"/>
      <c r="P348" s="3038"/>
      <c r="Q348" s="3038"/>
      <c r="R348" s="3038"/>
      <c r="S348" s="3038"/>
      <c r="T348" s="3038"/>
      <c r="W348" s="3038"/>
      <c r="X348" s="3038"/>
      <c r="Y348" s="3038"/>
      <c r="Z348" s="3038"/>
      <c r="AA348" s="3113"/>
      <c r="AB348" s="3038"/>
      <c r="AC348" s="3038"/>
      <c r="AD348" s="3038"/>
      <c r="AE348" s="3132"/>
      <c r="AF348" s="3038"/>
      <c r="AG348" s="3038"/>
      <c r="AH348" s="3038"/>
      <c r="AK348" s="3038"/>
      <c r="AL348" s="3038"/>
      <c r="AM348" s="3038"/>
      <c r="AN348" s="3038"/>
      <c r="AO348" s="3038"/>
      <c r="AP348" s="3038"/>
      <c r="AQ348" s="3038"/>
      <c r="AR348" s="3038"/>
      <c r="AS348" s="3038"/>
      <c r="AT348" s="3038"/>
      <c r="AU348" s="3038"/>
      <c r="AV348" s="3038"/>
      <c r="AW348" s="3038"/>
      <c r="AX348" s="3038"/>
      <c r="AY348" s="3038"/>
      <c r="AZ348" s="3038"/>
      <c r="BA348" s="3038"/>
      <c r="BB348" s="3038"/>
      <c r="BC348" s="3038"/>
      <c r="BD348" s="3038"/>
      <c r="BE348" s="3038"/>
      <c r="BF348" s="3038"/>
      <c r="BG348" s="3038"/>
      <c r="BH348" s="3038"/>
      <c r="BI348" s="3038"/>
      <c r="BJ348" s="3038"/>
      <c r="BK348" s="3038"/>
      <c r="BL348" s="3038"/>
      <c r="BM348" s="3038"/>
      <c r="BN348" s="3038"/>
      <c r="BO348" s="3038"/>
      <c r="BP348" s="3038"/>
      <c r="BQ348" s="3038"/>
      <c r="BR348" s="3038"/>
      <c r="BS348" s="3038"/>
      <c r="BT348" s="3038"/>
      <c r="BU348" s="3038"/>
    </row>
    <row r="349" spans="3:73">
      <c r="C349" s="3038"/>
      <c r="D349" s="3038"/>
      <c r="E349" s="3038"/>
      <c r="H349" s="3038"/>
      <c r="I349" s="3038"/>
      <c r="J349" s="3038"/>
      <c r="K349" s="3038"/>
      <c r="M349" s="3038"/>
      <c r="N349" s="3038"/>
      <c r="O349" s="3038"/>
      <c r="P349" s="3038"/>
      <c r="Q349" s="3038"/>
      <c r="R349" s="3038"/>
      <c r="S349" s="3038"/>
      <c r="T349" s="3038"/>
      <c r="W349" s="3038"/>
      <c r="X349" s="3038"/>
      <c r="Y349" s="3038"/>
      <c r="Z349" s="3038"/>
      <c r="AA349" s="3113"/>
      <c r="AB349" s="3038"/>
      <c r="AC349" s="3038"/>
      <c r="AD349" s="3038"/>
      <c r="AE349" s="3132"/>
      <c r="AF349" s="3038"/>
      <c r="AG349" s="3038"/>
      <c r="AH349" s="3038"/>
      <c r="AK349" s="3038"/>
      <c r="AL349" s="3038"/>
      <c r="AM349" s="3038"/>
      <c r="AN349" s="3038"/>
      <c r="AO349" s="3038"/>
      <c r="AP349" s="3038"/>
      <c r="AQ349" s="3038"/>
      <c r="AR349" s="3038"/>
      <c r="AS349" s="3038"/>
      <c r="AT349" s="3038"/>
      <c r="AU349" s="3038"/>
      <c r="AV349" s="3038"/>
      <c r="AW349" s="3038"/>
      <c r="AX349" s="3038"/>
      <c r="AY349" s="3038"/>
      <c r="AZ349" s="3038"/>
      <c r="BA349" s="3038"/>
      <c r="BB349" s="3038"/>
      <c r="BC349" s="3038"/>
      <c r="BD349" s="3038"/>
      <c r="BE349" s="3038"/>
      <c r="BF349" s="3038"/>
      <c r="BG349" s="3038"/>
      <c r="BH349" s="3038"/>
      <c r="BI349" s="3038"/>
      <c r="BJ349" s="3038"/>
      <c r="BK349" s="3038"/>
      <c r="BL349" s="3038"/>
      <c r="BM349" s="3038"/>
      <c r="BN349" s="3038"/>
      <c r="BO349" s="3038"/>
      <c r="BP349" s="3038"/>
      <c r="BQ349" s="3038"/>
      <c r="BR349" s="3038"/>
      <c r="BS349" s="3038"/>
      <c r="BT349" s="3038"/>
      <c r="BU349" s="3038"/>
    </row>
    <row r="350" spans="3:73">
      <c r="C350" s="3038"/>
      <c r="D350" s="3038"/>
      <c r="E350" s="3038"/>
      <c r="H350" s="3038"/>
      <c r="I350" s="3038"/>
      <c r="J350" s="3038"/>
      <c r="K350" s="3038"/>
      <c r="M350" s="3038"/>
      <c r="N350" s="3038"/>
      <c r="O350" s="3038"/>
      <c r="P350" s="3038"/>
      <c r="Q350" s="3038"/>
      <c r="R350" s="3038"/>
      <c r="S350" s="3038"/>
      <c r="T350" s="3038"/>
      <c r="W350" s="3038"/>
      <c r="X350" s="3038"/>
      <c r="Y350" s="3038"/>
      <c r="Z350" s="3038"/>
      <c r="AA350" s="3113"/>
      <c r="AB350" s="3038"/>
      <c r="AC350" s="3038"/>
      <c r="AD350" s="3038"/>
      <c r="AE350" s="3132"/>
      <c r="AF350" s="3038"/>
      <c r="AG350" s="3038"/>
      <c r="AH350" s="3038"/>
      <c r="AK350" s="3038"/>
      <c r="AL350" s="3038"/>
      <c r="AM350" s="3038"/>
      <c r="AN350" s="3038"/>
      <c r="AO350" s="3038"/>
      <c r="AP350" s="3038"/>
      <c r="AQ350" s="3038"/>
      <c r="AR350" s="3038"/>
      <c r="AS350" s="3038"/>
      <c r="AT350" s="3038"/>
      <c r="AU350" s="3038"/>
      <c r="AV350" s="3038"/>
      <c r="AW350" s="3038"/>
      <c r="AX350" s="3038"/>
      <c r="AY350" s="3038"/>
      <c r="AZ350" s="3038"/>
      <c r="BA350" s="3038"/>
      <c r="BB350" s="3038"/>
      <c r="BC350" s="3038"/>
      <c r="BD350" s="3038"/>
      <c r="BE350" s="3038"/>
      <c r="BF350" s="3038"/>
      <c r="BG350" s="3038"/>
      <c r="BH350" s="3038"/>
      <c r="BI350" s="3038"/>
      <c r="BJ350" s="3038"/>
      <c r="BK350" s="3038"/>
      <c r="BL350" s="3038"/>
      <c r="BM350" s="3038"/>
      <c r="BN350" s="3038"/>
      <c r="BO350" s="3038"/>
      <c r="BP350" s="3038"/>
      <c r="BQ350" s="3038"/>
      <c r="BR350" s="3038"/>
      <c r="BS350" s="3038"/>
      <c r="BT350" s="3038"/>
      <c r="BU350" s="3038"/>
    </row>
    <row r="351" spans="3:73">
      <c r="C351" s="3038"/>
      <c r="D351" s="3038"/>
      <c r="E351" s="3038"/>
      <c r="H351" s="3038"/>
      <c r="I351" s="3038"/>
      <c r="J351" s="3038"/>
      <c r="K351" s="3038"/>
      <c r="M351" s="3038"/>
      <c r="N351" s="3038"/>
      <c r="O351" s="3038"/>
      <c r="P351" s="3038"/>
      <c r="Q351" s="3038"/>
      <c r="R351" s="3038"/>
      <c r="S351" s="3038"/>
      <c r="T351" s="3038"/>
      <c r="W351" s="3038"/>
      <c r="X351" s="3038"/>
      <c r="Y351" s="3038"/>
      <c r="Z351" s="3038"/>
      <c r="AA351" s="3113"/>
      <c r="AB351" s="3038"/>
      <c r="AC351" s="3038"/>
      <c r="AD351" s="3038"/>
      <c r="AE351" s="3132"/>
      <c r="AF351" s="3038"/>
      <c r="AG351" s="3038"/>
      <c r="AH351" s="3038"/>
      <c r="AK351" s="3038"/>
      <c r="AL351" s="3038"/>
      <c r="AM351" s="3038"/>
      <c r="AN351" s="3038"/>
      <c r="AO351" s="3038"/>
      <c r="AP351" s="3038"/>
      <c r="AQ351" s="3038"/>
      <c r="AR351" s="3038"/>
      <c r="AS351" s="3038"/>
      <c r="AT351" s="3038"/>
      <c r="AU351" s="3038"/>
      <c r="AV351" s="3038"/>
      <c r="AW351" s="3038"/>
      <c r="AX351" s="3038"/>
      <c r="AY351" s="3038"/>
      <c r="AZ351" s="3038"/>
      <c r="BA351" s="3038"/>
      <c r="BB351" s="3038"/>
      <c r="BC351" s="3038"/>
      <c r="BD351" s="3038"/>
      <c r="BE351" s="3038"/>
      <c r="BF351" s="3038"/>
      <c r="BG351" s="3038"/>
      <c r="BH351" s="3038"/>
      <c r="BI351" s="3038"/>
      <c r="BJ351" s="3038"/>
      <c r="BK351" s="3038"/>
      <c r="BL351" s="3038"/>
      <c r="BM351" s="3038"/>
      <c r="BN351" s="3038"/>
      <c r="BO351" s="3038"/>
      <c r="BP351" s="3038"/>
      <c r="BQ351" s="3038"/>
      <c r="BR351" s="3038"/>
      <c r="BS351" s="3038"/>
      <c r="BT351" s="3038"/>
      <c r="BU351" s="3038"/>
    </row>
    <row r="352" spans="3:73">
      <c r="C352" s="3038"/>
      <c r="D352" s="3038"/>
      <c r="E352" s="3038"/>
      <c r="H352" s="3038"/>
      <c r="I352" s="3038"/>
      <c r="J352" s="3038"/>
      <c r="K352" s="3038"/>
      <c r="M352" s="3038"/>
      <c r="N352" s="3038"/>
      <c r="O352" s="3038"/>
      <c r="P352" s="3038"/>
      <c r="Q352" s="3038"/>
      <c r="R352" s="3038"/>
      <c r="S352" s="3038"/>
      <c r="T352" s="3038"/>
      <c r="W352" s="3038"/>
      <c r="X352" s="3038"/>
      <c r="Y352" s="3038"/>
      <c r="Z352" s="3038"/>
      <c r="AA352" s="3113"/>
      <c r="AB352" s="3038"/>
      <c r="AC352" s="3038"/>
      <c r="AD352" s="3038"/>
      <c r="AE352" s="3132"/>
      <c r="AF352" s="3038"/>
      <c r="AG352" s="3038"/>
      <c r="AH352" s="3038"/>
      <c r="AK352" s="3038"/>
      <c r="AL352" s="3038"/>
      <c r="AM352" s="3038"/>
      <c r="AN352" s="3038"/>
      <c r="AO352" s="3038"/>
      <c r="AP352" s="3038"/>
      <c r="AQ352" s="3038"/>
      <c r="AR352" s="3038"/>
      <c r="AS352" s="3038"/>
      <c r="AT352" s="3038"/>
      <c r="AU352" s="3038"/>
      <c r="AV352" s="3038"/>
      <c r="AW352" s="3038"/>
      <c r="AX352" s="3038"/>
      <c r="AY352" s="3038"/>
      <c r="AZ352" s="3038"/>
      <c r="BA352" s="3038"/>
      <c r="BB352" s="3038"/>
      <c r="BC352" s="3038"/>
      <c r="BD352" s="3038"/>
      <c r="BE352" s="3038"/>
      <c r="BF352" s="3038"/>
      <c r="BG352" s="3038"/>
      <c r="BH352" s="3038"/>
      <c r="BI352" s="3038"/>
      <c r="BJ352" s="3038"/>
      <c r="BK352" s="3038"/>
      <c r="BL352" s="3038"/>
      <c r="BM352" s="3038"/>
      <c r="BN352" s="3038"/>
      <c r="BO352" s="3038"/>
      <c r="BP352" s="3038"/>
      <c r="BQ352" s="3038"/>
      <c r="BR352" s="3038"/>
      <c r="BS352" s="3038"/>
      <c r="BT352" s="3038"/>
      <c r="BU352" s="3038"/>
    </row>
    <row r="353" spans="3:73">
      <c r="C353" s="3038"/>
      <c r="D353" s="3038"/>
      <c r="E353" s="3038"/>
      <c r="H353" s="3038"/>
      <c r="I353" s="3038"/>
      <c r="J353" s="3038"/>
      <c r="K353" s="3038"/>
      <c r="M353" s="3038"/>
      <c r="N353" s="3038"/>
      <c r="O353" s="3038"/>
      <c r="P353" s="3038"/>
      <c r="Q353" s="3038"/>
      <c r="R353" s="3038"/>
      <c r="S353" s="3038"/>
      <c r="T353" s="3038"/>
      <c r="W353" s="3038"/>
      <c r="X353" s="3038"/>
      <c r="Y353" s="3038"/>
      <c r="Z353" s="3038"/>
      <c r="AA353" s="3113"/>
      <c r="AB353" s="3038"/>
      <c r="AC353" s="3038"/>
      <c r="AD353" s="3038"/>
      <c r="AE353" s="3132"/>
      <c r="AF353" s="3038"/>
      <c r="AG353" s="3038"/>
      <c r="AH353" s="3038"/>
      <c r="AK353" s="3038"/>
      <c r="AL353" s="3038"/>
      <c r="AM353" s="3038"/>
      <c r="AN353" s="3038"/>
      <c r="AO353" s="3038"/>
      <c r="AP353" s="3038"/>
      <c r="AQ353" s="3038"/>
      <c r="AR353" s="3038"/>
      <c r="AS353" s="3038"/>
      <c r="AT353" s="3038"/>
      <c r="AU353" s="3038"/>
      <c r="AV353" s="3038"/>
      <c r="AW353" s="3038"/>
      <c r="AX353" s="3038"/>
      <c r="AY353" s="3038"/>
      <c r="AZ353" s="3038"/>
      <c r="BA353" s="3038"/>
      <c r="BB353" s="3038"/>
      <c r="BC353" s="3038"/>
      <c r="BD353" s="3038"/>
      <c r="BE353" s="3038"/>
      <c r="BF353" s="3038"/>
      <c r="BG353" s="3038"/>
      <c r="BH353" s="3038"/>
      <c r="BI353" s="3038"/>
      <c r="BJ353" s="3038"/>
      <c r="BK353" s="3038"/>
      <c r="BL353" s="3038"/>
      <c r="BM353" s="3038"/>
      <c r="BN353" s="3038"/>
      <c r="BO353" s="3038"/>
      <c r="BP353" s="3038"/>
      <c r="BQ353" s="3038"/>
      <c r="BR353" s="3038"/>
      <c r="BS353" s="3038"/>
      <c r="BT353" s="3038"/>
      <c r="BU353" s="3038"/>
    </row>
    <row r="354" spans="3:73">
      <c r="C354" s="3038"/>
      <c r="D354" s="3038"/>
      <c r="E354" s="3038"/>
      <c r="H354" s="3038"/>
      <c r="I354" s="3038"/>
      <c r="J354" s="3038"/>
      <c r="K354" s="3038"/>
      <c r="M354" s="3038"/>
      <c r="N354" s="3038"/>
      <c r="O354" s="3038"/>
      <c r="P354" s="3038"/>
      <c r="Q354" s="3038"/>
      <c r="R354" s="3038"/>
      <c r="S354" s="3038"/>
      <c r="T354" s="3038"/>
      <c r="W354" s="3038"/>
      <c r="X354" s="3038"/>
      <c r="Y354" s="3038"/>
      <c r="Z354" s="3038"/>
      <c r="AA354" s="3113"/>
      <c r="AB354" s="3038"/>
      <c r="AC354" s="3038"/>
      <c r="AD354" s="3038"/>
      <c r="AE354" s="3132"/>
      <c r="AF354" s="3038"/>
      <c r="AG354" s="3038"/>
      <c r="AH354" s="3038"/>
      <c r="AK354" s="3038"/>
      <c r="AL354" s="3038"/>
      <c r="AM354" s="3038"/>
      <c r="AN354" s="3038"/>
      <c r="AO354" s="3038"/>
      <c r="AP354" s="3038"/>
      <c r="AQ354" s="3038"/>
      <c r="AR354" s="3038"/>
      <c r="AS354" s="3038"/>
      <c r="AT354" s="3038"/>
      <c r="AU354" s="3038"/>
      <c r="AV354" s="3038"/>
      <c r="AW354" s="3038"/>
      <c r="AX354" s="3038"/>
      <c r="AY354" s="3038"/>
      <c r="AZ354" s="3038"/>
      <c r="BA354" s="3038"/>
      <c r="BB354" s="3038"/>
      <c r="BC354" s="3038"/>
      <c r="BD354" s="3038"/>
      <c r="BE354" s="3038"/>
      <c r="BF354" s="3038"/>
      <c r="BG354" s="3038"/>
      <c r="BH354" s="3038"/>
      <c r="BI354" s="3038"/>
      <c r="BJ354" s="3038"/>
      <c r="BK354" s="3038"/>
      <c r="BL354" s="3038"/>
      <c r="BM354" s="3038"/>
      <c r="BN354" s="3038"/>
      <c r="BO354" s="3038"/>
      <c r="BP354" s="3038"/>
      <c r="BQ354" s="3038"/>
      <c r="BR354" s="3038"/>
      <c r="BS354" s="3038"/>
      <c r="BT354" s="3038"/>
      <c r="BU354" s="3038"/>
    </row>
    <row r="355" spans="3:73">
      <c r="C355" s="3038"/>
      <c r="D355" s="3038"/>
      <c r="E355" s="3038"/>
      <c r="H355" s="3038"/>
      <c r="I355" s="3038"/>
      <c r="J355" s="3038"/>
      <c r="K355" s="3038"/>
      <c r="M355" s="3038"/>
      <c r="N355" s="3038"/>
      <c r="O355" s="3038"/>
      <c r="P355" s="3038"/>
      <c r="Q355" s="3038"/>
      <c r="R355" s="3038"/>
      <c r="S355" s="3038"/>
      <c r="T355" s="3038"/>
      <c r="W355" s="3038"/>
      <c r="X355" s="3038"/>
      <c r="Y355" s="3038"/>
      <c r="Z355" s="3038"/>
      <c r="AA355" s="3113"/>
      <c r="AB355" s="3038"/>
      <c r="AC355" s="3038"/>
      <c r="AD355" s="3038"/>
      <c r="AE355" s="3132"/>
      <c r="AF355" s="3038"/>
      <c r="AG355" s="3038"/>
      <c r="AH355" s="3038"/>
      <c r="AK355" s="3038"/>
      <c r="AL355" s="3038"/>
      <c r="AM355" s="3038"/>
      <c r="AN355" s="3038"/>
      <c r="AO355" s="3038"/>
      <c r="AP355" s="3038"/>
      <c r="AQ355" s="3038"/>
      <c r="AR355" s="3038"/>
      <c r="AS355" s="3038"/>
      <c r="AT355" s="3038"/>
      <c r="AU355" s="3038"/>
      <c r="AV355" s="3038"/>
      <c r="AW355" s="3038"/>
      <c r="AX355" s="3038"/>
      <c r="AY355" s="3038"/>
      <c r="AZ355" s="3038"/>
      <c r="BA355" s="3038"/>
      <c r="BB355" s="3038"/>
      <c r="BC355" s="3038"/>
      <c r="BD355" s="3038"/>
      <c r="BE355" s="3038"/>
      <c r="BF355" s="3038"/>
      <c r="BG355" s="3038"/>
      <c r="BH355" s="3038"/>
      <c r="BI355" s="3038"/>
      <c r="BJ355" s="3038"/>
      <c r="BK355" s="3038"/>
      <c r="BL355" s="3038"/>
      <c r="BM355" s="3038"/>
      <c r="BN355" s="3038"/>
      <c r="BO355" s="3038"/>
      <c r="BP355" s="3038"/>
      <c r="BQ355" s="3038"/>
      <c r="BR355" s="3038"/>
      <c r="BS355" s="3038"/>
      <c r="BT355" s="3038"/>
      <c r="BU355" s="3038"/>
    </row>
    <row r="356" spans="3:73">
      <c r="C356" s="3038"/>
      <c r="D356" s="3038"/>
      <c r="E356" s="3038"/>
      <c r="H356" s="3038"/>
      <c r="I356" s="3038"/>
      <c r="J356" s="3038"/>
      <c r="K356" s="3038"/>
      <c r="M356" s="3038"/>
      <c r="N356" s="3038"/>
      <c r="O356" s="3038"/>
      <c r="P356" s="3038"/>
      <c r="Q356" s="3038"/>
      <c r="R356" s="3038"/>
      <c r="S356" s="3038"/>
      <c r="T356" s="3038"/>
      <c r="W356" s="3038"/>
      <c r="X356" s="3038"/>
      <c r="Y356" s="3038"/>
      <c r="Z356" s="3038"/>
      <c r="AA356" s="3113"/>
      <c r="AB356" s="3038"/>
      <c r="AC356" s="3038"/>
      <c r="AD356" s="3038"/>
      <c r="AE356" s="3132"/>
      <c r="AF356" s="3038"/>
      <c r="AG356" s="3038"/>
      <c r="AH356" s="3038"/>
      <c r="AK356" s="3038"/>
      <c r="AL356" s="3038"/>
      <c r="AM356" s="3038"/>
      <c r="AN356" s="3038"/>
      <c r="AO356" s="3038"/>
      <c r="AP356" s="3038"/>
      <c r="AQ356" s="3038"/>
      <c r="AR356" s="3038"/>
      <c r="AS356" s="3038"/>
      <c r="AT356" s="3038"/>
      <c r="AU356" s="3038"/>
      <c r="AV356" s="3038"/>
      <c r="AW356" s="3038"/>
      <c r="AX356" s="3038"/>
      <c r="AY356" s="3038"/>
      <c r="AZ356" s="3038"/>
      <c r="BA356" s="3038"/>
      <c r="BB356" s="3038"/>
      <c r="BC356" s="3038"/>
      <c r="BD356" s="3038"/>
      <c r="BE356" s="3038"/>
      <c r="BF356" s="3038"/>
      <c r="BG356" s="3038"/>
      <c r="BH356" s="3038"/>
      <c r="BI356" s="3038"/>
      <c r="BJ356" s="3038"/>
      <c r="BK356" s="3038"/>
      <c r="BL356" s="3038"/>
      <c r="BM356" s="3038"/>
      <c r="BN356" s="3038"/>
      <c r="BO356" s="3038"/>
      <c r="BP356" s="3038"/>
      <c r="BQ356" s="3038"/>
      <c r="BR356" s="3038"/>
      <c r="BS356" s="3038"/>
      <c r="BT356" s="3038"/>
      <c r="BU356" s="3038"/>
    </row>
    <row r="357" spans="3:73">
      <c r="C357" s="3038"/>
      <c r="D357" s="3038"/>
      <c r="E357" s="3038"/>
      <c r="H357" s="3038"/>
      <c r="I357" s="3038"/>
      <c r="J357" s="3038"/>
      <c r="K357" s="3038"/>
      <c r="M357" s="3038"/>
      <c r="N357" s="3038"/>
      <c r="O357" s="3038"/>
      <c r="P357" s="3038"/>
      <c r="Q357" s="3038"/>
      <c r="R357" s="3038"/>
      <c r="S357" s="3038"/>
      <c r="T357" s="3038"/>
      <c r="W357" s="3038"/>
      <c r="X357" s="3038"/>
      <c r="Y357" s="3038"/>
      <c r="Z357" s="3038"/>
      <c r="AA357" s="3113"/>
      <c r="AB357" s="3038"/>
      <c r="AC357" s="3038"/>
      <c r="AD357" s="3038"/>
      <c r="AE357" s="3132"/>
      <c r="AF357" s="3038"/>
      <c r="AG357" s="3038"/>
      <c r="AH357" s="3038"/>
      <c r="AK357" s="3038"/>
      <c r="AL357" s="3038"/>
      <c r="AM357" s="3038"/>
      <c r="AN357" s="3038"/>
      <c r="AO357" s="3038"/>
      <c r="AP357" s="3038"/>
      <c r="AQ357" s="3038"/>
      <c r="AR357" s="3038"/>
      <c r="AS357" s="3038"/>
      <c r="AT357" s="3038"/>
      <c r="AU357" s="3038"/>
      <c r="AV357" s="3038"/>
      <c r="AW357" s="3038"/>
      <c r="AX357" s="3038"/>
      <c r="AY357" s="3038"/>
      <c r="AZ357" s="3038"/>
      <c r="BA357" s="3038"/>
      <c r="BB357" s="3038"/>
      <c r="BC357" s="3038"/>
      <c r="BD357" s="3038"/>
      <c r="BE357" s="3038"/>
      <c r="BF357" s="3038"/>
      <c r="BG357" s="3038"/>
      <c r="BH357" s="3038"/>
      <c r="BI357" s="3038"/>
      <c r="BJ357" s="3038"/>
      <c r="BK357" s="3038"/>
      <c r="BL357" s="3038"/>
      <c r="BM357" s="3038"/>
      <c r="BN357" s="3038"/>
      <c r="BO357" s="3038"/>
      <c r="BP357" s="3038"/>
      <c r="BQ357" s="3038"/>
      <c r="BR357" s="3038"/>
      <c r="BS357" s="3038"/>
      <c r="BT357" s="3038"/>
      <c r="BU357" s="3038"/>
    </row>
    <row r="358" spans="3:73">
      <c r="C358" s="3038"/>
      <c r="D358" s="3038"/>
      <c r="E358" s="3038"/>
      <c r="H358" s="3038"/>
      <c r="I358" s="3038"/>
      <c r="J358" s="3038"/>
      <c r="K358" s="3038"/>
      <c r="M358" s="3038"/>
      <c r="N358" s="3038"/>
      <c r="O358" s="3038"/>
      <c r="P358" s="3038"/>
      <c r="Q358" s="3038"/>
      <c r="R358" s="3038"/>
      <c r="S358" s="3038"/>
      <c r="T358" s="3038"/>
      <c r="W358" s="3038"/>
      <c r="X358" s="3038"/>
      <c r="Y358" s="3038"/>
      <c r="Z358" s="3038"/>
      <c r="AA358" s="3113"/>
      <c r="AB358" s="3038"/>
      <c r="AC358" s="3038"/>
      <c r="AD358" s="3038"/>
      <c r="AE358" s="3132"/>
      <c r="AF358" s="3038"/>
      <c r="AG358" s="3038"/>
      <c r="AH358" s="3038"/>
      <c r="AK358" s="3038"/>
      <c r="AL358" s="3038"/>
      <c r="AM358" s="3038"/>
      <c r="AN358" s="3038"/>
      <c r="AO358" s="3038"/>
      <c r="AP358" s="3038"/>
      <c r="AQ358" s="3038"/>
      <c r="AR358" s="3038"/>
      <c r="AS358" s="3038"/>
      <c r="AT358" s="3038"/>
      <c r="AU358" s="3038"/>
      <c r="AV358" s="3038"/>
      <c r="AW358" s="3038"/>
      <c r="AX358" s="3038"/>
      <c r="AY358" s="3038"/>
      <c r="AZ358" s="3038"/>
      <c r="BA358" s="3038"/>
      <c r="BB358" s="3038"/>
      <c r="BC358" s="3038"/>
      <c r="BD358" s="3038"/>
      <c r="BE358" s="3038"/>
      <c r="BF358" s="3038"/>
      <c r="BG358" s="3038"/>
      <c r="BH358" s="3038"/>
      <c r="BI358" s="3038"/>
      <c r="BJ358" s="3038"/>
      <c r="BK358" s="3038"/>
      <c r="BL358" s="3038"/>
      <c r="BM358" s="3038"/>
      <c r="BN358" s="3038"/>
      <c r="BO358" s="3038"/>
      <c r="BP358" s="3038"/>
      <c r="BQ358" s="3038"/>
      <c r="BR358" s="3038"/>
      <c r="BS358" s="3038"/>
      <c r="BT358" s="3038"/>
      <c r="BU358" s="3038"/>
    </row>
    <row r="359" spans="3:73">
      <c r="C359" s="3038"/>
      <c r="D359" s="3038"/>
      <c r="E359" s="3038"/>
      <c r="H359" s="3038"/>
      <c r="I359" s="3038"/>
      <c r="J359" s="3038"/>
      <c r="K359" s="3038"/>
      <c r="M359" s="3038"/>
      <c r="N359" s="3038"/>
      <c r="O359" s="3038"/>
      <c r="P359" s="3038"/>
      <c r="Q359" s="3038"/>
      <c r="R359" s="3038"/>
      <c r="S359" s="3038"/>
      <c r="T359" s="3038"/>
      <c r="W359" s="3038"/>
      <c r="X359" s="3038"/>
      <c r="Y359" s="3038"/>
      <c r="Z359" s="3038"/>
      <c r="AA359" s="3113"/>
      <c r="AB359" s="3038"/>
      <c r="AC359" s="3038"/>
      <c r="AD359" s="3038"/>
      <c r="AE359" s="3132"/>
      <c r="AF359" s="3038"/>
      <c r="AG359" s="3038"/>
      <c r="AH359" s="3038"/>
      <c r="AK359" s="3038"/>
      <c r="AL359" s="3038"/>
      <c r="AM359" s="3038"/>
      <c r="AN359" s="3038"/>
      <c r="AO359" s="3038"/>
      <c r="AP359" s="3038"/>
      <c r="AQ359" s="3038"/>
      <c r="AR359" s="3038"/>
      <c r="AS359" s="3038"/>
      <c r="AT359" s="3038"/>
      <c r="AU359" s="3038"/>
      <c r="AV359" s="3038"/>
      <c r="AW359" s="3038"/>
      <c r="AX359" s="3038"/>
      <c r="AY359" s="3038"/>
      <c r="AZ359" s="3038"/>
      <c r="BA359" s="3038"/>
      <c r="BB359" s="3038"/>
      <c r="BC359" s="3038"/>
      <c r="BD359" s="3038"/>
      <c r="BE359" s="3038"/>
      <c r="BF359" s="3038"/>
      <c r="BG359" s="3038"/>
      <c r="BH359" s="3038"/>
      <c r="BI359" s="3038"/>
      <c r="BJ359" s="3038"/>
      <c r="BK359" s="3038"/>
      <c r="BL359" s="3038"/>
      <c r="BM359" s="3038"/>
      <c r="BN359" s="3038"/>
      <c r="BO359" s="3038"/>
      <c r="BP359" s="3038"/>
      <c r="BQ359" s="3038"/>
      <c r="BR359" s="3038"/>
      <c r="BS359" s="3038"/>
      <c r="BT359" s="3038"/>
      <c r="BU359" s="3038"/>
    </row>
    <row r="360" spans="3:73">
      <c r="C360" s="3038"/>
      <c r="D360" s="3038"/>
      <c r="E360" s="3038"/>
      <c r="H360" s="3038"/>
      <c r="I360" s="3038"/>
      <c r="J360" s="3038"/>
      <c r="K360" s="3038"/>
      <c r="M360" s="3038"/>
      <c r="N360" s="3038"/>
      <c r="O360" s="3038"/>
      <c r="P360" s="3038"/>
      <c r="Q360" s="3038"/>
      <c r="R360" s="3038"/>
      <c r="S360" s="3038"/>
      <c r="T360" s="3038"/>
      <c r="W360" s="3038"/>
      <c r="X360" s="3038"/>
      <c r="Y360" s="3038"/>
      <c r="Z360" s="3038"/>
      <c r="AA360" s="3113"/>
      <c r="AB360" s="3038"/>
      <c r="AC360" s="3038"/>
      <c r="AD360" s="3038"/>
      <c r="AE360" s="3132"/>
      <c r="AF360" s="3038"/>
      <c r="AG360" s="3038"/>
      <c r="AH360" s="3038"/>
      <c r="AK360" s="3038"/>
      <c r="AL360" s="3038"/>
      <c r="AM360" s="3038"/>
      <c r="AN360" s="3038"/>
      <c r="AO360" s="3038"/>
      <c r="AP360" s="3038"/>
      <c r="AQ360" s="3038"/>
      <c r="AR360" s="3038"/>
      <c r="AS360" s="3038"/>
      <c r="AT360" s="3038"/>
      <c r="AU360" s="3038"/>
      <c r="AV360" s="3038"/>
      <c r="AW360" s="3038"/>
      <c r="AX360" s="3038"/>
      <c r="AY360" s="3038"/>
      <c r="AZ360" s="3038"/>
      <c r="BA360" s="3038"/>
      <c r="BB360" s="3038"/>
      <c r="BC360" s="3038"/>
      <c r="BD360" s="3038"/>
      <c r="BE360" s="3038"/>
      <c r="BF360" s="3038"/>
      <c r="BG360" s="3038"/>
      <c r="BH360" s="3038"/>
      <c r="BI360" s="3038"/>
      <c r="BJ360" s="3038"/>
      <c r="BK360" s="3038"/>
      <c r="BL360" s="3038"/>
      <c r="BM360" s="3038"/>
      <c r="BN360" s="3038"/>
      <c r="BO360" s="3038"/>
      <c r="BP360" s="3038"/>
      <c r="BQ360" s="3038"/>
      <c r="BR360" s="3038"/>
      <c r="BS360" s="3038"/>
      <c r="BT360" s="3038"/>
      <c r="BU360" s="3038"/>
    </row>
    <row r="361" spans="3:73">
      <c r="C361" s="3038"/>
      <c r="D361" s="3038"/>
      <c r="E361" s="3038"/>
      <c r="H361" s="3038"/>
      <c r="I361" s="3038"/>
      <c r="J361" s="3038"/>
      <c r="K361" s="3038"/>
      <c r="M361" s="3038"/>
      <c r="N361" s="3038"/>
      <c r="O361" s="3038"/>
      <c r="P361" s="3038"/>
      <c r="Q361" s="3038"/>
      <c r="R361" s="3038"/>
      <c r="S361" s="3038"/>
      <c r="T361" s="3038"/>
      <c r="W361" s="3038"/>
      <c r="X361" s="3038"/>
      <c r="Y361" s="3038"/>
      <c r="Z361" s="3038"/>
      <c r="AA361" s="3113"/>
      <c r="AB361" s="3038"/>
      <c r="AC361" s="3038"/>
      <c r="AD361" s="3038"/>
      <c r="AE361" s="3132"/>
      <c r="AF361" s="3038"/>
      <c r="AG361" s="3038"/>
      <c r="AH361" s="3038"/>
      <c r="AK361" s="3038"/>
      <c r="AL361" s="3038"/>
      <c r="AM361" s="3038"/>
      <c r="AN361" s="3038"/>
      <c r="AO361" s="3038"/>
      <c r="AP361" s="3038"/>
      <c r="AQ361" s="3038"/>
      <c r="AR361" s="3038"/>
      <c r="AS361" s="3038"/>
      <c r="AT361" s="3038"/>
      <c r="AU361" s="3038"/>
      <c r="AV361" s="3038"/>
      <c r="AW361" s="3038"/>
      <c r="AX361" s="3038"/>
      <c r="AY361" s="3038"/>
      <c r="AZ361" s="3038"/>
      <c r="BA361" s="3038"/>
      <c r="BB361" s="3038"/>
      <c r="BC361" s="3038"/>
      <c r="BD361" s="3038"/>
      <c r="BE361" s="3038"/>
      <c r="BF361" s="3038"/>
      <c r="BG361" s="3038"/>
      <c r="BH361" s="3038"/>
      <c r="BI361" s="3038"/>
      <c r="BJ361" s="3038"/>
      <c r="BK361" s="3038"/>
      <c r="BL361" s="3038"/>
      <c r="BM361" s="3038"/>
      <c r="BN361" s="3038"/>
      <c r="BO361" s="3038"/>
      <c r="BP361" s="3038"/>
      <c r="BQ361" s="3038"/>
      <c r="BR361" s="3038"/>
      <c r="BS361" s="3038"/>
      <c r="BT361" s="3038"/>
      <c r="BU361" s="3038"/>
    </row>
    <row r="362" spans="3:73">
      <c r="C362" s="3038"/>
      <c r="D362" s="3038"/>
      <c r="E362" s="3038"/>
      <c r="H362" s="3038"/>
      <c r="I362" s="3038"/>
      <c r="J362" s="3038"/>
      <c r="K362" s="3038"/>
      <c r="M362" s="3038"/>
      <c r="N362" s="3038"/>
      <c r="O362" s="3038"/>
      <c r="P362" s="3038"/>
      <c r="Q362" s="3038"/>
      <c r="R362" s="3038"/>
      <c r="S362" s="3038"/>
      <c r="T362" s="3038"/>
      <c r="W362" s="3038"/>
      <c r="X362" s="3038"/>
      <c r="Y362" s="3038"/>
      <c r="Z362" s="3038"/>
      <c r="AA362" s="3113"/>
      <c r="AB362" s="3038"/>
      <c r="AC362" s="3038"/>
      <c r="AD362" s="3038"/>
      <c r="AE362" s="3132"/>
      <c r="AF362" s="3038"/>
      <c r="AG362" s="3038"/>
      <c r="AH362" s="3038"/>
      <c r="AK362" s="3038"/>
      <c r="AL362" s="3038"/>
      <c r="AM362" s="3038"/>
      <c r="AN362" s="3038"/>
      <c r="AO362" s="3038"/>
      <c r="AP362" s="3038"/>
      <c r="AQ362" s="3038"/>
      <c r="AR362" s="3038"/>
      <c r="AS362" s="3038"/>
      <c r="AT362" s="3038"/>
      <c r="AU362" s="3038"/>
      <c r="AV362" s="3038"/>
      <c r="AW362" s="3038"/>
      <c r="AX362" s="3038"/>
      <c r="AY362" s="3038"/>
      <c r="AZ362" s="3038"/>
      <c r="BA362" s="3038"/>
      <c r="BB362" s="3038"/>
      <c r="BC362" s="3038"/>
      <c r="BD362" s="3038"/>
      <c r="BE362" s="3038"/>
      <c r="BF362" s="3038"/>
      <c r="BG362" s="3038"/>
      <c r="BH362" s="3038"/>
      <c r="BI362" s="3038"/>
      <c r="BJ362" s="3038"/>
      <c r="BK362" s="3038"/>
      <c r="BL362" s="3038"/>
      <c r="BM362" s="3038"/>
      <c r="BN362" s="3038"/>
      <c r="BO362" s="3038"/>
      <c r="BP362" s="3038"/>
      <c r="BQ362" s="3038"/>
      <c r="BR362" s="3038"/>
      <c r="BS362" s="3038"/>
      <c r="BT362" s="3038"/>
      <c r="BU362" s="3038"/>
    </row>
    <row r="363" spans="3:73">
      <c r="C363" s="3038"/>
      <c r="D363" s="3038"/>
      <c r="E363" s="3038"/>
      <c r="H363" s="3038"/>
      <c r="I363" s="3038"/>
      <c r="J363" s="3038"/>
      <c r="K363" s="3038"/>
      <c r="M363" s="3038"/>
      <c r="N363" s="3038"/>
      <c r="O363" s="3038"/>
      <c r="P363" s="3038"/>
      <c r="Q363" s="3038"/>
      <c r="R363" s="3038"/>
      <c r="S363" s="3038"/>
      <c r="T363" s="3038"/>
      <c r="W363" s="3038"/>
      <c r="X363" s="3038"/>
      <c r="Y363" s="3038"/>
      <c r="Z363" s="3038"/>
      <c r="AA363" s="3113"/>
      <c r="AB363" s="3038"/>
      <c r="AC363" s="3038"/>
      <c r="AD363" s="3038"/>
      <c r="AE363" s="3132"/>
      <c r="AF363" s="3038"/>
      <c r="AG363" s="3038"/>
      <c r="AH363" s="3038"/>
      <c r="AK363" s="3038"/>
      <c r="AL363" s="3038"/>
      <c r="AM363" s="3038"/>
      <c r="AN363" s="3038"/>
      <c r="AO363" s="3038"/>
      <c r="AP363" s="3038"/>
      <c r="AQ363" s="3038"/>
      <c r="AR363" s="3038"/>
      <c r="AS363" s="3038"/>
      <c r="AT363" s="3038"/>
      <c r="AU363" s="3038"/>
      <c r="AV363" s="3038"/>
      <c r="AW363" s="3038"/>
      <c r="AX363" s="3038"/>
      <c r="AY363" s="3038"/>
      <c r="AZ363" s="3038"/>
      <c r="BA363" s="3038"/>
      <c r="BB363" s="3038"/>
      <c r="BC363" s="3038"/>
      <c r="BD363" s="3038"/>
      <c r="BE363" s="3038"/>
      <c r="BF363" s="3038"/>
      <c r="BG363" s="3038"/>
      <c r="BH363" s="3038"/>
      <c r="BI363" s="3038"/>
      <c r="BJ363" s="3038"/>
      <c r="BK363" s="3038"/>
      <c r="BL363" s="3038"/>
      <c r="BM363" s="3038"/>
      <c r="BN363" s="3038"/>
      <c r="BO363" s="3038"/>
      <c r="BP363" s="3038"/>
      <c r="BQ363" s="3038"/>
      <c r="BR363" s="3038"/>
      <c r="BS363" s="3038"/>
      <c r="BT363" s="3038"/>
      <c r="BU363" s="3038"/>
    </row>
    <row r="364" spans="3:73">
      <c r="C364" s="3038"/>
      <c r="D364" s="3038"/>
      <c r="E364" s="3038"/>
      <c r="H364" s="3038"/>
      <c r="I364" s="3038"/>
      <c r="J364" s="3038"/>
      <c r="K364" s="3038"/>
      <c r="M364" s="3038"/>
      <c r="N364" s="3038"/>
      <c r="O364" s="3038"/>
      <c r="P364" s="3038"/>
      <c r="Q364" s="3038"/>
      <c r="R364" s="3038"/>
      <c r="S364" s="3038"/>
      <c r="T364" s="3038"/>
      <c r="W364" s="3038"/>
      <c r="X364" s="3038"/>
      <c r="Y364" s="3038"/>
      <c r="Z364" s="3038"/>
      <c r="AA364" s="3113"/>
      <c r="AB364" s="3038"/>
      <c r="AC364" s="3038"/>
      <c r="AD364" s="3038"/>
      <c r="AE364" s="3132"/>
      <c r="AF364" s="3038"/>
      <c r="AG364" s="3038"/>
      <c r="AH364" s="3038"/>
      <c r="AK364" s="3038"/>
      <c r="AL364" s="3038"/>
      <c r="AM364" s="3038"/>
      <c r="AN364" s="3038"/>
      <c r="AO364" s="3038"/>
      <c r="AP364" s="3038"/>
      <c r="AQ364" s="3038"/>
      <c r="AR364" s="3038"/>
      <c r="AS364" s="3038"/>
      <c r="AT364" s="3038"/>
      <c r="AU364" s="3038"/>
      <c r="AV364" s="3038"/>
      <c r="AW364" s="3038"/>
      <c r="AX364" s="3038"/>
      <c r="AY364" s="3038"/>
      <c r="AZ364" s="3038"/>
      <c r="BA364" s="3038"/>
      <c r="BB364" s="3038"/>
      <c r="BC364" s="3038"/>
      <c r="BD364" s="3038"/>
      <c r="BE364" s="3038"/>
      <c r="BF364" s="3038"/>
      <c r="BG364" s="3038"/>
      <c r="BH364" s="3038"/>
      <c r="BI364" s="3038"/>
      <c r="BJ364" s="3038"/>
      <c r="BK364" s="3038"/>
      <c r="BL364" s="3038"/>
      <c r="BM364" s="3038"/>
      <c r="BN364" s="3038"/>
      <c r="BO364" s="3038"/>
      <c r="BP364" s="3038"/>
      <c r="BQ364" s="3038"/>
      <c r="BR364" s="3038"/>
      <c r="BS364" s="3038"/>
      <c r="BT364" s="3038"/>
      <c r="BU364" s="3038"/>
    </row>
    <row r="365" spans="3:73">
      <c r="C365" s="3038"/>
      <c r="D365" s="3038"/>
      <c r="E365" s="3038"/>
      <c r="H365" s="3038"/>
      <c r="I365" s="3038"/>
      <c r="J365" s="3038"/>
      <c r="K365" s="3038"/>
      <c r="M365" s="3038"/>
      <c r="N365" s="3038"/>
      <c r="O365" s="3038"/>
      <c r="P365" s="3038"/>
      <c r="Q365" s="3038"/>
      <c r="R365" s="3038"/>
      <c r="S365" s="3038"/>
      <c r="T365" s="3038"/>
      <c r="W365" s="3038"/>
      <c r="X365" s="3038"/>
      <c r="Y365" s="3038"/>
      <c r="Z365" s="3038"/>
      <c r="AA365" s="3113"/>
      <c r="AB365" s="3038"/>
      <c r="AC365" s="3038"/>
      <c r="AD365" s="3038"/>
      <c r="AE365" s="3132"/>
      <c r="AF365" s="3038"/>
      <c r="AG365" s="3038"/>
      <c r="AH365" s="3038"/>
      <c r="AK365" s="3038"/>
      <c r="AL365" s="3038"/>
      <c r="AM365" s="3038"/>
      <c r="AN365" s="3038"/>
      <c r="AO365" s="3038"/>
      <c r="AP365" s="3038"/>
      <c r="AQ365" s="3038"/>
      <c r="AR365" s="3038"/>
      <c r="AS365" s="3038"/>
      <c r="AT365" s="3038"/>
      <c r="AU365" s="3038"/>
      <c r="AV365" s="3038"/>
      <c r="AW365" s="3038"/>
      <c r="AX365" s="3038"/>
      <c r="AY365" s="3038"/>
      <c r="AZ365" s="3038"/>
      <c r="BA365" s="3038"/>
      <c r="BB365" s="3038"/>
      <c r="BC365" s="3038"/>
      <c r="BD365" s="3038"/>
      <c r="BE365" s="3038"/>
      <c r="BF365" s="3038"/>
      <c r="BG365" s="3038"/>
      <c r="BH365" s="3038"/>
      <c r="BI365" s="3038"/>
      <c r="BJ365" s="3038"/>
      <c r="BK365" s="3038"/>
      <c r="BL365" s="3038"/>
      <c r="BM365" s="3038"/>
      <c r="BN365" s="3038"/>
      <c r="BO365" s="3038"/>
      <c r="BP365" s="3038"/>
      <c r="BQ365" s="3038"/>
      <c r="BR365" s="3038"/>
      <c r="BS365" s="3038"/>
      <c r="BT365" s="3038"/>
      <c r="BU365" s="3038"/>
    </row>
    <row r="366" spans="3:73">
      <c r="C366" s="3038"/>
      <c r="D366" s="3038"/>
      <c r="E366" s="3038"/>
      <c r="H366" s="3038"/>
      <c r="I366" s="3038"/>
      <c r="J366" s="3038"/>
      <c r="K366" s="3038"/>
      <c r="M366" s="3038"/>
      <c r="N366" s="3038"/>
      <c r="O366" s="3038"/>
      <c r="P366" s="3038"/>
      <c r="Q366" s="3038"/>
      <c r="R366" s="3038"/>
      <c r="S366" s="3038"/>
      <c r="T366" s="3038"/>
      <c r="W366" s="3038"/>
      <c r="X366" s="3038"/>
      <c r="Y366" s="3038"/>
      <c r="Z366" s="3038"/>
      <c r="AA366" s="3113"/>
      <c r="AB366" s="3038"/>
      <c r="AC366" s="3038"/>
      <c r="AD366" s="3038"/>
      <c r="AE366" s="3132"/>
      <c r="AF366" s="3038"/>
      <c r="AG366" s="3038"/>
      <c r="AH366" s="3038"/>
      <c r="AK366" s="3038"/>
      <c r="AL366" s="3038"/>
      <c r="AM366" s="3038"/>
      <c r="AN366" s="3038"/>
      <c r="AO366" s="3038"/>
      <c r="AP366" s="3038"/>
      <c r="AQ366" s="3038"/>
      <c r="AR366" s="3038"/>
      <c r="AS366" s="3038"/>
      <c r="AT366" s="3038"/>
      <c r="AU366" s="3038"/>
      <c r="AV366" s="3038"/>
      <c r="AW366" s="3038"/>
      <c r="AX366" s="3038"/>
      <c r="AY366" s="3038"/>
      <c r="AZ366" s="3038"/>
      <c r="BA366" s="3038"/>
      <c r="BB366" s="3038"/>
      <c r="BC366" s="3038"/>
      <c r="BD366" s="3038"/>
      <c r="BE366" s="3038"/>
      <c r="BF366" s="3038"/>
      <c r="BG366" s="3038"/>
      <c r="BH366" s="3038"/>
      <c r="BI366" s="3038"/>
      <c r="BJ366" s="3038"/>
      <c r="BK366" s="3038"/>
      <c r="BL366" s="3038"/>
      <c r="BM366" s="3038"/>
      <c r="BN366" s="3038"/>
      <c r="BO366" s="3038"/>
      <c r="BP366" s="3038"/>
      <c r="BQ366" s="3038"/>
      <c r="BR366" s="3038"/>
      <c r="BS366" s="3038"/>
      <c r="BT366" s="3038"/>
      <c r="BU366" s="3038"/>
    </row>
    <row r="367" spans="3:73">
      <c r="C367" s="3038"/>
      <c r="D367" s="3038"/>
      <c r="E367" s="3038"/>
      <c r="H367" s="3038"/>
      <c r="I367" s="3038"/>
      <c r="J367" s="3038"/>
      <c r="K367" s="3038"/>
      <c r="M367" s="3038"/>
      <c r="N367" s="3038"/>
      <c r="O367" s="3038"/>
      <c r="P367" s="3038"/>
      <c r="Q367" s="3038"/>
      <c r="R367" s="3038"/>
      <c r="S367" s="3038"/>
      <c r="T367" s="3038"/>
      <c r="W367" s="3038"/>
      <c r="X367" s="3038"/>
      <c r="Y367" s="3038"/>
      <c r="Z367" s="3038"/>
      <c r="AA367" s="3113"/>
      <c r="AB367" s="3038"/>
      <c r="AC367" s="3038"/>
      <c r="AD367" s="3038"/>
      <c r="AE367" s="3132"/>
      <c r="AF367" s="3038"/>
      <c r="AG367" s="3038"/>
      <c r="AH367" s="3038"/>
      <c r="AK367" s="3038"/>
      <c r="AL367" s="3038"/>
      <c r="AM367" s="3038"/>
      <c r="AN367" s="3038"/>
      <c r="AO367" s="3038"/>
      <c r="AP367" s="3038"/>
      <c r="AQ367" s="3038"/>
      <c r="AR367" s="3038"/>
      <c r="AS367" s="3038"/>
      <c r="AT367" s="3038"/>
      <c r="AU367" s="3038"/>
      <c r="AV367" s="3038"/>
      <c r="AW367" s="3038"/>
      <c r="AX367" s="3038"/>
      <c r="AY367" s="3038"/>
      <c r="AZ367" s="3038"/>
      <c r="BA367" s="3038"/>
      <c r="BB367" s="3038"/>
      <c r="BC367" s="3038"/>
      <c r="BD367" s="3038"/>
      <c r="BE367" s="3038"/>
      <c r="BF367" s="3038"/>
      <c r="BG367" s="3038"/>
      <c r="BH367" s="3038"/>
      <c r="BI367" s="3038"/>
      <c r="BJ367" s="3038"/>
      <c r="BK367" s="3038"/>
      <c r="BL367" s="3038"/>
      <c r="BM367" s="3038"/>
      <c r="BN367" s="3038"/>
      <c r="BO367" s="3038"/>
      <c r="BP367" s="3038"/>
      <c r="BQ367" s="3038"/>
      <c r="BR367" s="3038"/>
      <c r="BS367" s="3038"/>
      <c r="BT367" s="3038"/>
      <c r="BU367" s="3038"/>
    </row>
    <row r="368" spans="3:73">
      <c r="C368" s="3038"/>
      <c r="D368" s="3038"/>
      <c r="E368" s="3038"/>
      <c r="H368" s="3038"/>
      <c r="I368" s="3038"/>
      <c r="J368" s="3038"/>
      <c r="K368" s="3038"/>
      <c r="M368" s="3038"/>
      <c r="N368" s="3038"/>
      <c r="O368" s="3038"/>
      <c r="P368" s="3038"/>
      <c r="Q368" s="3038"/>
      <c r="R368" s="3038"/>
      <c r="S368" s="3038"/>
      <c r="T368" s="3038"/>
      <c r="W368" s="3038"/>
      <c r="X368" s="3038"/>
      <c r="Y368" s="3038"/>
      <c r="Z368" s="3038"/>
      <c r="AA368" s="3113"/>
      <c r="AB368" s="3038"/>
      <c r="AC368" s="3038"/>
      <c r="AD368" s="3038"/>
      <c r="AE368" s="3132"/>
      <c r="AF368" s="3038"/>
      <c r="AG368" s="3038"/>
      <c r="AH368" s="3038"/>
      <c r="AK368" s="3038"/>
      <c r="AL368" s="3038"/>
      <c r="AM368" s="3038"/>
      <c r="AN368" s="3038"/>
      <c r="AO368" s="3038"/>
      <c r="AP368" s="3038"/>
      <c r="AQ368" s="3038"/>
      <c r="AR368" s="3038"/>
      <c r="AS368" s="3038"/>
      <c r="AT368" s="3038"/>
      <c r="AU368" s="3038"/>
      <c r="AV368" s="3038"/>
      <c r="AW368" s="3038"/>
      <c r="AX368" s="3038"/>
      <c r="AY368" s="3038"/>
      <c r="AZ368" s="3038"/>
      <c r="BA368" s="3038"/>
      <c r="BB368" s="3038"/>
      <c r="BC368" s="3038"/>
      <c r="BD368" s="3038"/>
      <c r="BE368" s="3038"/>
      <c r="BF368" s="3038"/>
      <c r="BG368" s="3038"/>
      <c r="BH368" s="3038"/>
      <c r="BI368" s="3038"/>
      <c r="BJ368" s="3038"/>
      <c r="BK368" s="3038"/>
      <c r="BL368" s="3038"/>
      <c r="BM368" s="3038"/>
      <c r="BN368" s="3038"/>
      <c r="BO368" s="3038"/>
      <c r="BP368" s="3038"/>
      <c r="BQ368" s="3038"/>
      <c r="BR368" s="3038"/>
      <c r="BS368" s="3038"/>
      <c r="BT368" s="3038"/>
      <c r="BU368" s="3038"/>
    </row>
    <row r="369" spans="3:73">
      <c r="C369" s="3038"/>
      <c r="D369" s="3038"/>
      <c r="E369" s="3038"/>
      <c r="H369" s="3038"/>
      <c r="I369" s="3038"/>
      <c r="J369" s="3038"/>
      <c r="K369" s="3038"/>
      <c r="M369" s="3038"/>
      <c r="N369" s="3038"/>
      <c r="O369" s="3038"/>
      <c r="P369" s="3038"/>
      <c r="Q369" s="3038"/>
      <c r="R369" s="3038"/>
      <c r="S369" s="3038"/>
      <c r="T369" s="3038"/>
      <c r="W369" s="3038"/>
      <c r="X369" s="3038"/>
      <c r="Y369" s="3038"/>
      <c r="Z369" s="3038"/>
      <c r="AA369" s="3113"/>
      <c r="AB369" s="3038"/>
      <c r="AC369" s="3038"/>
      <c r="AD369" s="3038"/>
      <c r="AE369" s="3132"/>
      <c r="AF369" s="3038"/>
      <c r="AG369" s="3038"/>
      <c r="AH369" s="3038"/>
      <c r="AK369" s="3038"/>
      <c r="AL369" s="3038"/>
      <c r="AM369" s="3038"/>
      <c r="AN369" s="3038"/>
      <c r="AO369" s="3038"/>
      <c r="AP369" s="3038"/>
      <c r="AQ369" s="3038"/>
      <c r="AR369" s="3038"/>
      <c r="AS369" s="3038"/>
      <c r="AT369" s="3038"/>
      <c r="AU369" s="3038"/>
      <c r="AV369" s="3038"/>
      <c r="AW369" s="3038"/>
      <c r="AX369" s="3038"/>
      <c r="AY369" s="3038"/>
      <c r="AZ369" s="3038"/>
      <c r="BA369" s="3038"/>
      <c r="BB369" s="3038"/>
      <c r="BC369" s="3038"/>
      <c r="BD369" s="3038"/>
      <c r="BE369" s="3038"/>
      <c r="BF369" s="3038"/>
      <c r="BG369" s="3038"/>
      <c r="BH369" s="3038"/>
      <c r="BI369" s="3038"/>
      <c r="BJ369" s="3038"/>
      <c r="BK369" s="3038"/>
      <c r="BL369" s="3038"/>
      <c r="BM369" s="3038"/>
      <c r="BN369" s="3038"/>
      <c r="BO369" s="3038"/>
      <c r="BP369" s="3038"/>
      <c r="BQ369" s="3038"/>
      <c r="BR369" s="3038"/>
      <c r="BS369" s="3038"/>
      <c r="BT369" s="3038"/>
      <c r="BU369" s="3038"/>
    </row>
    <row r="370" spans="3:73">
      <c r="C370" s="3038"/>
      <c r="D370" s="3038"/>
      <c r="E370" s="3038"/>
      <c r="H370" s="3038"/>
      <c r="I370" s="3038"/>
      <c r="J370" s="3038"/>
      <c r="K370" s="3038"/>
      <c r="M370" s="3038"/>
      <c r="N370" s="3038"/>
      <c r="O370" s="3038"/>
      <c r="P370" s="3038"/>
      <c r="Q370" s="3038"/>
      <c r="R370" s="3038"/>
      <c r="S370" s="3038"/>
      <c r="T370" s="3038"/>
      <c r="W370" s="3038"/>
      <c r="X370" s="3038"/>
      <c r="Y370" s="3038"/>
      <c r="Z370" s="3038"/>
      <c r="AA370" s="3113"/>
      <c r="AB370" s="3038"/>
      <c r="AC370" s="3038"/>
      <c r="AD370" s="3038"/>
      <c r="AE370" s="3132"/>
      <c r="AF370" s="3038"/>
      <c r="AG370" s="3038"/>
      <c r="AH370" s="3038"/>
      <c r="AK370" s="3038"/>
      <c r="AL370" s="3038"/>
      <c r="AM370" s="3038"/>
      <c r="AN370" s="3038"/>
      <c r="AO370" s="3038"/>
      <c r="AP370" s="3038"/>
      <c r="AQ370" s="3038"/>
      <c r="AR370" s="3038"/>
      <c r="AS370" s="3038"/>
      <c r="AT370" s="3038"/>
      <c r="AU370" s="3038"/>
      <c r="AV370" s="3038"/>
      <c r="AW370" s="3038"/>
      <c r="AX370" s="3038"/>
      <c r="AY370" s="3038"/>
      <c r="AZ370" s="3038"/>
      <c r="BA370" s="3038"/>
      <c r="BB370" s="3038"/>
      <c r="BC370" s="3038"/>
      <c r="BD370" s="3038"/>
      <c r="BE370" s="3038"/>
      <c r="BF370" s="3038"/>
      <c r="BG370" s="3038"/>
      <c r="BH370" s="3038"/>
      <c r="BI370" s="3038"/>
      <c r="BJ370" s="3038"/>
      <c r="BK370" s="3038"/>
      <c r="BL370" s="3038"/>
      <c r="BM370" s="3038"/>
      <c r="BN370" s="3038"/>
      <c r="BO370" s="3038"/>
      <c r="BP370" s="3038"/>
      <c r="BQ370" s="3038"/>
      <c r="BR370" s="3038"/>
      <c r="BS370" s="3038"/>
      <c r="BT370" s="3038"/>
      <c r="BU370" s="3038"/>
    </row>
    <row r="371" spans="3:73">
      <c r="C371" s="3038"/>
      <c r="D371" s="3038"/>
      <c r="E371" s="3038"/>
      <c r="H371" s="3038"/>
      <c r="I371" s="3038"/>
      <c r="J371" s="3038"/>
      <c r="K371" s="3038"/>
      <c r="M371" s="3038"/>
      <c r="N371" s="3038"/>
      <c r="O371" s="3038"/>
      <c r="P371" s="3038"/>
      <c r="Q371" s="3038"/>
      <c r="R371" s="3038"/>
      <c r="S371" s="3038"/>
      <c r="T371" s="3038"/>
      <c r="W371" s="3038"/>
      <c r="X371" s="3038"/>
      <c r="Y371" s="3038"/>
      <c r="Z371" s="3038"/>
      <c r="AA371" s="3113"/>
      <c r="AB371" s="3038"/>
      <c r="AC371" s="3038"/>
      <c r="AD371" s="3038"/>
      <c r="AE371" s="3132"/>
      <c r="AF371" s="3038"/>
      <c r="AG371" s="3038"/>
      <c r="AH371" s="3038"/>
      <c r="AK371" s="3038"/>
      <c r="AL371" s="3038"/>
      <c r="AM371" s="3038"/>
      <c r="AN371" s="3038"/>
      <c r="AO371" s="3038"/>
      <c r="AP371" s="3038"/>
      <c r="AQ371" s="3038"/>
      <c r="AR371" s="3038"/>
      <c r="AS371" s="3038"/>
      <c r="AT371" s="3038"/>
      <c r="AU371" s="3038"/>
      <c r="AV371" s="3038"/>
      <c r="AW371" s="3038"/>
      <c r="AX371" s="3038"/>
      <c r="AY371" s="3038"/>
      <c r="AZ371" s="3038"/>
      <c r="BA371" s="3038"/>
      <c r="BB371" s="3038"/>
      <c r="BC371" s="3038"/>
      <c r="BD371" s="3038"/>
      <c r="BE371" s="3038"/>
      <c r="BF371" s="3038"/>
      <c r="BG371" s="3038"/>
      <c r="BH371" s="3038"/>
      <c r="BI371" s="3038"/>
      <c r="BJ371" s="3038"/>
      <c r="BK371" s="3038"/>
      <c r="BL371" s="3038"/>
      <c r="BM371" s="3038"/>
      <c r="BN371" s="3038"/>
      <c r="BO371" s="3038"/>
      <c r="BP371" s="3038"/>
      <c r="BQ371" s="3038"/>
      <c r="BR371" s="3038"/>
      <c r="BS371" s="3038"/>
      <c r="BT371" s="3038"/>
      <c r="BU371" s="3038"/>
    </row>
    <row r="372" spans="3:73">
      <c r="C372" s="3038"/>
      <c r="D372" s="3038"/>
      <c r="E372" s="3038"/>
      <c r="H372" s="3038"/>
      <c r="I372" s="3038"/>
      <c r="J372" s="3038"/>
      <c r="K372" s="3038"/>
      <c r="M372" s="3038"/>
      <c r="N372" s="3038"/>
      <c r="O372" s="3038"/>
      <c r="P372" s="3038"/>
      <c r="Q372" s="3038"/>
      <c r="R372" s="3038"/>
      <c r="S372" s="3038"/>
      <c r="T372" s="3038"/>
      <c r="W372" s="3038"/>
      <c r="X372" s="3038"/>
      <c r="Y372" s="3038"/>
      <c r="Z372" s="3038"/>
      <c r="AA372" s="3113"/>
      <c r="AB372" s="3038"/>
      <c r="AC372" s="3038"/>
      <c r="AD372" s="3038"/>
      <c r="AE372" s="3132"/>
      <c r="AF372" s="3038"/>
      <c r="AG372" s="3038"/>
      <c r="AH372" s="3038"/>
      <c r="AK372" s="3038"/>
      <c r="AL372" s="3038"/>
      <c r="AM372" s="3038"/>
      <c r="AN372" s="3038"/>
      <c r="AO372" s="3038"/>
      <c r="AP372" s="3038"/>
      <c r="AQ372" s="3038"/>
      <c r="AR372" s="3038"/>
      <c r="AS372" s="3038"/>
      <c r="AT372" s="3038"/>
      <c r="AU372" s="3038"/>
      <c r="AV372" s="3038"/>
      <c r="AW372" s="3038"/>
      <c r="AX372" s="3038"/>
      <c r="AY372" s="3038"/>
      <c r="AZ372" s="3038"/>
      <c r="BA372" s="3038"/>
      <c r="BB372" s="3038"/>
      <c r="BC372" s="3038"/>
      <c r="BD372" s="3038"/>
      <c r="BE372" s="3038"/>
      <c r="BF372" s="3038"/>
      <c r="BG372" s="3038"/>
      <c r="BH372" s="3038"/>
      <c r="BI372" s="3038"/>
      <c r="BJ372" s="3038"/>
      <c r="BK372" s="3038"/>
      <c r="BL372" s="3038"/>
      <c r="BM372" s="3038"/>
      <c r="BN372" s="3038"/>
      <c r="BO372" s="3038"/>
      <c r="BP372" s="3038"/>
      <c r="BQ372" s="3038"/>
      <c r="BR372" s="3038"/>
      <c r="BS372" s="3038"/>
      <c r="BT372" s="3038"/>
      <c r="BU372" s="3038"/>
    </row>
    <row r="373" spans="3:73">
      <c r="C373" s="3038"/>
      <c r="D373" s="3038"/>
      <c r="E373" s="3038"/>
      <c r="H373" s="3038"/>
      <c r="I373" s="3038"/>
      <c r="J373" s="3038"/>
      <c r="K373" s="3038"/>
      <c r="M373" s="3038"/>
      <c r="N373" s="3038"/>
      <c r="O373" s="3038"/>
      <c r="P373" s="3038"/>
      <c r="Q373" s="3038"/>
      <c r="R373" s="3038"/>
      <c r="S373" s="3038"/>
      <c r="T373" s="3038"/>
      <c r="W373" s="3038"/>
      <c r="X373" s="3038"/>
      <c r="Y373" s="3038"/>
      <c r="Z373" s="3038"/>
      <c r="AA373" s="3113"/>
      <c r="AB373" s="3038"/>
      <c r="AC373" s="3038"/>
      <c r="AD373" s="3038"/>
      <c r="AE373" s="3132"/>
      <c r="AF373" s="3038"/>
      <c r="AG373" s="3038"/>
      <c r="AH373" s="3038"/>
      <c r="AK373" s="3038"/>
      <c r="AL373" s="3038"/>
      <c r="AM373" s="3038"/>
      <c r="AN373" s="3038"/>
      <c r="AO373" s="3038"/>
      <c r="AP373" s="3038"/>
      <c r="AQ373" s="3038"/>
      <c r="AR373" s="3038"/>
      <c r="AS373" s="3038"/>
      <c r="AT373" s="3038"/>
      <c r="AU373" s="3038"/>
      <c r="AV373" s="3038"/>
      <c r="AW373" s="3038"/>
      <c r="AX373" s="3038"/>
      <c r="AY373" s="3038"/>
      <c r="AZ373" s="3038"/>
      <c r="BA373" s="3038"/>
      <c r="BB373" s="3038"/>
      <c r="BC373" s="3038"/>
      <c r="BD373" s="3038"/>
      <c r="BE373" s="3038"/>
      <c r="BF373" s="3038"/>
      <c r="BG373" s="3038"/>
      <c r="BH373" s="3038"/>
      <c r="BI373" s="3038"/>
      <c r="BJ373" s="3038"/>
      <c r="BK373" s="3038"/>
      <c r="BL373" s="3038"/>
      <c r="BM373" s="3038"/>
      <c r="BN373" s="3038"/>
      <c r="BO373" s="3038"/>
      <c r="BP373" s="3038"/>
      <c r="BQ373" s="3038"/>
      <c r="BR373" s="3038"/>
      <c r="BS373" s="3038"/>
      <c r="BT373" s="3038"/>
      <c r="BU373" s="3038"/>
    </row>
    <row r="374" spans="3:73">
      <c r="C374" s="3038"/>
      <c r="D374" s="3038"/>
      <c r="E374" s="3038"/>
      <c r="H374" s="3038"/>
      <c r="I374" s="3038"/>
      <c r="J374" s="3038"/>
      <c r="K374" s="3038"/>
      <c r="M374" s="3038"/>
      <c r="N374" s="3038"/>
      <c r="O374" s="3038"/>
      <c r="P374" s="3038"/>
      <c r="Q374" s="3038"/>
      <c r="R374" s="3038"/>
      <c r="S374" s="3038"/>
      <c r="T374" s="3038"/>
      <c r="W374" s="3038"/>
      <c r="X374" s="3038"/>
      <c r="Y374" s="3038"/>
      <c r="Z374" s="3038"/>
      <c r="AA374" s="3113"/>
      <c r="AB374" s="3038"/>
      <c r="AC374" s="3038"/>
      <c r="AD374" s="3038"/>
      <c r="AE374" s="3132"/>
      <c r="AF374" s="3038"/>
      <c r="AG374" s="3038"/>
      <c r="AH374" s="3038"/>
      <c r="AK374" s="3038"/>
      <c r="AL374" s="3038"/>
      <c r="AM374" s="3038"/>
      <c r="AN374" s="3038"/>
      <c r="AO374" s="3038"/>
      <c r="AP374" s="3038"/>
      <c r="AQ374" s="3038"/>
      <c r="AR374" s="3038"/>
      <c r="AS374" s="3038"/>
      <c r="AT374" s="3038"/>
      <c r="AU374" s="3038"/>
      <c r="AV374" s="3038"/>
      <c r="AW374" s="3038"/>
      <c r="AX374" s="3038"/>
      <c r="AY374" s="3038"/>
      <c r="AZ374" s="3038"/>
      <c r="BA374" s="3038"/>
      <c r="BB374" s="3038"/>
      <c r="BC374" s="3038"/>
      <c r="BD374" s="3038"/>
      <c r="BE374" s="3038"/>
      <c r="BF374" s="3038"/>
      <c r="BG374" s="3038"/>
      <c r="BH374" s="3038"/>
      <c r="BI374" s="3038"/>
      <c r="BJ374" s="3038"/>
      <c r="BK374" s="3038"/>
      <c r="BL374" s="3038"/>
      <c r="BM374" s="3038"/>
      <c r="BN374" s="3038"/>
      <c r="BO374" s="3038"/>
      <c r="BP374" s="3038"/>
      <c r="BQ374" s="3038"/>
      <c r="BR374" s="3038"/>
      <c r="BS374" s="3038"/>
      <c r="BT374" s="3038"/>
      <c r="BU374" s="3038"/>
    </row>
    <row r="375" spans="3:73">
      <c r="C375" s="3038"/>
      <c r="D375" s="3038"/>
      <c r="E375" s="3038"/>
      <c r="H375" s="3038"/>
      <c r="I375" s="3038"/>
      <c r="J375" s="3038"/>
      <c r="K375" s="3038"/>
      <c r="M375" s="3038"/>
      <c r="N375" s="3038"/>
      <c r="O375" s="3038"/>
      <c r="P375" s="3038"/>
      <c r="Q375" s="3038"/>
      <c r="R375" s="3038"/>
      <c r="S375" s="3038"/>
      <c r="T375" s="3038"/>
      <c r="W375" s="3038"/>
      <c r="X375" s="3038"/>
      <c r="Y375" s="3038"/>
      <c r="Z375" s="3038"/>
      <c r="AA375" s="3113"/>
      <c r="AB375" s="3038"/>
      <c r="AC375" s="3038"/>
      <c r="AD375" s="3038"/>
      <c r="AE375" s="3132"/>
      <c r="AF375" s="3038"/>
      <c r="AG375" s="3038"/>
      <c r="AH375" s="3038"/>
      <c r="AK375" s="3038"/>
      <c r="AL375" s="3038"/>
      <c r="AM375" s="3038"/>
      <c r="AN375" s="3038"/>
      <c r="AO375" s="3038"/>
      <c r="AP375" s="3038"/>
      <c r="AQ375" s="3038"/>
      <c r="AR375" s="3038"/>
      <c r="AS375" s="3038"/>
      <c r="AT375" s="3038"/>
      <c r="AU375" s="3038"/>
      <c r="AV375" s="3038"/>
      <c r="AW375" s="3038"/>
      <c r="AX375" s="3038"/>
      <c r="AY375" s="3038"/>
      <c r="AZ375" s="3038"/>
      <c r="BA375" s="3038"/>
      <c r="BB375" s="3038"/>
      <c r="BC375" s="3038"/>
      <c r="BD375" s="3038"/>
      <c r="BE375" s="3038"/>
      <c r="BF375" s="3038"/>
      <c r="BG375" s="3038"/>
      <c r="BH375" s="3038"/>
      <c r="BI375" s="3038"/>
      <c r="BJ375" s="3038"/>
      <c r="BK375" s="3038"/>
      <c r="BL375" s="3038"/>
      <c r="BM375" s="3038"/>
      <c r="BN375" s="3038"/>
      <c r="BO375" s="3038"/>
      <c r="BP375" s="3038"/>
      <c r="BQ375" s="3038"/>
      <c r="BR375" s="3038"/>
      <c r="BS375" s="3038"/>
      <c r="BT375" s="3038"/>
      <c r="BU375" s="3038"/>
    </row>
    <row r="376" spans="3:73">
      <c r="C376" s="3038"/>
      <c r="D376" s="3038"/>
      <c r="E376" s="3038"/>
      <c r="H376" s="3038"/>
      <c r="I376" s="3038"/>
      <c r="J376" s="3038"/>
      <c r="K376" s="3038"/>
      <c r="M376" s="3038"/>
      <c r="N376" s="3038"/>
      <c r="O376" s="3038"/>
      <c r="P376" s="3038"/>
      <c r="Q376" s="3038"/>
      <c r="R376" s="3038"/>
      <c r="S376" s="3038"/>
      <c r="T376" s="3038"/>
      <c r="W376" s="3038"/>
      <c r="X376" s="3038"/>
      <c r="Y376" s="3038"/>
      <c r="Z376" s="3038"/>
      <c r="AA376" s="3113"/>
      <c r="AB376" s="3038"/>
      <c r="AC376" s="3038"/>
      <c r="AD376" s="3038"/>
      <c r="AE376" s="3132"/>
      <c r="AF376" s="3038"/>
      <c r="AG376" s="3038"/>
      <c r="AH376" s="3038"/>
      <c r="AK376" s="3038"/>
      <c r="AL376" s="3038"/>
      <c r="AM376" s="3038"/>
      <c r="AN376" s="3038"/>
      <c r="AO376" s="3038"/>
      <c r="AP376" s="3038"/>
      <c r="AQ376" s="3038"/>
      <c r="AR376" s="3038"/>
      <c r="AS376" s="3038"/>
      <c r="AT376" s="3038"/>
      <c r="AU376" s="3038"/>
      <c r="AV376" s="3038"/>
      <c r="AW376" s="3038"/>
      <c r="AX376" s="3038"/>
      <c r="AY376" s="3038"/>
      <c r="AZ376" s="3038"/>
      <c r="BA376" s="3038"/>
      <c r="BB376" s="3038"/>
      <c r="BC376" s="3038"/>
      <c r="BD376" s="3038"/>
      <c r="BE376" s="3038"/>
      <c r="BF376" s="3038"/>
      <c r="BG376" s="3038"/>
      <c r="BH376" s="3038"/>
      <c r="BI376" s="3038"/>
      <c r="BJ376" s="3038"/>
      <c r="BK376" s="3038"/>
      <c r="BL376" s="3038"/>
      <c r="BM376" s="3038"/>
      <c r="BN376" s="3038"/>
      <c r="BO376" s="3038"/>
      <c r="BP376" s="3038"/>
      <c r="BQ376" s="3038"/>
      <c r="BR376" s="3038"/>
      <c r="BS376" s="3038"/>
      <c r="BT376" s="3038"/>
      <c r="BU376" s="3038"/>
    </row>
    <row r="377" spans="3:73">
      <c r="C377" s="3038"/>
      <c r="D377" s="3038"/>
      <c r="E377" s="3038"/>
      <c r="H377" s="3038"/>
      <c r="I377" s="3038"/>
      <c r="J377" s="3038"/>
      <c r="K377" s="3038"/>
      <c r="M377" s="3038"/>
      <c r="N377" s="3038"/>
      <c r="O377" s="3038"/>
      <c r="P377" s="3038"/>
      <c r="Q377" s="3038"/>
      <c r="R377" s="3038"/>
      <c r="S377" s="3038"/>
      <c r="T377" s="3038"/>
      <c r="W377" s="3038"/>
      <c r="X377" s="3038"/>
      <c r="Y377" s="3038"/>
      <c r="Z377" s="3038"/>
      <c r="AA377" s="3113"/>
      <c r="AB377" s="3038"/>
      <c r="AC377" s="3038"/>
      <c r="AD377" s="3038"/>
      <c r="AE377" s="3132"/>
      <c r="AF377" s="3038"/>
      <c r="AG377" s="3038"/>
      <c r="AH377" s="3038"/>
      <c r="AK377" s="3038"/>
      <c r="AL377" s="3038"/>
      <c r="AM377" s="3038"/>
      <c r="AN377" s="3038"/>
      <c r="AO377" s="3038"/>
      <c r="AP377" s="3038"/>
      <c r="AQ377" s="3038"/>
      <c r="AR377" s="3038"/>
      <c r="AS377" s="3038"/>
      <c r="AT377" s="3038"/>
      <c r="AU377" s="3038"/>
      <c r="AV377" s="3038"/>
      <c r="AW377" s="3038"/>
      <c r="AX377" s="3038"/>
      <c r="AY377" s="3038"/>
      <c r="AZ377" s="3038"/>
      <c r="BA377" s="3038"/>
      <c r="BB377" s="3038"/>
      <c r="BC377" s="3038"/>
      <c r="BD377" s="3038"/>
      <c r="BE377" s="3038"/>
      <c r="BF377" s="3038"/>
      <c r="BG377" s="3038"/>
      <c r="BH377" s="3038"/>
      <c r="BI377" s="3038"/>
      <c r="BJ377" s="3038"/>
      <c r="BK377" s="3038"/>
      <c r="BL377" s="3038"/>
      <c r="BM377" s="3038"/>
      <c r="BN377" s="3038"/>
      <c r="BO377" s="3038"/>
      <c r="BP377" s="3038"/>
      <c r="BQ377" s="3038"/>
      <c r="BR377" s="3038"/>
      <c r="BS377" s="3038"/>
      <c r="BT377" s="3038"/>
      <c r="BU377" s="3038"/>
    </row>
    <row r="378" spans="3:73">
      <c r="C378" s="3038"/>
      <c r="D378" s="3038"/>
      <c r="E378" s="3038"/>
      <c r="H378" s="3038"/>
      <c r="I378" s="3038"/>
      <c r="J378" s="3038"/>
      <c r="K378" s="3038"/>
      <c r="M378" s="3038"/>
      <c r="N378" s="3038"/>
      <c r="O378" s="3038"/>
      <c r="P378" s="3038"/>
      <c r="Q378" s="3038"/>
      <c r="R378" s="3038"/>
      <c r="S378" s="3038"/>
      <c r="T378" s="3038"/>
      <c r="W378" s="3038"/>
      <c r="X378" s="3038"/>
      <c r="Y378" s="3038"/>
      <c r="Z378" s="3038"/>
      <c r="AA378" s="3113"/>
      <c r="AB378" s="3038"/>
      <c r="AC378" s="3038"/>
      <c r="AD378" s="3038"/>
      <c r="AE378" s="3132"/>
      <c r="AF378" s="3038"/>
      <c r="AG378" s="3038"/>
      <c r="AH378" s="3038"/>
      <c r="AK378" s="3038"/>
      <c r="AL378" s="3038"/>
      <c r="AM378" s="3038"/>
      <c r="AN378" s="3038"/>
      <c r="AO378" s="3038"/>
      <c r="AP378" s="3038"/>
      <c r="AQ378" s="3038"/>
      <c r="AR378" s="3038"/>
      <c r="AS378" s="3038"/>
      <c r="AT378" s="3038"/>
      <c r="AU378" s="3038"/>
      <c r="AV378" s="3038"/>
      <c r="AW378" s="3038"/>
      <c r="AX378" s="3038"/>
      <c r="AY378" s="3038"/>
      <c r="AZ378" s="3038"/>
      <c r="BA378" s="3038"/>
      <c r="BB378" s="3038"/>
      <c r="BC378" s="3038"/>
      <c r="BD378" s="3038"/>
      <c r="BE378" s="3038"/>
      <c r="BF378" s="3038"/>
      <c r="BG378" s="3038"/>
      <c r="BH378" s="3038"/>
      <c r="BI378" s="3038"/>
      <c r="BJ378" s="3038"/>
      <c r="BK378" s="3038"/>
      <c r="BL378" s="3038"/>
      <c r="BM378" s="3038"/>
      <c r="BN378" s="3038"/>
      <c r="BO378" s="3038"/>
      <c r="BP378" s="3038"/>
      <c r="BQ378" s="3038"/>
      <c r="BR378" s="3038"/>
      <c r="BS378" s="3038"/>
      <c r="BT378" s="3038"/>
      <c r="BU378" s="3038"/>
    </row>
    <row r="379" spans="3:73">
      <c r="C379" s="3038"/>
      <c r="D379" s="3038"/>
      <c r="E379" s="3038"/>
      <c r="H379" s="3038"/>
      <c r="I379" s="3038"/>
      <c r="J379" s="3038"/>
      <c r="K379" s="3038"/>
      <c r="M379" s="3038"/>
      <c r="N379" s="3038"/>
      <c r="O379" s="3038"/>
      <c r="P379" s="3038"/>
      <c r="Q379" s="3038"/>
      <c r="R379" s="3038"/>
      <c r="S379" s="3038"/>
      <c r="T379" s="3038"/>
      <c r="W379" s="3038"/>
      <c r="X379" s="3038"/>
      <c r="Y379" s="3038"/>
      <c r="Z379" s="3038"/>
      <c r="AA379" s="3113"/>
      <c r="AB379" s="3038"/>
      <c r="AC379" s="3038"/>
      <c r="AD379" s="3038"/>
      <c r="AE379" s="3132"/>
      <c r="AF379" s="3038"/>
      <c r="AG379" s="3038"/>
      <c r="AH379" s="3038"/>
      <c r="AK379" s="3038"/>
      <c r="AL379" s="3038"/>
      <c r="AM379" s="3038"/>
      <c r="AN379" s="3038"/>
      <c r="AO379" s="3038"/>
      <c r="AP379" s="3038"/>
      <c r="AQ379" s="3038"/>
      <c r="AR379" s="3038"/>
      <c r="AS379" s="3038"/>
      <c r="AT379" s="3038"/>
      <c r="AU379" s="3038"/>
      <c r="AV379" s="3038"/>
      <c r="AW379" s="3038"/>
      <c r="AX379" s="3038"/>
      <c r="AY379" s="3038"/>
      <c r="AZ379" s="3038"/>
      <c r="BA379" s="3038"/>
      <c r="BB379" s="3038"/>
      <c r="BC379" s="3038"/>
      <c r="BD379" s="3038"/>
      <c r="BE379" s="3038"/>
      <c r="BF379" s="3038"/>
      <c r="BG379" s="3038"/>
      <c r="BH379" s="3038"/>
      <c r="BI379" s="3038"/>
      <c r="BJ379" s="3038"/>
      <c r="BK379" s="3038"/>
      <c r="BL379" s="3038"/>
      <c r="BM379" s="3038"/>
      <c r="BN379" s="3038"/>
      <c r="BO379" s="3038"/>
      <c r="BP379" s="3038"/>
      <c r="BQ379" s="3038"/>
      <c r="BR379" s="3038"/>
      <c r="BS379" s="3038"/>
      <c r="BT379" s="3038"/>
      <c r="BU379" s="3038"/>
    </row>
    <row r="380" spans="3:73">
      <c r="C380" s="3038"/>
      <c r="D380" s="3038"/>
      <c r="E380" s="3038"/>
      <c r="H380" s="3038"/>
      <c r="I380" s="3038"/>
      <c r="J380" s="3038"/>
      <c r="K380" s="3038"/>
      <c r="M380" s="3038"/>
      <c r="N380" s="3038"/>
      <c r="O380" s="3038"/>
      <c r="P380" s="3038"/>
      <c r="Q380" s="3038"/>
      <c r="R380" s="3038"/>
      <c r="S380" s="3038"/>
      <c r="T380" s="3038"/>
      <c r="W380" s="3038"/>
      <c r="X380" s="3038"/>
      <c r="Y380" s="3038"/>
      <c r="Z380" s="3038"/>
      <c r="AA380" s="3113"/>
      <c r="AB380" s="3038"/>
      <c r="AC380" s="3038"/>
      <c r="AD380" s="3038"/>
      <c r="AE380" s="3132"/>
      <c r="AF380" s="3038"/>
      <c r="AG380" s="3038"/>
      <c r="AH380" s="3038"/>
      <c r="AK380" s="3038"/>
      <c r="AL380" s="3038"/>
      <c r="AM380" s="3038"/>
      <c r="AN380" s="3038"/>
      <c r="AO380" s="3038"/>
      <c r="AP380" s="3038"/>
      <c r="AQ380" s="3038"/>
      <c r="AR380" s="3038"/>
      <c r="AS380" s="3038"/>
      <c r="AT380" s="3038"/>
      <c r="AU380" s="3038"/>
      <c r="AV380" s="3038"/>
      <c r="AW380" s="3038"/>
      <c r="AX380" s="3038"/>
      <c r="AY380" s="3038"/>
      <c r="AZ380" s="3038"/>
      <c r="BA380" s="3038"/>
      <c r="BB380" s="3038"/>
      <c r="BC380" s="3038"/>
      <c r="BD380" s="3038"/>
      <c r="BE380" s="3038"/>
      <c r="BF380" s="3038"/>
      <c r="BG380" s="3038"/>
      <c r="BH380" s="3038"/>
      <c r="BI380" s="3038"/>
      <c r="BJ380" s="3038"/>
      <c r="BK380" s="3038"/>
      <c r="BL380" s="3038"/>
      <c r="BM380" s="3038"/>
      <c r="BN380" s="3038"/>
      <c r="BO380" s="3038"/>
      <c r="BP380" s="3038"/>
      <c r="BQ380" s="3038"/>
      <c r="BR380" s="3038"/>
      <c r="BS380" s="3038"/>
      <c r="BT380" s="3038"/>
      <c r="BU380" s="3038"/>
    </row>
    <row r="381" spans="3:73">
      <c r="C381" s="3038"/>
      <c r="D381" s="3038"/>
      <c r="E381" s="3038"/>
      <c r="H381" s="3038"/>
      <c r="I381" s="3038"/>
      <c r="J381" s="3038"/>
      <c r="K381" s="3038"/>
      <c r="M381" s="3038"/>
      <c r="N381" s="3038"/>
      <c r="O381" s="3038"/>
      <c r="P381" s="3038"/>
      <c r="Q381" s="3038"/>
      <c r="R381" s="3038"/>
      <c r="S381" s="3038"/>
      <c r="T381" s="3038"/>
      <c r="W381" s="3038"/>
      <c r="X381" s="3038"/>
      <c r="Y381" s="3038"/>
      <c r="Z381" s="3038"/>
      <c r="AA381" s="3113"/>
      <c r="AB381" s="3038"/>
      <c r="AC381" s="3038"/>
      <c r="AD381" s="3038"/>
      <c r="AE381" s="3132"/>
      <c r="AF381" s="3038"/>
      <c r="AG381" s="3038"/>
      <c r="AH381" s="3038"/>
      <c r="AK381" s="3038"/>
      <c r="AL381" s="3038"/>
      <c r="AM381" s="3038"/>
      <c r="AN381" s="3038"/>
      <c r="AO381" s="3038"/>
      <c r="AP381" s="3038"/>
      <c r="AQ381" s="3038"/>
      <c r="AR381" s="3038"/>
      <c r="AS381" s="3038"/>
      <c r="AT381" s="3038"/>
      <c r="AU381" s="3038"/>
      <c r="AV381" s="3038"/>
      <c r="AW381" s="3038"/>
      <c r="AX381" s="3038"/>
      <c r="AY381" s="3038"/>
      <c r="AZ381" s="3038"/>
      <c r="BA381" s="3038"/>
      <c r="BB381" s="3038"/>
      <c r="BC381" s="3038"/>
      <c r="BD381" s="3038"/>
      <c r="BE381" s="3038"/>
      <c r="BF381" s="3038"/>
      <c r="BG381" s="3038"/>
      <c r="BH381" s="3038"/>
      <c r="BI381" s="3038"/>
      <c r="BJ381" s="3038"/>
      <c r="BK381" s="3038"/>
      <c r="BL381" s="3038"/>
      <c r="BM381" s="3038"/>
      <c r="BN381" s="3038"/>
      <c r="BO381" s="3038"/>
      <c r="BP381" s="3038"/>
      <c r="BQ381" s="3038"/>
      <c r="BR381" s="3038"/>
      <c r="BS381" s="3038"/>
      <c r="BT381" s="3038"/>
      <c r="BU381" s="3038"/>
    </row>
    <row r="382" spans="3:73">
      <c r="C382" s="3038"/>
      <c r="D382" s="3038"/>
      <c r="E382" s="3038"/>
      <c r="H382" s="3038"/>
      <c r="I382" s="3038"/>
      <c r="J382" s="3038"/>
      <c r="K382" s="3038"/>
      <c r="M382" s="3038"/>
      <c r="N382" s="3038"/>
      <c r="O382" s="3038"/>
      <c r="P382" s="3038"/>
      <c r="Q382" s="3038"/>
      <c r="R382" s="3038"/>
      <c r="S382" s="3038"/>
      <c r="T382" s="3038"/>
      <c r="W382" s="3038"/>
      <c r="X382" s="3038"/>
      <c r="Y382" s="3038"/>
      <c r="Z382" s="3038"/>
      <c r="AA382" s="3113"/>
      <c r="AB382" s="3038"/>
      <c r="AC382" s="3038"/>
      <c r="AD382" s="3038"/>
      <c r="AE382" s="3132"/>
      <c r="AF382" s="3038"/>
      <c r="AG382" s="3038"/>
      <c r="AH382" s="3038"/>
      <c r="AK382" s="3038"/>
      <c r="AL382" s="3038"/>
      <c r="AM382" s="3038"/>
      <c r="AN382" s="3038"/>
      <c r="AO382" s="3038"/>
      <c r="AP382" s="3038"/>
      <c r="AQ382" s="3038"/>
      <c r="AR382" s="3038"/>
      <c r="AS382" s="3038"/>
      <c r="AT382" s="3038"/>
      <c r="AU382" s="3038"/>
      <c r="AV382" s="3038"/>
      <c r="AW382" s="3038"/>
      <c r="AX382" s="3038"/>
      <c r="AY382" s="3038"/>
      <c r="AZ382" s="3038"/>
      <c r="BA382" s="3038"/>
      <c r="BB382" s="3038"/>
      <c r="BC382" s="3038"/>
      <c r="BD382" s="3038"/>
      <c r="BE382" s="3038"/>
      <c r="BF382" s="3038"/>
      <c r="BG382" s="3038"/>
      <c r="BH382" s="3038"/>
      <c r="BI382" s="3038"/>
      <c r="BJ382" s="3038"/>
      <c r="BK382" s="3038"/>
      <c r="BL382" s="3038"/>
      <c r="BM382" s="3038"/>
      <c r="BN382" s="3038"/>
      <c r="BO382" s="3038"/>
      <c r="BP382" s="3038"/>
      <c r="BQ382" s="3038"/>
      <c r="BR382" s="3038"/>
      <c r="BS382" s="3038"/>
      <c r="BT382" s="3038"/>
      <c r="BU382" s="3038"/>
    </row>
    <row r="383" spans="3:73">
      <c r="C383" s="3038"/>
      <c r="D383" s="3038"/>
      <c r="E383" s="3038"/>
      <c r="H383" s="3038"/>
      <c r="I383" s="3038"/>
      <c r="J383" s="3038"/>
      <c r="K383" s="3038"/>
      <c r="M383" s="3038"/>
      <c r="N383" s="3038"/>
      <c r="O383" s="3038"/>
      <c r="P383" s="3038"/>
      <c r="Q383" s="3038"/>
      <c r="R383" s="3038"/>
      <c r="S383" s="3038"/>
      <c r="T383" s="3038"/>
      <c r="W383" s="3038"/>
      <c r="X383" s="3038"/>
      <c r="Y383" s="3038"/>
      <c r="Z383" s="3038"/>
      <c r="AA383" s="3113"/>
      <c r="AB383" s="3038"/>
      <c r="AC383" s="3038"/>
      <c r="AD383" s="3038"/>
      <c r="AE383" s="3132"/>
      <c r="AF383" s="3038"/>
      <c r="AG383" s="3038"/>
      <c r="AH383" s="3038"/>
      <c r="AK383" s="3038"/>
      <c r="AL383" s="3038"/>
      <c r="AM383" s="3038"/>
      <c r="AN383" s="3038"/>
      <c r="AO383" s="3038"/>
      <c r="AP383" s="3038"/>
      <c r="AQ383" s="3038"/>
      <c r="AR383" s="3038"/>
      <c r="AS383" s="3038"/>
      <c r="AT383" s="3038"/>
      <c r="AU383" s="3038"/>
      <c r="AV383" s="3038"/>
      <c r="AW383" s="3038"/>
      <c r="AX383" s="3038"/>
      <c r="AY383" s="3038"/>
      <c r="AZ383" s="3038"/>
      <c r="BA383" s="3038"/>
      <c r="BB383" s="3038"/>
      <c r="BC383" s="3038"/>
      <c r="BD383" s="3038"/>
      <c r="BE383" s="3038"/>
      <c r="BF383" s="3038"/>
      <c r="BG383" s="3038"/>
      <c r="BH383" s="3038"/>
      <c r="BI383" s="3038"/>
      <c r="BJ383" s="3038"/>
      <c r="BK383" s="3038"/>
      <c r="BL383" s="3038"/>
      <c r="BM383" s="3038"/>
      <c r="BN383" s="3038"/>
      <c r="BO383" s="3038"/>
      <c r="BP383" s="3038"/>
      <c r="BQ383" s="3038"/>
      <c r="BR383" s="3038"/>
      <c r="BS383" s="3038"/>
      <c r="BT383" s="3038"/>
      <c r="BU383" s="3038"/>
    </row>
    <row r="384" spans="3:73">
      <c r="C384" s="3038"/>
      <c r="D384" s="3038"/>
      <c r="E384" s="3038"/>
      <c r="H384" s="3038"/>
      <c r="I384" s="3038"/>
      <c r="J384" s="3038"/>
      <c r="K384" s="3038"/>
      <c r="M384" s="3038"/>
      <c r="N384" s="3038"/>
      <c r="O384" s="3038"/>
      <c r="P384" s="3038"/>
      <c r="Q384" s="3038"/>
      <c r="R384" s="3038"/>
      <c r="S384" s="3038"/>
      <c r="T384" s="3038"/>
      <c r="W384" s="3038"/>
      <c r="X384" s="3038"/>
      <c r="Y384" s="3038"/>
      <c r="Z384" s="3038"/>
      <c r="AA384" s="3113"/>
      <c r="AB384" s="3038"/>
      <c r="AC384" s="3038"/>
      <c r="AD384" s="3038"/>
      <c r="AE384" s="3132"/>
      <c r="AF384" s="3038"/>
      <c r="AG384" s="3038"/>
      <c r="AH384" s="3038"/>
      <c r="AK384" s="3038"/>
      <c r="AL384" s="3038"/>
      <c r="AM384" s="3038"/>
      <c r="AN384" s="3038"/>
      <c r="AO384" s="3038"/>
      <c r="AP384" s="3038"/>
      <c r="AQ384" s="3038"/>
      <c r="AR384" s="3038"/>
      <c r="AS384" s="3038"/>
      <c r="AT384" s="3038"/>
      <c r="AU384" s="3038"/>
      <c r="AV384" s="3038"/>
      <c r="AW384" s="3038"/>
      <c r="AX384" s="3038"/>
      <c r="AY384" s="3038"/>
      <c r="AZ384" s="3038"/>
      <c r="BA384" s="3038"/>
      <c r="BB384" s="3038"/>
      <c r="BC384" s="3038"/>
      <c r="BD384" s="3038"/>
      <c r="BE384" s="3038"/>
      <c r="BF384" s="3038"/>
      <c r="BG384" s="3038"/>
      <c r="BH384" s="3038"/>
      <c r="BI384" s="3038"/>
      <c r="BJ384" s="3038"/>
      <c r="BK384" s="3038"/>
      <c r="BL384" s="3038"/>
      <c r="BM384" s="3038"/>
      <c r="BN384" s="3038"/>
      <c r="BO384" s="3038"/>
      <c r="BP384" s="3038"/>
      <c r="BQ384" s="3038"/>
      <c r="BR384" s="3038"/>
      <c r="BS384" s="3038"/>
      <c r="BT384" s="3038"/>
      <c r="BU384" s="3038"/>
    </row>
    <row r="385" spans="3:73">
      <c r="C385" s="3038"/>
      <c r="D385" s="3038"/>
      <c r="E385" s="3038"/>
      <c r="H385" s="3038"/>
      <c r="I385" s="3038"/>
      <c r="J385" s="3038"/>
      <c r="K385" s="3038"/>
      <c r="M385" s="3038"/>
      <c r="N385" s="3038"/>
      <c r="O385" s="3038"/>
      <c r="P385" s="3038"/>
      <c r="Q385" s="3038"/>
      <c r="R385" s="3038"/>
      <c r="S385" s="3038"/>
      <c r="T385" s="3038"/>
      <c r="W385" s="3038"/>
      <c r="X385" s="3038"/>
      <c r="Y385" s="3038"/>
      <c r="Z385" s="3038"/>
      <c r="AA385" s="3113"/>
      <c r="AB385" s="3038"/>
      <c r="AC385" s="3038"/>
      <c r="AD385" s="3038"/>
      <c r="AE385" s="3132"/>
      <c r="AF385" s="3038"/>
      <c r="AG385" s="3038"/>
      <c r="AH385" s="3038"/>
      <c r="AK385" s="3038"/>
      <c r="AL385" s="3038"/>
      <c r="AM385" s="3038"/>
      <c r="AN385" s="3038"/>
      <c r="AO385" s="3038"/>
      <c r="AP385" s="3038"/>
      <c r="AQ385" s="3038"/>
      <c r="AR385" s="3038"/>
      <c r="AS385" s="3038"/>
      <c r="AT385" s="3038"/>
      <c r="AU385" s="3038"/>
      <c r="AV385" s="3038"/>
      <c r="AW385" s="3038"/>
      <c r="AX385" s="3038"/>
      <c r="AY385" s="3038"/>
      <c r="AZ385" s="3038"/>
      <c r="BA385" s="3038"/>
      <c r="BB385" s="3038"/>
      <c r="BC385" s="3038"/>
      <c r="BD385" s="3038"/>
      <c r="BE385" s="3038"/>
      <c r="BF385" s="3038"/>
      <c r="BG385" s="3038"/>
      <c r="BH385" s="3038"/>
      <c r="BI385" s="3038"/>
      <c r="BJ385" s="3038"/>
      <c r="BK385" s="3038"/>
      <c r="BL385" s="3038"/>
      <c r="BM385" s="3038"/>
      <c r="BN385" s="3038"/>
      <c r="BO385" s="3038"/>
      <c r="BP385" s="3038"/>
      <c r="BQ385" s="3038"/>
      <c r="BR385" s="3038"/>
      <c r="BS385" s="3038"/>
      <c r="BT385" s="3038"/>
      <c r="BU385" s="3038"/>
    </row>
    <row r="386" spans="3:73">
      <c r="C386" s="3038"/>
      <c r="D386" s="3038"/>
      <c r="E386" s="3038"/>
      <c r="H386" s="3038"/>
      <c r="I386" s="3038"/>
      <c r="J386" s="3038"/>
      <c r="K386" s="3038"/>
      <c r="M386" s="3038"/>
      <c r="N386" s="3038"/>
      <c r="O386" s="3038"/>
      <c r="P386" s="3038"/>
      <c r="Q386" s="3038"/>
      <c r="R386" s="3038"/>
      <c r="S386" s="3038"/>
      <c r="T386" s="3038"/>
      <c r="W386" s="3038"/>
      <c r="X386" s="3038"/>
      <c r="Y386" s="3038"/>
      <c r="Z386" s="3038"/>
      <c r="AA386" s="3113"/>
      <c r="AB386" s="3038"/>
      <c r="AC386" s="3038"/>
      <c r="AD386" s="3038"/>
      <c r="AE386" s="3132"/>
      <c r="AF386" s="3038"/>
      <c r="AG386" s="3038"/>
      <c r="AH386" s="3038"/>
      <c r="AK386" s="3038"/>
      <c r="AL386" s="3038"/>
      <c r="AM386" s="3038"/>
      <c r="AN386" s="3038"/>
      <c r="AO386" s="3038"/>
      <c r="AP386" s="3038"/>
      <c r="AQ386" s="3038"/>
      <c r="AR386" s="3038"/>
      <c r="AS386" s="3038"/>
      <c r="AT386" s="3038"/>
      <c r="AU386" s="3038"/>
      <c r="AV386" s="3038"/>
      <c r="AW386" s="3038"/>
      <c r="AX386" s="3038"/>
      <c r="AY386" s="3038"/>
      <c r="AZ386" s="3038"/>
      <c r="BA386" s="3038"/>
      <c r="BB386" s="3038"/>
      <c r="BC386" s="3038"/>
      <c r="BD386" s="3038"/>
      <c r="BE386" s="3038"/>
      <c r="BF386" s="3038"/>
      <c r="BG386" s="3038"/>
      <c r="BH386" s="3038"/>
      <c r="BI386" s="3038"/>
      <c r="BJ386" s="3038"/>
      <c r="BK386" s="3038"/>
      <c r="BL386" s="3038"/>
      <c r="BM386" s="3038"/>
      <c r="BN386" s="3038"/>
      <c r="BO386" s="3038"/>
      <c r="BP386" s="3038"/>
      <c r="BQ386" s="3038"/>
      <c r="BR386" s="3038"/>
      <c r="BS386" s="3038"/>
      <c r="BT386" s="3038"/>
      <c r="BU386" s="3038"/>
    </row>
    <row r="387" spans="3:73">
      <c r="C387" s="3038"/>
      <c r="D387" s="3038"/>
      <c r="E387" s="3038"/>
      <c r="H387" s="3038"/>
      <c r="I387" s="3038"/>
      <c r="J387" s="3038"/>
      <c r="K387" s="3038"/>
      <c r="M387" s="3038"/>
      <c r="N387" s="3038"/>
      <c r="O387" s="3038"/>
      <c r="P387" s="3038"/>
      <c r="Q387" s="3038"/>
      <c r="R387" s="3038"/>
      <c r="S387" s="3038"/>
      <c r="T387" s="3038"/>
      <c r="W387" s="3038"/>
      <c r="X387" s="3038"/>
      <c r="Y387" s="3038"/>
      <c r="Z387" s="3038"/>
      <c r="AA387" s="3113"/>
      <c r="AB387" s="3038"/>
      <c r="AC387" s="3038"/>
      <c r="AD387" s="3038"/>
      <c r="AE387" s="3132"/>
      <c r="AF387" s="3038"/>
      <c r="AG387" s="3038"/>
      <c r="AH387" s="3038"/>
      <c r="AK387" s="3038"/>
      <c r="AL387" s="3038"/>
      <c r="AM387" s="3038"/>
      <c r="AN387" s="3038"/>
      <c r="AO387" s="3038"/>
      <c r="AP387" s="3038"/>
      <c r="AQ387" s="3038"/>
      <c r="AR387" s="3038"/>
      <c r="AS387" s="3038"/>
      <c r="AT387" s="3038"/>
      <c r="AU387" s="3038"/>
      <c r="AV387" s="3038"/>
      <c r="AW387" s="3038"/>
      <c r="AX387" s="3038"/>
      <c r="AY387" s="3038"/>
      <c r="AZ387" s="3038"/>
      <c r="BA387" s="3038"/>
      <c r="BB387" s="3038"/>
      <c r="BC387" s="3038"/>
      <c r="BD387" s="3038"/>
      <c r="BE387" s="3038"/>
      <c r="BF387" s="3038"/>
      <c r="BG387" s="3038"/>
      <c r="BH387" s="3038"/>
      <c r="BI387" s="3038"/>
      <c r="BJ387" s="3038"/>
      <c r="BK387" s="3038"/>
      <c r="BL387" s="3038"/>
      <c r="BM387" s="3038"/>
      <c r="BN387" s="3038"/>
      <c r="BO387" s="3038"/>
      <c r="BP387" s="3038"/>
      <c r="BQ387" s="3038"/>
      <c r="BR387" s="3038"/>
      <c r="BS387" s="3038"/>
      <c r="BT387" s="3038"/>
      <c r="BU387" s="3038"/>
    </row>
    <row r="388" spans="3:73">
      <c r="C388" s="3038"/>
      <c r="D388" s="3038"/>
      <c r="E388" s="3038"/>
      <c r="H388" s="3038"/>
      <c r="I388" s="3038"/>
      <c r="J388" s="3038"/>
      <c r="K388" s="3038"/>
      <c r="M388" s="3038"/>
      <c r="N388" s="3038"/>
      <c r="O388" s="3038"/>
      <c r="P388" s="3038"/>
      <c r="Q388" s="3038"/>
      <c r="R388" s="3038"/>
      <c r="S388" s="3038"/>
      <c r="T388" s="3038"/>
      <c r="W388" s="3038"/>
      <c r="X388" s="3038"/>
      <c r="Y388" s="3038"/>
      <c r="Z388" s="3038"/>
      <c r="AA388" s="3113"/>
      <c r="AB388" s="3038"/>
      <c r="AC388" s="3038"/>
      <c r="AD388" s="3038"/>
      <c r="AE388" s="3132"/>
      <c r="AF388" s="3038"/>
      <c r="AG388" s="3038"/>
      <c r="AH388" s="3038"/>
      <c r="AK388" s="3038"/>
      <c r="AL388" s="3038"/>
      <c r="AM388" s="3038"/>
      <c r="AN388" s="3038"/>
      <c r="AO388" s="3038"/>
      <c r="AP388" s="3038"/>
      <c r="AQ388" s="3038"/>
      <c r="AR388" s="3038"/>
      <c r="AS388" s="3038"/>
      <c r="AT388" s="3038"/>
      <c r="AU388" s="3038"/>
      <c r="AV388" s="3038"/>
      <c r="AW388" s="3038"/>
      <c r="AX388" s="3038"/>
      <c r="AY388" s="3038"/>
      <c r="AZ388" s="3038"/>
      <c r="BA388" s="3038"/>
      <c r="BB388" s="3038"/>
      <c r="BC388" s="3038"/>
      <c r="BD388" s="3038"/>
      <c r="BE388" s="3038"/>
      <c r="BF388" s="3038"/>
      <c r="BG388" s="3038"/>
      <c r="BH388" s="3038"/>
      <c r="BI388" s="3038"/>
      <c r="BJ388" s="3038"/>
      <c r="BK388" s="3038"/>
      <c r="BL388" s="3038"/>
      <c r="BM388" s="3038"/>
      <c r="BN388" s="3038"/>
      <c r="BO388" s="3038"/>
      <c r="BP388" s="3038"/>
      <c r="BQ388" s="3038"/>
      <c r="BR388" s="3038"/>
      <c r="BS388" s="3038"/>
      <c r="BT388" s="3038"/>
      <c r="BU388" s="3038"/>
    </row>
    <row r="389" spans="3:73">
      <c r="C389" s="3038"/>
      <c r="D389" s="3038"/>
      <c r="E389" s="3038"/>
      <c r="H389" s="3038"/>
      <c r="I389" s="3038"/>
      <c r="J389" s="3038"/>
      <c r="K389" s="3038"/>
      <c r="M389" s="3038"/>
      <c r="N389" s="3038"/>
      <c r="O389" s="3038"/>
      <c r="P389" s="3038"/>
      <c r="Q389" s="3038"/>
      <c r="R389" s="3038"/>
      <c r="S389" s="3038"/>
      <c r="T389" s="3038"/>
      <c r="W389" s="3038"/>
      <c r="X389" s="3038"/>
      <c r="Y389" s="3038"/>
      <c r="Z389" s="3038"/>
      <c r="AA389" s="3113"/>
      <c r="AB389" s="3038"/>
      <c r="AC389" s="3038"/>
      <c r="AD389" s="3038"/>
      <c r="AE389" s="3132"/>
      <c r="AF389" s="3038"/>
      <c r="AG389" s="3038"/>
      <c r="AH389" s="3038"/>
      <c r="AK389" s="3038"/>
      <c r="AL389" s="3038"/>
      <c r="AM389" s="3038"/>
      <c r="AN389" s="3038"/>
      <c r="AO389" s="3038"/>
      <c r="AP389" s="3038"/>
      <c r="AQ389" s="3038"/>
      <c r="AR389" s="3038"/>
      <c r="AS389" s="3038"/>
      <c r="AT389" s="3038"/>
      <c r="AU389" s="3038"/>
      <c r="AV389" s="3038"/>
      <c r="AW389" s="3038"/>
      <c r="AX389" s="3038"/>
      <c r="AY389" s="3038"/>
      <c r="AZ389" s="3038"/>
      <c r="BA389" s="3038"/>
      <c r="BB389" s="3038"/>
      <c r="BC389" s="3038"/>
      <c r="BD389" s="3038"/>
      <c r="BE389" s="3038"/>
      <c r="BF389" s="3038"/>
      <c r="BG389" s="3038"/>
      <c r="BH389" s="3038"/>
      <c r="BI389" s="3038"/>
      <c r="BJ389" s="3038"/>
      <c r="BK389" s="3038"/>
      <c r="BL389" s="3038"/>
      <c r="BM389" s="3038"/>
      <c r="BN389" s="3038"/>
      <c r="BO389" s="3038"/>
      <c r="BP389" s="3038"/>
      <c r="BQ389" s="3038"/>
      <c r="BR389" s="3038"/>
      <c r="BS389" s="3038"/>
      <c r="BT389" s="3038"/>
      <c r="BU389" s="3038"/>
    </row>
    <row r="390" spans="3:73">
      <c r="C390" s="3038"/>
      <c r="D390" s="3038"/>
      <c r="E390" s="3038"/>
      <c r="H390" s="3038"/>
      <c r="I390" s="3038"/>
      <c r="J390" s="3038"/>
      <c r="K390" s="3038"/>
      <c r="M390" s="3038"/>
      <c r="N390" s="3038"/>
      <c r="O390" s="3038"/>
      <c r="P390" s="3038"/>
      <c r="Q390" s="3038"/>
      <c r="R390" s="3038"/>
      <c r="S390" s="3038"/>
      <c r="T390" s="3038"/>
      <c r="W390" s="3038"/>
      <c r="X390" s="3038"/>
      <c r="Y390" s="3038"/>
      <c r="Z390" s="3038"/>
      <c r="AA390" s="3113"/>
      <c r="AB390" s="3038"/>
      <c r="AC390" s="3038"/>
      <c r="AD390" s="3038"/>
      <c r="AE390" s="3132"/>
      <c r="AF390" s="3038"/>
      <c r="AG390" s="3038"/>
      <c r="AH390" s="3038"/>
      <c r="AK390" s="3038"/>
      <c r="AL390" s="3038"/>
      <c r="AM390" s="3038"/>
      <c r="AN390" s="3038"/>
      <c r="AO390" s="3038"/>
      <c r="AP390" s="3038"/>
      <c r="AQ390" s="3038"/>
      <c r="AR390" s="3038"/>
      <c r="AS390" s="3038"/>
      <c r="AT390" s="3038"/>
      <c r="AU390" s="3038"/>
      <c r="AV390" s="3038"/>
      <c r="AW390" s="3038"/>
      <c r="AX390" s="3038"/>
      <c r="AY390" s="3038"/>
      <c r="AZ390" s="3038"/>
      <c r="BA390" s="3038"/>
      <c r="BB390" s="3038"/>
      <c r="BC390" s="3038"/>
      <c r="BD390" s="3038"/>
      <c r="BE390" s="3038"/>
      <c r="BF390" s="3038"/>
      <c r="BG390" s="3038"/>
      <c r="BH390" s="3038"/>
      <c r="BI390" s="3038"/>
      <c r="BJ390" s="3038"/>
      <c r="BK390" s="3038"/>
      <c r="BL390" s="3038"/>
      <c r="BM390" s="3038"/>
      <c r="BN390" s="3038"/>
      <c r="BO390" s="3038"/>
      <c r="BP390" s="3038"/>
      <c r="BQ390" s="3038"/>
      <c r="BR390" s="3038"/>
      <c r="BS390" s="3038"/>
      <c r="BT390" s="3038"/>
      <c r="BU390" s="3038"/>
    </row>
    <row r="391" spans="3:73">
      <c r="C391" s="3038"/>
      <c r="D391" s="3038"/>
      <c r="E391" s="3038"/>
      <c r="H391" s="3038"/>
      <c r="I391" s="3038"/>
      <c r="J391" s="3038"/>
      <c r="K391" s="3038"/>
      <c r="M391" s="3038"/>
      <c r="N391" s="3038"/>
      <c r="O391" s="3038"/>
      <c r="P391" s="3038"/>
      <c r="Q391" s="3038"/>
      <c r="R391" s="3038"/>
      <c r="S391" s="3038"/>
      <c r="T391" s="3038"/>
      <c r="W391" s="3038"/>
      <c r="X391" s="3038"/>
      <c r="Y391" s="3038"/>
      <c r="Z391" s="3038"/>
      <c r="AA391" s="3113"/>
      <c r="AB391" s="3038"/>
      <c r="AC391" s="3038"/>
      <c r="AD391" s="3038"/>
      <c r="AE391" s="3132"/>
      <c r="AF391" s="3038"/>
      <c r="AG391" s="3038"/>
      <c r="AH391" s="3038"/>
      <c r="AK391" s="3038"/>
      <c r="AL391" s="3038"/>
      <c r="AM391" s="3038"/>
      <c r="AN391" s="3038"/>
      <c r="AO391" s="3038"/>
      <c r="AP391" s="3038"/>
      <c r="AQ391" s="3038"/>
      <c r="AR391" s="3038"/>
      <c r="AS391" s="3038"/>
      <c r="AT391" s="3038"/>
      <c r="AU391" s="3038"/>
      <c r="AV391" s="3038"/>
      <c r="AW391" s="3038"/>
      <c r="AX391" s="3038"/>
      <c r="AY391" s="3038"/>
      <c r="AZ391" s="3038"/>
      <c r="BA391" s="3038"/>
      <c r="BB391" s="3038"/>
      <c r="BC391" s="3038"/>
      <c r="BD391" s="3038"/>
      <c r="BE391" s="3038"/>
      <c r="BF391" s="3038"/>
      <c r="BG391" s="3038"/>
      <c r="BH391" s="3038"/>
      <c r="BI391" s="3038"/>
      <c r="BJ391" s="3038"/>
      <c r="BK391" s="3038"/>
      <c r="BL391" s="3038"/>
      <c r="BM391" s="3038"/>
      <c r="BN391" s="3038"/>
      <c r="BO391" s="3038"/>
      <c r="BP391" s="3038"/>
      <c r="BQ391" s="3038"/>
      <c r="BR391" s="3038"/>
      <c r="BS391" s="3038"/>
      <c r="BT391" s="3038"/>
      <c r="BU391" s="3038"/>
    </row>
    <row r="392" spans="3:73">
      <c r="C392" s="3038"/>
      <c r="D392" s="3038"/>
      <c r="E392" s="3038"/>
      <c r="H392" s="3038"/>
      <c r="I392" s="3038"/>
      <c r="J392" s="3038"/>
      <c r="K392" s="3038"/>
      <c r="M392" s="3038"/>
      <c r="N392" s="3038"/>
      <c r="O392" s="3038"/>
      <c r="P392" s="3038"/>
      <c r="Q392" s="3038"/>
      <c r="R392" s="3038"/>
      <c r="S392" s="3038"/>
      <c r="T392" s="3038"/>
      <c r="W392" s="3038"/>
      <c r="X392" s="3038"/>
      <c r="Y392" s="3038"/>
      <c r="Z392" s="3038"/>
      <c r="AA392" s="3113"/>
      <c r="AB392" s="3038"/>
      <c r="AC392" s="3038"/>
      <c r="AD392" s="3038"/>
      <c r="AE392" s="3132"/>
      <c r="AF392" s="3038"/>
      <c r="AG392" s="3038"/>
      <c r="AH392" s="3038"/>
      <c r="AK392" s="3038"/>
      <c r="AL392" s="3038"/>
      <c r="AM392" s="3038"/>
      <c r="AN392" s="3038"/>
      <c r="AO392" s="3038"/>
      <c r="AP392" s="3038"/>
      <c r="AQ392" s="3038"/>
      <c r="AR392" s="3038"/>
      <c r="AS392" s="3038"/>
      <c r="AT392" s="3038"/>
      <c r="AU392" s="3038"/>
      <c r="AV392" s="3038"/>
      <c r="AW392" s="3038"/>
      <c r="AX392" s="3038"/>
      <c r="AY392" s="3038"/>
      <c r="AZ392" s="3038"/>
      <c r="BA392" s="3038"/>
      <c r="BB392" s="3038"/>
      <c r="BC392" s="3038"/>
      <c r="BD392" s="3038"/>
      <c r="BE392" s="3038"/>
      <c r="BF392" s="3038"/>
      <c r="BG392" s="3038"/>
      <c r="BH392" s="3038"/>
      <c r="BI392" s="3038"/>
      <c r="BJ392" s="3038"/>
      <c r="BK392" s="3038"/>
      <c r="BL392" s="3038"/>
      <c r="BM392" s="3038"/>
      <c r="BN392" s="3038"/>
      <c r="BO392" s="3038"/>
      <c r="BP392" s="3038"/>
      <c r="BQ392" s="3038"/>
      <c r="BR392" s="3038"/>
      <c r="BS392" s="3038"/>
      <c r="BT392" s="3038"/>
      <c r="BU392" s="3038"/>
    </row>
    <row r="393" spans="3:73">
      <c r="C393" s="3038"/>
      <c r="D393" s="3038"/>
      <c r="E393" s="3038"/>
      <c r="H393" s="3038"/>
      <c r="I393" s="3038"/>
      <c r="J393" s="3038"/>
      <c r="K393" s="3038"/>
      <c r="M393" s="3038"/>
      <c r="N393" s="3038"/>
      <c r="O393" s="3038"/>
      <c r="P393" s="3038"/>
      <c r="Q393" s="3038"/>
      <c r="R393" s="3038"/>
      <c r="S393" s="3038"/>
      <c r="T393" s="3038"/>
      <c r="W393" s="3038"/>
      <c r="X393" s="3038"/>
      <c r="Y393" s="3038"/>
      <c r="Z393" s="3038"/>
      <c r="AA393" s="3113"/>
      <c r="AB393" s="3038"/>
      <c r="AC393" s="3038"/>
      <c r="AD393" s="3038"/>
      <c r="AE393" s="3132"/>
      <c r="AF393" s="3038"/>
      <c r="AG393" s="3038"/>
      <c r="AH393" s="3038"/>
      <c r="AK393" s="3038"/>
      <c r="AL393" s="3038"/>
      <c r="AM393" s="3038"/>
      <c r="AN393" s="3038"/>
      <c r="AO393" s="3038"/>
      <c r="AP393" s="3038"/>
      <c r="AQ393" s="3038"/>
      <c r="AR393" s="3038"/>
      <c r="AS393" s="3038"/>
      <c r="AT393" s="3038"/>
      <c r="AU393" s="3038"/>
      <c r="AV393" s="3038"/>
      <c r="AW393" s="3038"/>
      <c r="AX393" s="3038"/>
      <c r="AY393" s="3038"/>
      <c r="AZ393" s="3038"/>
      <c r="BA393" s="3038"/>
      <c r="BB393" s="3038"/>
      <c r="BC393" s="3038"/>
      <c r="BD393" s="3038"/>
      <c r="BE393" s="3038"/>
      <c r="BF393" s="3038"/>
      <c r="BG393" s="3038"/>
      <c r="BH393" s="3038"/>
      <c r="BI393" s="3038"/>
      <c r="BJ393" s="3038"/>
      <c r="BK393" s="3038"/>
      <c r="BL393" s="3038"/>
      <c r="BM393" s="3038"/>
      <c r="BN393" s="3038"/>
      <c r="BO393" s="3038"/>
      <c r="BP393" s="3038"/>
      <c r="BQ393" s="3038"/>
      <c r="BR393" s="3038"/>
      <c r="BS393" s="3038"/>
      <c r="BT393" s="3038"/>
      <c r="BU393" s="3038"/>
    </row>
    <row r="394" spans="3:73">
      <c r="C394" s="3038"/>
      <c r="D394" s="3038"/>
      <c r="E394" s="3038"/>
      <c r="H394" s="3038"/>
      <c r="I394" s="3038"/>
      <c r="J394" s="3038"/>
      <c r="K394" s="3038"/>
      <c r="M394" s="3038"/>
      <c r="N394" s="3038"/>
      <c r="O394" s="3038"/>
      <c r="P394" s="3038"/>
      <c r="Q394" s="3038"/>
      <c r="R394" s="3038"/>
      <c r="S394" s="3038"/>
      <c r="T394" s="3038"/>
      <c r="W394" s="3038"/>
      <c r="X394" s="3038"/>
      <c r="Y394" s="3038"/>
      <c r="Z394" s="3038"/>
      <c r="AA394" s="3113"/>
      <c r="AB394" s="3038"/>
      <c r="AC394" s="3038"/>
      <c r="AD394" s="3038"/>
      <c r="AE394" s="3132"/>
      <c r="AF394" s="3038"/>
      <c r="AG394" s="3038"/>
      <c r="AH394" s="3038"/>
      <c r="AK394" s="3038"/>
      <c r="AL394" s="3038"/>
      <c r="AM394" s="3038"/>
      <c r="AN394" s="3038"/>
      <c r="AO394" s="3038"/>
      <c r="AP394" s="3038"/>
      <c r="AQ394" s="3038"/>
      <c r="AR394" s="3038"/>
      <c r="AS394" s="3038"/>
      <c r="AT394" s="3038"/>
      <c r="AU394" s="3038"/>
      <c r="AV394" s="3038"/>
      <c r="AW394" s="3038"/>
      <c r="AX394" s="3038"/>
      <c r="AY394" s="3038"/>
      <c r="AZ394" s="3038"/>
      <c r="BA394" s="3038"/>
      <c r="BB394" s="3038"/>
      <c r="BC394" s="3038"/>
      <c r="BD394" s="3038"/>
      <c r="BE394" s="3038"/>
      <c r="BF394" s="3038"/>
      <c r="BG394" s="3038"/>
      <c r="BH394" s="3038"/>
      <c r="BI394" s="3038"/>
      <c r="BJ394" s="3038"/>
      <c r="BK394" s="3038"/>
      <c r="BL394" s="3038"/>
      <c r="BM394" s="3038"/>
      <c r="BN394" s="3038"/>
      <c r="BO394" s="3038"/>
      <c r="BP394" s="3038"/>
      <c r="BQ394" s="3038"/>
      <c r="BR394" s="3038"/>
      <c r="BS394" s="3038"/>
      <c r="BT394" s="3038"/>
      <c r="BU394" s="3038"/>
    </row>
    <row r="395" spans="3:73">
      <c r="C395" s="3038"/>
      <c r="D395" s="3038"/>
      <c r="E395" s="3038"/>
      <c r="H395" s="3038"/>
      <c r="I395" s="3038"/>
      <c r="J395" s="3038"/>
      <c r="K395" s="3038"/>
      <c r="M395" s="3038"/>
      <c r="N395" s="3038"/>
      <c r="O395" s="3038"/>
      <c r="P395" s="3038"/>
      <c r="Q395" s="3038"/>
      <c r="R395" s="3038"/>
      <c r="S395" s="3038"/>
      <c r="T395" s="3038"/>
      <c r="W395" s="3038"/>
      <c r="X395" s="3038"/>
      <c r="Y395" s="3038"/>
      <c r="Z395" s="3038"/>
      <c r="AA395" s="3113"/>
      <c r="AB395" s="3038"/>
      <c r="AC395" s="3038"/>
      <c r="AD395" s="3038"/>
      <c r="AE395" s="3132"/>
      <c r="AF395" s="3038"/>
      <c r="AG395" s="3038"/>
      <c r="AH395" s="3038"/>
      <c r="AK395" s="3038"/>
      <c r="AL395" s="3038"/>
      <c r="AM395" s="3038"/>
      <c r="AN395" s="3038"/>
      <c r="AO395" s="3038"/>
      <c r="AP395" s="3038"/>
      <c r="AQ395" s="3038"/>
      <c r="AR395" s="3038"/>
      <c r="AS395" s="3038"/>
      <c r="AT395" s="3038"/>
      <c r="AU395" s="3038"/>
      <c r="AV395" s="3038"/>
      <c r="AW395" s="3038"/>
      <c r="AX395" s="3038"/>
      <c r="AY395" s="3038"/>
      <c r="AZ395" s="3038"/>
      <c r="BA395" s="3038"/>
      <c r="BB395" s="3038"/>
      <c r="BC395" s="3038"/>
      <c r="BD395" s="3038"/>
      <c r="BE395" s="3038"/>
      <c r="BF395" s="3038"/>
      <c r="BG395" s="3038"/>
      <c r="BH395" s="3038"/>
      <c r="BI395" s="3038"/>
      <c r="BJ395" s="3038"/>
      <c r="BK395" s="3038"/>
      <c r="BL395" s="3038"/>
      <c r="BM395" s="3038"/>
      <c r="BN395" s="3038"/>
      <c r="BO395" s="3038"/>
      <c r="BP395" s="3038"/>
      <c r="BQ395" s="3038"/>
      <c r="BR395" s="3038"/>
      <c r="BS395" s="3038"/>
      <c r="BT395" s="3038"/>
      <c r="BU395" s="3038"/>
    </row>
    <row r="396" spans="3:73">
      <c r="C396" s="3038"/>
      <c r="D396" s="3038"/>
      <c r="E396" s="3038"/>
      <c r="H396" s="3038"/>
      <c r="I396" s="3038"/>
      <c r="J396" s="3038"/>
      <c r="K396" s="3038"/>
      <c r="M396" s="3038"/>
      <c r="N396" s="3038"/>
      <c r="O396" s="3038"/>
      <c r="P396" s="3038"/>
      <c r="Q396" s="3038"/>
      <c r="R396" s="3038"/>
      <c r="S396" s="3038"/>
      <c r="T396" s="3038"/>
      <c r="W396" s="3038"/>
      <c r="X396" s="3038"/>
      <c r="Y396" s="3038"/>
      <c r="Z396" s="3038"/>
      <c r="AA396" s="3113"/>
      <c r="AB396" s="3038"/>
      <c r="AC396" s="3038"/>
      <c r="AD396" s="3038"/>
      <c r="AE396" s="3132"/>
      <c r="AF396" s="3038"/>
      <c r="AG396" s="3038"/>
      <c r="AH396" s="3038"/>
      <c r="AK396" s="3038"/>
      <c r="AL396" s="3038"/>
      <c r="AM396" s="3038"/>
      <c r="AN396" s="3038"/>
      <c r="AO396" s="3038"/>
      <c r="AP396" s="3038"/>
      <c r="AQ396" s="3038"/>
      <c r="AR396" s="3038"/>
      <c r="AS396" s="3038"/>
      <c r="AT396" s="3038"/>
      <c r="AU396" s="3038"/>
      <c r="AV396" s="3038"/>
      <c r="AW396" s="3038"/>
      <c r="AX396" s="3038"/>
      <c r="AY396" s="3038"/>
      <c r="AZ396" s="3038"/>
      <c r="BA396" s="3038"/>
      <c r="BB396" s="3038"/>
      <c r="BC396" s="3038"/>
      <c r="BD396" s="3038"/>
      <c r="BE396" s="3038"/>
      <c r="BF396" s="3038"/>
      <c r="BG396" s="3038"/>
      <c r="BH396" s="3038"/>
      <c r="BI396" s="3038"/>
      <c r="BJ396" s="3038"/>
      <c r="BK396" s="3038"/>
      <c r="BL396" s="3038"/>
      <c r="BM396" s="3038"/>
      <c r="BN396" s="3038"/>
      <c r="BO396" s="3038"/>
      <c r="BP396" s="3038"/>
      <c r="BQ396" s="3038"/>
      <c r="BR396" s="3038"/>
      <c r="BS396" s="3038"/>
      <c r="BT396" s="3038"/>
      <c r="BU396" s="3038"/>
    </row>
    <row r="397" spans="3:73">
      <c r="C397" s="3038"/>
      <c r="D397" s="3038"/>
      <c r="E397" s="3038"/>
      <c r="H397" s="3038"/>
      <c r="I397" s="3038"/>
      <c r="J397" s="3038"/>
      <c r="K397" s="3038"/>
      <c r="M397" s="3038"/>
      <c r="N397" s="3038"/>
      <c r="O397" s="3038"/>
      <c r="P397" s="3038"/>
      <c r="Q397" s="3038"/>
      <c r="R397" s="3038"/>
      <c r="S397" s="3038"/>
      <c r="T397" s="3038"/>
      <c r="W397" s="3038"/>
      <c r="X397" s="3038"/>
      <c r="Y397" s="3038"/>
      <c r="Z397" s="3038"/>
      <c r="AA397" s="3113"/>
      <c r="AB397" s="3038"/>
      <c r="AC397" s="3038"/>
      <c r="AD397" s="3038"/>
      <c r="AE397" s="3132"/>
      <c r="AF397" s="3038"/>
      <c r="AG397" s="3038"/>
      <c r="AH397" s="3038"/>
      <c r="AK397" s="3038"/>
      <c r="AL397" s="3038"/>
      <c r="AM397" s="3038"/>
      <c r="AN397" s="3038"/>
      <c r="AO397" s="3038"/>
      <c r="AP397" s="3038"/>
      <c r="AQ397" s="3038"/>
      <c r="AR397" s="3038"/>
      <c r="AS397" s="3038"/>
      <c r="AT397" s="3038"/>
      <c r="AU397" s="3038"/>
      <c r="AV397" s="3038"/>
      <c r="AW397" s="3038"/>
      <c r="AX397" s="3038"/>
      <c r="AY397" s="3038"/>
      <c r="AZ397" s="3038"/>
      <c r="BA397" s="3038"/>
      <c r="BB397" s="3038"/>
      <c r="BC397" s="3038"/>
      <c r="BD397" s="3038"/>
      <c r="BE397" s="3038"/>
      <c r="BF397" s="3038"/>
      <c r="BG397" s="3038"/>
      <c r="BH397" s="3038"/>
      <c r="BI397" s="3038"/>
      <c r="BJ397" s="3038"/>
      <c r="BK397" s="3038"/>
      <c r="BL397" s="3038"/>
      <c r="BM397" s="3038"/>
      <c r="BN397" s="3038"/>
      <c r="BO397" s="3038"/>
      <c r="BP397" s="3038"/>
      <c r="BQ397" s="3038"/>
      <c r="BR397" s="3038"/>
      <c r="BS397" s="3038"/>
      <c r="BT397" s="3038"/>
      <c r="BU397" s="3038"/>
    </row>
    <row r="398" spans="3:73">
      <c r="C398" s="3038"/>
      <c r="D398" s="3038"/>
      <c r="E398" s="3038"/>
      <c r="H398" s="3038"/>
      <c r="I398" s="3038"/>
      <c r="J398" s="3038"/>
      <c r="K398" s="3038"/>
      <c r="M398" s="3038"/>
      <c r="N398" s="3038"/>
      <c r="O398" s="3038"/>
      <c r="P398" s="3038"/>
      <c r="Q398" s="3038"/>
      <c r="R398" s="3038"/>
      <c r="S398" s="3038"/>
      <c r="T398" s="3038"/>
      <c r="W398" s="3038"/>
      <c r="X398" s="3038"/>
      <c r="Y398" s="3038"/>
      <c r="Z398" s="3038"/>
      <c r="AA398" s="3113"/>
      <c r="AB398" s="3038"/>
      <c r="AC398" s="3038"/>
      <c r="AD398" s="3038"/>
      <c r="AE398" s="3132"/>
      <c r="AF398" s="3038"/>
      <c r="AG398" s="3038"/>
      <c r="AH398" s="3038"/>
      <c r="AK398" s="3038"/>
      <c r="AL398" s="3038"/>
      <c r="AM398" s="3038"/>
      <c r="AN398" s="3038"/>
      <c r="AO398" s="3038"/>
      <c r="AP398" s="3038"/>
      <c r="AQ398" s="3038"/>
      <c r="AR398" s="3038"/>
      <c r="AS398" s="3038"/>
      <c r="AT398" s="3038"/>
      <c r="AU398" s="3038"/>
      <c r="AV398" s="3038"/>
      <c r="AW398" s="3038"/>
      <c r="AX398" s="3038"/>
      <c r="AY398" s="3038"/>
      <c r="AZ398" s="3038"/>
      <c r="BA398" s="3038"/>
      <c r="BB398" s="3038"/>
      <c r="BC398" s="3038"/>
      <c r="BD398" s="3038"/>
      <c r="BE398" s="3038"/>
      <c r="BF398" s="3038"/>
      <c r="BG398" s="3038"/>
      <c r="BH398" s="3038"/>
      <c r="BI398" s="3038"/>
      <c r="BJ398" s="3038"/>
      <c r="BK398" s="3038"/>
      <c r="BL398" s="3038"/>
      <c r="BM398" s="3038"/>
      <c r="BN398" s="3038"/>
      <c r="BO398" s="3038"/>
      <c r="BP398" s="3038"/>
      <c r="BQ398" s="3038"/>
      <c r="BR398" s="3038"/>
      <c r="BS398" s="3038"/>
      <c r="BT398" s="3038"/>
      <c r="BU398" s="3038"/>
    </row>
    <row r="399" spans="3:73">
      <c r="C399" s="3038"/>
      <c r="D399" s="3038"/>
      <c r="E399" s="3038"/>
      <c r="H399" s="3038"/>
      <c r="I399" s="3038"/>
      <c r="J399" s="3038"/>
      <c r="K399" s="3038"/>
      <c r="M399" s="3038"/>
      <c r="N399" s="3038"/>
      <c r="O399" s="3038"/>
      <c r="P399" s="3038"/>
      <c r="Q399" s="3038"/>
      <c r="R399" s="3038"/>
      <c r="S399" s="3038"/>
      <c r="T399" s="3038"/>
      <c r="W399" s="3038"/>
      <c r="X399" s="3038"/>
      <c r="Y399" s="3038"/>
      <c r="Z399" s="3038"/>
      <c r="AA399" s="3113"/>
      <c r="AB399" s="3038"/>
      <c r="AC399" s="3038"/>
      <c r="AD399" s="3038"/>
      <c r="AE399" s="3132"/>
      <c r="AF399" s="3038"/>
      <c r="AG399" s="3038"/>
      <c r="AH399" s="3038"/>
      <c r="AK399" s="3038"/>
      <c r="AL399" s="3038"/>
      <c r="AM399" s="3038"/>
      <c r="AN399" s="3038"/>
      <c r="AO399" s="3038"/>
      <c r="AP399" s="3038"/>
      <c r="AQ399" s="3038"/>
      <c r="AR399" s="3038"/>
      <c r="AS399" s="3038"/>
      <c r="AT399" s="3038"/>
      <c r="AU399" s="3038"/>
      <c r="AV399" s="3038"/>
      <c r="AW399" s="3038"/>
      <c r="AX399" s="3038"/>
      <c r="AY399" s="3038"/>
      <c r="AZ399" s="3038"/>
      <c r="BA399" s="3038"/>
      <c r="BB399" s="3038"/>
      <c r="BC399" s="3038"/>
      <c r="BD399" s="3038"/>
      <c r="BE399" s="3038"/>
      <c r="BF399" s="3038"/>
      <c r="BG399" s="3038"/>
      <c r="BH399" s="3038"/>
      <c r="BI399" s="3038"/>
      <c r="BJ399" s="3038"/>
      <c r="BK399" s="3038"/>
      <c r="BL399" s="3038"/>
      <c r="BM399" s="3038"/>
      <c r="BN399" s="3038"/>
      <c r="BO399" s="3038"/>
      <c r="BP399" s="3038"/>
      <c r="BQ399" s="3038"/>
      <c r="BR399" s="3038"/>
      <c r="BS399" s="3038"/>
      <c r="BT399" s="3038"/>
      <c r="BU399" s="3038"/>
    </row>
    <row r="400" spans="3:73">
      <c r="C400" s="3038"/>
      <c r="D400" s="3038"/>
      <c r="E400" s="3038"/>
      <c r="H400" s="3038"/>
      <c r="I400" s="3038"/>
      <c r="J400" s="3038"/>
      <c r="K400" s="3038"/>
      <c r="M400" s="3038"/>
      <c r="N400" s="3038"/>
      <c r="O400" s="3038"/>
      <c r="P400" s="3038"/>
      <c r="Q400" s="3038"/>
      <c r="R400" s="3038"/>
      <c r="S400" s="3038"/>
      <c r="T400" s="3038"/>
      <c r="W400" s="3038"/>
      <c r="X400" s="3038"/>
      <c r="Y400" s="3038"/>
      <c r="Z400" s="3038"/>
      <c r="AA400" s="3113"/>
      <c r="AB400" s="3038"/>
      <c r="AC400" s="3038"/>
      <c r="AD400" s="3038"/>
      <c r="AE400" s="3132"/>
      <c r="AF400" s="3038"/>
      <c r="AG400" s="3038"/>
      <c r="AH400" s="3038"/>
      <c r="AK400" s="3038"/>
      <c r="AL400" s="3038"/>
      <c r="AM400" s="3038"/>
      <c r="AN400" s="3038"/>
      <c r="AO400" s="3038"/>
      <c r="AP400" s="3038"/>
      <c r="AQ400" s="3038"/>
      <c r="AR400" s="3038"/>
      <c r="AS400" s="3038"/>
      <c r="AT400" s="3038"/>
      <c r="AU400" s="3038"/>
      <c r="AV400" s="3038"/>
      <c r="AW400" s="3038"/>
      <c r="AX400" s="3038"/>
      <c r="AY400" s="3038"/>
      <c r="AZ400" s="3038"/>
      <c r="BA400" s="3038"/>
      <c r="BB400" s="3038"/>
      <c r="BC400" s="3038"/>
      <c r="BD400" s="3038"/>
      <c r="BE400" s="3038"/>
      <c r="BF400" s="3038"/>
      <c r="BG400" s="3038"/>
      <c r="BH400" s="3038"/>
      <c r="BI400" s="3038"/>
      <c r="BJ400" s="3038"/>
      <c r="BK400" s="3038"/>
      <c r="BL400" s="3038"/>
      <c r="BM400" s="3038"/>
      <c r="BN400" s="3038"/>
      <c r="BO400" s="3038"/>
      <c r="BP400" s="3038"/>
      <c r="BQ400" s="3038"/>
      <c r="BR400" s="3038"/>
      <c r="BS400" s="3038"/>
      <c r="BT400" s="3038"/>
      <c r="BU400" s="3038"/>
    </row>
    <row r="401" spans="3:73">
      <c r="C401" s="3038"/>
      <c r="D401" s="3038"/>
      <c r="E401" s="3038"/>
      <c r="H401" s="3038"/>
      <c r="I401" s="3038"/>
      <c r="J401" s="3038"/>
      <c r="K401" s="3038"/>
      <c r="M401" s="3038"/>
      <c r="N401" s="3038"/>
      <c r="O401" s="3038"/>
      <c r="P401" s="3038"/>
      <c r="Q401" s="3038"/>
      <c r="R401" s="3038"/>
      <c r="S401" s="3038"/>
      <c r="T401" s="3038"/>
      <c r="W401" s="3038"/>
      <c r="X401" s="3038"/>
      <c r="Y401" s="3038"/>
      <c r="Z401" s="3038"/>
      <c r="AA401" s="3113"/>
      <c r="AB401" s="3038"/>
      <c r="AC401" s="3038"/>
      <c r="AD401" s="3038"/>
      <c r="AE401" s="3132"/>
      <c r="AF401" s="3038"/>
      <c r="AG401" s="3038"/>
      <c r="AH401" s="3038"/>
      <c r="AK401" s="3038"/>
      <c r="AL401" s="3038"/>
      <c r="AM401" s="3038"/>
      <c r="AN401" s="3038"/>
      <c r="AO401" s="3038"/>
      <c r="AP401" s="3038"/>
      <c r="AQ401" s="3038"/>
      <c r="AR401" s="3038"/>
      <c r="AS401" s="3038"/>
      <c r="AT401" s="3038"/>
      <c r="AU401" s="3038"/>
      <c r="AV401" s="3038"/>
      <c r="AW401" s="3038"/>
      <c r="AX401" s="3038"/>
      <c r="AY401" s="3038"/>
      <c r="AZ401" s="3038"/>
      <c r="BA401" s="3038"/>
      <c r="BB401" s="3038"/>
      <c r="BC401" s="3038"/>
      <c r="BD401" s="3038"/>
      <c r="BE401" s="3038"/>
      <c r="BF401" s="3038"/>
      <c r="BG401" s="3038"/>
      <c r="BH401" s="3038"/>
      <c r="BI401" s="3038"/>
      <c r="BJ401" s="3038"/>
      <c r="BK401" s="3038"/>
      <c r="BL401" s="3038"/>
      <c r="BM401" s="3038"/>
      <c r="BN401" s="3038"/>
      <c r="BO401" s="3038"/>
      <c r="BP401" s="3038"/>
      <c r="BQ401" s="3038"/>
      <c r="BR401" s="3038"/>
      <c r="BS401" s="3038"/>
      <c r="BT401" s="3038"/>
      <c r="BU401" s="3038"/>
    </row>
    <row r="402" spans="3:73">
      <c r="C402" s="3038"/>
      <c r="D402" s="3038"/>
      <c r="E402" s="3038"/>
      <c r="H402" s="3038"/>
      <c r="I402" s="3038"/>
      <c r="J402" s="3038"/>
      <c r="K402" s="3038"/>
      <c r="M402" s="3038"/>
      <c r="N402" s="3038"/>
      <c r="O402" s="3038"/>
      <c r="P402" s="3038"/>
      <c r="Q402" s="3038"/>
      <c r="R402" s="3038"/>
      <c r="S402" s="3038"/>
      <c r="T402" s="3038"/>
      <c r="W402" s="3038"/>
      <c r="X402" s="3038"/>
      <c r="Y402" s="3038"/>
      <c r="Z402" s="3038"/>
      <c r="AA402" s="3113"/>
      <c r="AB402" s="3038"/>
      <c r="AC402" s="3038"/>
      <c r="AD402" s="3038"/>
      <c r="AE402" s="3132"/>
      <c r="AF402" s="3038"/>
      <c r="AG402" s="3038"/>
      <c r="AH402" s="3038"/>
      <c r="AK402" s="3038"/>
      <c r="AL402" s="3038"/>
      <c r="AM402" s="3038"/>
      <c r="AN402" s="3038"/>
      <c r="AO402" s="3038"/>
      <c r="AP402" s="3038"/>
      <c r="AQ402" s="3038"/>
      <c r="AR402" s="3038"/>
      <c r="AS402" s="3038"/>
      <c r="AT402" s="3038"/>
      <c r="AU402" s="3038"/>
      <c r="AV402" s="3038"/>
      <c r="AW402" s="3038"/>
      <c r="AX402" s="3038"/>
      <c r="AY402" s="3038"/>
      <c r="AZ402" s="3038"/>
      <c r="BA402" s="3038"/>
      <c r="BB402" s="3038"/>
      <c r="BC402" s="3038"/>
      <c r="BD402" s="3038"/>
      <c r="BE402" s="3038"/>
      <c r="BF402" s="3038"/>
      <c r="BG402" s="3038"/>
      <c r="BH402" s="3038"/>
      <c r="BI402" s="3038"/>
      <c r="BJ402" s="3038"/>
      <c r="BK402" s="3038"/>
      <c r="BL402" s="3038"/>
      <c r="BM402" s="3038"/>
      <c r="BN402" s="3038"/>
      <c r="BO402" s="3038"/>
      <c r="BP402" s="3038"/>
      <c r="BQ402" s="3038"/>
      <c r="BR402" s="3038"/>
      <c r="BS402" s="3038"/>
      <c r="BT402" s="3038"/>
      <c r="BU402" s="3038"/>
    </row>
    <row r="403" spans="3:73">
      <c r="C403" s="3038"/>
      <c r="D403" s="3038"/>
      <c r="E403" s="3038"/>
      <c r="H403" s="3038"/>
      <c r="I403" s="3038"/>
      <c r="J403" s="3038"/>
      <c r="K403" s="3038"/>
      <c r="M403" s="3038"/>
      <c r="N403" s="3038"/>
      <c r="O403" s="3038"/>
      <c r="P403" s="3038"/>
      <c r="Q403" s="3038"/>
      <c r="R403" s="3038"/>
      <c r="S403" s="3038"/>
      <c r="T403" s="3038"/>
      <c r="W403" s="3038"/>
      <c r="X403" s="3038"/>
      <c r="Y403" s="3038"/>
      <c r="Z403" s="3038"/>
      <c r="AA403" s="3113"/>
      <c r="AB403" s="3038"/>
      <c r="AC403" s="3038"/>
      <c r="AD403" s="3038"/>
      <c r="AE403" s="3132"/>
      <c r="AF403" s="3038"/>
      <c r="AG403" s="3038"/>
      <c r="AH403" s="3038"/>
      <c r="AK403" s="3038"/>
      <c r="AL403" s="3038"/>
      <c r="AM403" s="3038"/>
      <c r="AN403" s="3038"/>
      <c r="AO403" s="3038"/>
      <c r="AP403" s="3038"/>
      <c r="AQ403" s="3038"/>
      <c r="AR403" s="3038"/>
      <c r="AS403" s="3038"/>
      <c r="AT403" s="3038"/>
      <c r="AU403" s="3038"/>
      <c r="AV403" s="3038"/>
      <c r="AW403" s="3038"/>
      <c r="AX403" s="3038"/>
      <c r="AY403" s="3038"/>
      <c r="AZ403" s="3038"/>
      <c r="BA403" s="3038"/>
      <c r="BB403" s="3038"/>
      <c r="BC403" s="3038"/>
      <c r="BD403" s="3038"/>
      <c r="BE403" s="3038"/>
      <c r="BF403" s="3038"/>
      <c r="BG403" s="3038"/>
      <c r="BH403" s="3038"/>
      <c r="BI403" s="3038"/>
      <c r="BJ403" s="3038"/>
      <c r="BK403" s="3038"/>
      <c r="BL403" s="3038"/>
      <c r="BM403" s="3038"/>
      <c r="BN403" s="3038"/>
      <c r="BO403" s="3038"/>
      <c r="BP403" s="3038"/>
      <c r="BQ403" s="3038"/>
      <c r="BR403" s="3038"/>
      <c r="BS403" s="3038"/>
      <c r="BT403" s="3038"/>
      <c r="BU403" s="3038"/>
    </row>
    <row r="404" spans="3:73">
      <c r="C404" s="3038"/>
      <c r="D404" s="3038"/>
      <c r="E404" s="3038"/>
      <c r="H404" s="3038"/>
      <c r="I404" s="3038"/>
      <c r="J404" s="3038"/>
      <c r="K404" s="3038"/>
      <c r="M404" s="3038"/>
      <c r="N404" s="3038"/>
      <c r="O404" s="3038"/>
      <c r="P404" s="3038"/>
      <c r="Q404" s="3038"/>
      <c r="R404" s="3038"/>
      <c r="S404" s="3038"/>
      <c r="T404" s="3038"/>
      <c r="W404" s="3038"/>
      <c r="X404" s="3038"/>
      <c r="Y404" s="3038"/>
      <c r="Z404" s="3038"/>
      <c r="AA404" s="3113"/>
      <c r="AB404" s="3038"/>
      <c r="AC404" s="3038"/>
      <c r="AD404" s="3038"/>
      <c r="AE404" s="3132"/>
      <c r="AF404" s="3038"/>
      <c r="AG404" s="3038"/>
      <c r="AH404" s="3038"/>
      <c r="AK404" s="3038"/>
      <c r="AL404" s="3038"/>
      <c r="AM404" s="3038"/>
      <c r="AN404" s="3038"/>
      <c r="AO404" s="3038"/>
      <c r="AP404" s="3038"/>
      <c r="AQ404" s="3038"/>
      <c r="AR404" s="3038"/>
      <c r="AS404" s="3038"/>
      <c r="AT404" s="3038"/>
      <c r="AU404" s="3038"/>
      <c r="AV404" s="3038"/>
      <c r="AW404" s="3038"/>
      <c r="AX404" s="3038"/>
      <c r="AY404" s="3038"/>
      <c r="AZ404" s="3038"/>
      <c r="BA404" s="3038"/>
      <c r="BB404" s="3038"/>
      <c r="BC404" s="3038"/>
      <c r="BD404" s="3038"/>
      <c r="BE404" s="3038"/>
      <c r="BF404" s="3038"/>
      <c r="BG404" s="3038"/>
      <c r="BH404" s="3038"/>
      <c r="BI404" s="3038"/>
      <c r="BJ404" s="3038"/>
      <c r="BK404" s="3038"/>
      <c r="BL404" s="3038"/>
      <c r="BM404" s="3038"/>
      <c r="BN404" s="3038"/>
      <c r="BO404" s="3038"/>
      <c r="BP404" s="3038"/>
      <c r="BQ404" s="3038"/>
      <c r="BR404" s="3038"/>
      <c r="BS404" s="3038"/>
      <c r="BT404" s="3038"/>
      <c r="BU404" s="3038"/>
    </row>
    <row r="405" spans="3:73">
      <c r="C405" s="3038"/>
      <c r="D405" s="3038"/>
      <c r="E405" s="3038"/>
      <c r="H405" s="3038"/>
      <c r="I405" s="3038"/>
      <c r="J405" s="3038"/>
      <c r="K405" s="3038"/>
      <c r="M405" s="3038"/>
      <c r="N405" s="3038"/>
      <c r="O405" s="3038"/>
      <c r="P405" s="3038"/>
      <c r="Q405" s="3038"/>
      <c r="R405" s="3038"/>
      <c r="S405" s="3038"/>
      <c r="T405" s="3038"/>
      <c r="W405" s="3038"/>
      <c r="X405" s="3038"/>
      <c r="Y405" s="3038"/>
      <c r="Z405" s="3038"/>
      <c r="AA405" s="3113"/>
      <c r="AB405" s="3038"/>
      <c r="AC405" s="3038"/>
      <c r="AD405" s="3038"/>
      <c r="AE405" s="3132"/>
      <c r="AF405" s="3038"/>
      <c r="AG405" s="3038"/>
      <c r="AH405" s="3038"/>
      <c r="AK405" s="3038"/>
      <c r="AL405" s="3038"/>
      <c r="AM405" s="3038"/>
      <c r="AN405" s="3038"/>
      <c r="AO405" s="3038"/>
      <c r="AP405" s="3038"/>
      <c r="AQ405" s="3038"/>
      <c r="AR405" s="3038"/>
      <c r="AS405" s="3038"/>
      <c r="AT405" s="3038"/>
      <c r="AU405" s="3038"/>
      <c r="AV405" s="3038"/>
      <c r="AW405" s="3038"/>
      <c r="AX405" s="3038"/>
      <c r="AY405" s="3038"/>
      <c r="AZ405" s="3038"/>
      <c r="BA405" s="3038"/>
      <c r="BB405" s="3038"/>
      <c r="BC405" s="3038"/>
      <c r="BD405" s="3038"/>
      <c r="BE405" s="3038"/>
      <c r="BF405" s="3038"/>
      <c r="BG405" s="3038"/>
      <c r="BH405" s="3038"/>
      <c r="BI405" s="3038"/>
      <c r="BJ405" s="3038"/>
      <c r="BK405" s="3038"/>
      <c r="BL405" s="3038"/>
      <c r="BM405" s="3038"/>
      <c r="BN405" s="3038"/>
      <c r="BO405" s="3038"/>
      <c r="BP405" s="3038"/>
      <c r="BQ405" s="3038"/>
      <c r="BR405" s="3038"/>
      <c r="BS405" s="3038"/>
      <c r="BT405" s="3038"/>
      <c r="BU405" s="3038"/>
    </row>
    <row r="406" spans="3:73">
      <c r="C406" s="3038"/>
      <c r="D406" s="3038"/>
      <c r="E406" s="3038"/>
      <c r="H406" s="3038"/>
      <c r="I406" s="3038"/>
      <c r="J406" s="3038"/>
      <c r="K406" s="3038"/>
      <c r="M406" s="3038"/>
      <c r="N406" s="3038"/>
      <c r="O406" s="3038"/>
      <c r="P406" s="3038"/>
      <c r="Q406" s="3038"/>
      <c r="R406" s="3038"/>
      <c r="S406" s="3038"/>
      <c r="T406" s="3038"/>
      <c r="W406" s="3038"/>
      <c r="X406" s="3038"/>
      <c r="Y406" s="3038"/>
      <c r="Z406" s="3038"/>
      <c r="AA406" s="3113"/>
      <c r="AB406" s="3038"/>
      <c r="AC406" s="3038"/>
      <c r="AD406" s="3038"/>
      <c r="AE406" s="3132"/>
      <c r="AF406" s="3038"/>
      <c r="AG406" s="3038"/>
      <c r="AH406" s="3038"/>
      <c r="AK406" s="3038"/>
      <c r="AL406" s="3038"/>
      <c r="AM406" s="3038"/>
      <c r="AN406" s="3038"/>
      <c r="AO406" s="3038"/>
      <c r="AP406" s="3038"/>
      <c r="AQ406" s="3038"/>
      <c r="AR406" s="3038"/>
      <c r="AS406" s="3038"/>
      <c r="AT406" s="3038"/>
      <c r="AU406" s="3038"/>
      <c r="AV406" s="3038"/>
      <c r="AW406" s="3038"/>
      <c r="AX406" s="3038"/>
      <c r="AY406" s="3038"/>
      <c r="AZ406" s="3038"/>
      <c r="BA406" s="3038"/>
      <c r="BB406" s="3038"/>
      <c r="BC406" s="3038"/>
      <c r="BD406" s="3038"/>
      <c r="BE406" s="3038"/>
      <c r="BF406" s="3038"/>
      <c r="BG406" s="3038"/>
      <c r="BH406" s="3038"/>
      <c r="BI406" s="3038"/>
      <c r="BJ406" s="3038"/>
      <c r="BK406" s="3038"/>
      <c r="BL406" s="3038"/>
      <c r="BM406" s="3038"/>
      <c r="BN406" s="3038"/>
      <c r="BO406" s="3038"/>
      <c r="BP406" s="3038"/>
      <c r="BQ406" s="3038"/>
      <c r="BR406" s="3038"/>
      <c r="BS406" s="3038"/>
      <c r="BT406" s="3038"/>
      <c r="BU406" s="3038"/>
    </row>
    <row r="407" spans="3:73">
      <c r="C407" s="3038"/>
      <c r="D407" s="3038"/>
      <c r="E407" s="3038"/>
      <c r="H407" s="3038"/>
      <c r="I407" s="3038"/>
      <c r="J407" s="3038"/>
      <c r="K407" s="3038"/>
      <c r="M407" s="3038"/>
      <c r="N407" s="3038"/>
      <c r="O407" s="3038"/>
      <c r="P407" s="3038"/>
      <c r="Q407" s="3038"/>
      <c r="R407" s="3038"/>
      <c r="S407" s="3038"/>
      <c r="T407" s="3038"/>
      <c r="W407" s="3038"/>
      <c r="X407" s="3038"/>
      <c r="Y407" s="3038"/>
      <c r="Z407" s="3038"/>
      <c r="AA407" s="3113"/>
      <c r="AB407" s="3038"/>
      <c r="AC407" s="3038"/>
      <c r="AD407" s="3038"/>
      <c r="AE407" s="3132"/>
      <c r="AF407" s="3038"/>
      <c r="AG407" s="3038"/>
      <c r="AH407" s="3038"/>
      <c r="AK407" s="3038"/>
      <c r="AL407" s="3038"/>
      <c r="AM407" s="3038"/>
      <c r="AN407" s="3038"/>
      <c r="AO407" s="3038"/>
      <c r="AP407" s="3038"/>
      <c r="AQ407" s="3038"/>
      <c r="AR407" s="3038"/>
      <c r="AS407" s="3038"/>
      <c r="AT407" s="3038"/>
      <c r="AU407" s="3038"/>
      <c r="AV407" s="3038"/>
      <c r="AW407" s="3038"/>
      <c r="AX407" s="3038"/>
      <c r="AY407" s="3038"/>
      <c r="AZ407" s="3038"/>
      <c r="BA407" s="3038"/>
      <c r="BB407" s="3038"/>
      <c r="BC407" s="3038"/>
      <c r="BD407" s="3038"/>
      <c r="BE407" s="3038"/>
      <c r="BF407" s="3038"/>
      <c r="BG407" s="3038"/>
      <c r="BH407" s="3038"/>
      <c r="BI407" s="3038"/>
      <c r="BJ407" s="3038"/>
      <c r="BK407" s="3038"/>
      <c r="BL407" s="3038"/>
      <c r="BM407" s="3038"/>
      <c r="BN407" s="3038"/>
      <c r="BO407" s="3038"/>
      <c r="BP407" s="3038"/>
      <c r="BQ407" s="3038"/>
      <c r="BR407" s="3038"/>
      <c r="BS407" s="3038"/>
      <c r="BT407" s="3038"/>
      <c r="BU407" s="3038"/>
    </row>
    <row r="408" spans="3:73">
      <c r="C408" s="3038"/>
      <c r="D408" s="3038"/>
      <c r="E408" s="3038"/>
      <c r="H408" s="3038"/>
      <c r="I408" s="3038"/>
      <c r="J408" s="3038"/>
      <c r="K408" s="3038"/>
      <c r="M408" s="3038"/>
      <c r="N408" s="3038"/>
      <c r="O408" s="3038"/>
      <c r="P408" s="3038"/>
      <c r="Q408" s="3038"/>
      <c r="R408" s="3038"/>
      <c r="S408" s="3038"/>
      <c r="T408" s="3038"/>
      <c r="W408" s="3038"/>
      <c r="X408" s="3038"/>
      <c r="Y408" s="3038"/>
      <c r="Z408" s="3038"/>
      <c r="AA408" s="3113"/>
      <c r="AB408" s="3038"/>
      <c r="AC408" s="3038"/>
      <c r="AD408" s="3038"/>
      <c r="AE408" s="3132"/>
      <c r="AF408" s="3038"/>
      <c r="AG408" s="3038"/>
      <c r="AH408" s="3038"/>
      <c r="AK408" s="3038"/>
      <c r="AL408" s="3038"/>
      <c r="AM408" s="3038"/>
      <c r="AN408" s="3038"/>
      <c r="AO408" s="3038"/>
      <c r="AP408" s="3038"/>
      <c r="AQ408" s="3038"/>
      <c r="AR408" s="3038"/>
      <c r="AS408" s="3038"/>
      <c r="AT408" s="3038"/>
      <c r="AU408" s="3038"/>
      <c r="AV408" s="3038"/>
      <c r="AW408" s="3038"/>
      <c r="AX408" s="3038"/>
      <c r="AY408" s="3038"/>
      <c r="AZ408" s="3038"/>
      <c r="BA408" s="3038"/>
      <c r="BB408" s="3038"/>
      <c r="BC408" s="3038"/>
      <c r="BD408" s="3038"/>
      <c r="BE408" s="3038"/>
      <c r="BF408" s="3038"/>
      <c r="BG408" s="3038"/>
      <c r="BH408" s="3038"/>
      <c r="BI408" s="3038"/>
      <c r="BJ408" s="3038"/>
      <c r="BK408" s="3038"/>
      <c r="BL408" s="3038"/>
      <c r="BM408" s="3038"/>
      <c r="BN408" s="3038"/>
      <c r="BO408" s="3038"/>
      <c r="BP408" s="3038"/>
      <c r="BQ408" s="3038"/>
      <c r="BR408" s="3038"/>
      <c r="BS408" s="3038"/>
      <c r="BT408" s="3038"/>
      <c r="BU408" s="3038"/>
    </row>
    <row r="409" spans="3:73">
      <c r="C409" s="3038"/>
      <c r="D409" s="3038"/>
      <c r="E409" s="3038"/>
      <c r="H409" s="3038"/>
      <c r="I409" s="3038"/>
      <c r="J409" s="3038"/>
      <c r="K409" s="3038"/>
      <c r="M409" s="3038"/>
      <c r="N409" s="3038"/>
      <c r="O409" s="3038"/>
      <c r="P409" s="3038"/>
      <c r="Q409" s="3038"/>
      <c r="R409" s="3038"/>
      <c r="S409" s="3038"/>
      <c r="T409" s="3038"/>
      <c r="W409" s="3038"/>
      <c r="X409" s="3038"/>
      <c r="Y409" s="3038"/>
      <c r="Z409" s="3038"/>
      <c r="AA409" s="3113"/>
      <c r="AB409" s="3038"/>
      <c r="AC409" s="3038"/>
      <c r="AD409" s="3038"/>
      <c r="AE409" s="3132"/>
      <c r="AF409" s="3038"/>
      <c r="AG409" s="3038"/>
      <c r="AH409" s="3038"/>
      <c r="AK409" s="3038"/>
      <c r="AL409" s="3038"/>
      <c r="AM409" s="3038"/>
      <c r="AN409" s="3038"/>
      <c r="AO409" s="3038"/>
      <c r="AP409" s="3038"/>
      <c r="AQ409" s="3038"/>
      <c r="AR409" s="3038"/>
      <c r="AS409" s="3038"/>
      <c r="AT409" s="3038"/>
      <c r="AU409" s="3038"/>
      <c r="AV409" s="3038"/>
      <c r="AW409" s="3038"/>
      <c r="AX409" s="3038"/>
      <c r="AY409" s="3038"/>
      <c r="AZ409" s="3038"/>
      <c r="BA409" s="3038"/>
      <c r="BB409" s="3038"/>
      <c r="BC409" s="3038"/>
      <c r="BD409" s="3038"/>
      <c r="BE409" s="3038"/>
      <c r="BF409" s="3038"/>
      <c r="BG409" s="3038"/>
      <c r="BH409" s="3038"/>
      <c r="BI409" s="3038"/>
      <c r="BJ409" s="3038"/>
      <c r="BK409" s="3038"/>
      <c r="BL409" s="3038"/>
      <c r="BM409" s="3038"/>
      <c r="BN409" s="3038"/>
      <c r="BO409" s="3038"/>
      <c r="BP409" s="3038"/>
      <c r="BQ409" s="3038"/>
      <c r="BR409" s="3038"/>
      <c r="BS409" s="3038"/>
      <c r="BT409" s="3038"/>
      <c r="BU409" s="3038"/>
    </row>
    <row r="410" spans="3:73">
      <c r="C410" s="3038"/>
      <c r="D410" s="3038"/>
      <c r="E410" s="3038"/>
      <c r="H410" s="3038"/>
      <c r="I410" s="3038"/>
      <c r="J410" s="3038"/>
      <c r="K410" s="3038"/>
      <c r="M410" s="3038"/>
      <c r="N410" s="3038"/>
      <c r="O410" s="3038"/>
      <c r="P410" s="3038"/>
      <c r="Q410" s="3038"/>
      <c r="R410" s="3038"/>
      <c r="S410" s="3038"/>
      <c r="T410" s="3038"/>
      <c r="W410" s="3038"/>
      <c r="X410" s="3038"/>
      <c r="Y410" s="3038"/>
      <c r="Z410" s="3038"/>
      <c r="AA410" s="3113"/>
      <c r="AB410" s="3038"/>
      <c r="AC410" s="3038"/>
      <c r="AD410" s="3038"/>
      <c r="AE410" s="3132"/>
      <c r="AF410" s="3038"/>
      <c r="AG410" s="3038"/>
      <c r="AH410" s="3038"/>
      <c r="AK410" s="3038"/>
      <c r="AL410" s="3038"/>
      <c r="AM410" s="3038"/>
      <c r="AN410" s="3038"/>
      <c r="AO410" s="3038"/>
      <c r="AP410" s="3038"/>
      <c r="AQ410" s="3038"/>
      <c r="AR410" s="3038"/>
      <c r="AS410" s="3038"/>
      <c r="AT410" s="3038"/>
      <c r="AU410" s="3038"/>
      <c r="AV410" s="3038"/>
      <c r="AW410" s="3038"/>
      <c r="AX410" s="3038"/>
      <c r="AY410" s="3038"/>
      <c r="AZ410" s="3038"/>
      <c r="BA410" s="3038"/>
      <c r="BB410" s="3038"/>
      <c r="BC410" s="3038"/>
      <c r="BD410" s="3038"/>
      <c r="BE410" s="3038"/>
      <c r="BF410" s="3038"/>
      <c r="BG410" s="3038"/>
      <c r="BH410" s="3038"/>
      <c r="BI410" s="3038"/>
      <c r="BJ410" s="3038"/>
      <c r="BK410" s="3038"/>
      <c r="BL410" s="3038"/>
      <c r="BM410" s="3038"/>
      <c r="BN410" s="3038"/>
      <c r="BO410" s="3038"/>
      <c r="BP410" s="3038"/>
      <c r="BQ410" s="3038"/>
      <c r="BR410" s="3038"/>
      <c r="BS410" s="3038"/>
      <c r="BT410" s="3038"/>
      <c r="BU410" s="3038"/>
    </row>
    <row r="411" spans="3:73">
      <c r="C411" s="3038"/>
      <c r="D411" s="3038"/>
      <c r="E411" s="3038"/>
      <c r="H411" s="3038"/>
      <c r="I411" s="3038"/>
      <c r="J411" s="3038"/>
      <c r="K411" s="3038"/>
      <c r="M411" s="3038"/>
      <c r="N411" s="3038"/>
      <c r="O411" s="3038"/>
      <c r="P411" s="3038"/>
      <c r="Q411" s="3038"/>
      <c r="R411" s="3038"/>
      <c r="S411" s="3038"/>
      <c r="T411" s="3038"/>
      <c r="W411" s="3038"/>
      <c r="X411" s="3038"/>
      <c r="Y411" s="3038"/>
      <c r="Z411" s="3038"/>
      <c r="AA411" s="3113"/>
      <c r="AB411" s="3038"/>
      <c r="AC411" s="3038"/>
      <c r="AD411" s="3038"/>
      <c r="AE411" s="3132"/>
      <c r="AF411" s="3038"/>
      <c r="AG411" s="3038"/>
      <c r="AH411" s="3038"/>
      <c r="AK411" s="3038"/>
      <c r="AL411" s="3038"/>
      <c r="AM411" s="3038"/>
      <c r="AN411" s="3038"/>
      <c r="AO411" s="3038"/>
      <c r="AP411" s="3038"/>
      <c r="AQ411" s="3038"/>
      <c r="AR411" s="3038"/>
      <c r="AS411" s="3038"/>
      <c r="AT411" s="3038"/>
      <c r="AU411" s="3038"/>
      <c r="AV411" s="3038"/>
      <c r="AW411" s="3038"/>
      <c r="AX411" s="3038"/>
      <c r="AY411" s="3038"/>
      <c r="AZ411" s="3038"/>
      <c r="BA411" s="3038"/>
      <c r="BB411" s="3038"/>
      <c r="BC411" s="3038"/>
      <c r="BD411" s="3038"/>
      <c r="BE411" s="3038"/>
      <c r="BF411" s="3038"/>
      <c r="BG411" s="3038"/>
      <c r="BH411" s="3038"/>
      <c r="BI411" s="3038"/>
      <c r="BJ411" s="3038"/>
      <c r="BK411" s="3038"/>
      <c r="BL411" s="3038"/>
      <c r="BM411" s="3038"/>
      <c r="BN411" s="3038"/>
      <c r="BO411" s="3038"/>
      <c r="BP411" s="3038"/>
      <c r="BQ411" s="3038"/>
      <c r="BR411" s="3038"/>
      <c r="BS411" s="3038"/>
      <c r="BT411" s="3038"/>
      <c r="BU411" s="3038"/>
    </row>
    <row r="412" spans="3:73">
      <c r="C412" s="3038"/>
      <c r="D412" s="3038"/>
      <c r="E412" s="3038"/>
      <c r="H412" s="3038"/>
      <c r="I412" s="3038"/>
      <c r="J412" s="3038"/>
      <c r="K412" s="3038"/>
      <c r="M412" s="3038"/>
      <c r="N412" s="3038"/>
      <c r="O412" s="3038"/>
      <c r="P412" s="3038"/>
      <c r="Q412" s="3038"/>
      <c r="R412" s="3038"/>
      <c r="S412" s="3038"/>
      <c r="T412" s="3038"/>
      <c r="W412" s="3038"/>
      <c r="X412" s="3038"/>
      <c r="Y412" s="3038"/>
      <c r="Z412" s="3038"/>
      <c r="AA412" s="3113"/>
      <c r="AB412" s="3038"/>
      <c r="AC412" s="3038"/>
      <c r="AD412" s="3038"/>
      <c r="AE412" s="3132"/>
      <c r="AF412" s="3038"/>
      <c r="AG412" s="3038"/>
      <c r="AH412" s="3038"/>
      <c r="AK412" s="3038"/>
      <c r="AL412" s="3038"/>
      <c r="AM412" s="3038"/>
      <c r="AN412" s="3038"/>
      <c r="AO412" s="3038"/>
      <c r="AP412" s="3038"/>
      <c r="AQ412" s="3038"/>
      <c r="AR412" s="3038"/>
      <c r="AS412" s="3038"/>
      <c r="AT412" s="3038"/>
      <c r="AU412" s="3038"/>
      <c r="AV412" s="3038"/>
      <c r="AW412" s="3038"/>
      <c r="AX412" s="3038"/>
      <c r="AY412" s="3038"/>
      <c r="AZ412" s="3038"/>
      <c r="BA412" s="3038"/>
      <c r="BB412" s="3038"/>
      <c r="BC412" s="3038"/>
      <c r="BD412" s="3038"/>
      <c r="BE412" s="3038"/>
      <c r="BF412" s="3038"/>
      <c r="BG412" s="3038"/>
      <c r="BH412" s="3038"/>
      <c r="BI412" s="3038"/>
      <c r="BJ412" s="3038"/>
      <c r="BK412" s="3038"/>
      <c r="BL412" s="3038"/>
      <c r="BM412" s="3038"/>
      <c r="BN412" s="3038"/>
      <c r="BO412" s="3038"/>
      <c r="BP412" s="3038"/>
      <c r="BQ412" s="3038"/>
      <c r="BR412" s="3038"/>
      <c r="BS412" s="3038"/>
      <c r="BT412" s="3038"/>
      <c r="BU412" s="3038"/>
    </row>
    <row r="413" spans="3:73">
      <c r="C413" s="3038"/>
      <c r="D413" s="3038"/>
      <c r="E413" s="3038"/>
      <c r="H413" s="3038"/>
      <c r="I413" s="3038"/>
      <c r="J413" s="3038"/>
      <c r="K413" s="3038"/>
      <c r="M413" s="3038"/>
      <c r="N413" s="3038"/>
      <c r="O413" s="3038"/>
      <c r="P413" s="3038"/>
      <c r="Q413" s="3038"/>
      <c r="R413" s="3038"/>
      <c r="S413" s="3038"/>
      <c r="T413" s="3038"/>
      <c r="W413" s="3038"/>
      <c r="X413" s="3038"/>
      <c r="Y413" s="3038"/>
      <c r="Z413" s="3038"/>
      <c r="AA413" s="3113"/>
      <c r="AB413" s="3038"/>
      <c r="AC413" s="3038"/>
      <c r="AD413" s="3038"/>
      <c r="AE413" s="3132"/>
      <c r="AF413" s="3038"/>
      <c r="AG413" s="3038"/>
      <c r="AH413" s="3038"/>
      <c r="AK413" s="3038"/>
      <c r="AL413" s="3038"/>
      <c r="AM413" s="3038"/>
      <c r="AN413" s="3038"/>
      <c r="AO413" s="3038"/>
      <c r="AP413" s="3038"/>
      <c r="AQ413" s="3038"/>
      <c r="AR413" s="3038"/>
      <c r="AS413" s="3038"/>
      <c r="AT413" s="3038"/>
      <c r="AU413" s="3038"/>
      <c r="AV413" s="3038"/>
      <c r="AW413" s="3038"/>
      <c r="AX413" s="3038"/>
      <c r="AY413" s="3038"/>
      <c r="AZ413" s="3038"/>
      <c r="BA413" s="3038"/>
      <c r="BB413" s="3038"/>
      <c r="BC413" s="3038"/>
      <c r="BD413" s="3038"/>
      <c r="BE413" s="3038"/>
      <c r="BF413" s="3038"/>
      <c r="BG413" s="3038"/>
      <c r="BH413" s="3038"/>
      <c r="BI413" s="3038"/>
      <c r="BJ413" s="3038"/>
      <c r="BK413" s="3038"/>
      <c r="BL413" s="3038"/>
      <c r="BM413" s="3038"/>
      <c r="BN413" s="3038"/>
      <c r="BO413" s="3038"/>
      <c r="BP413" s="3038"/>
      <c r="BQ413" s="3038"/>
      <c r="BR413" s="3038"/>
      <c r="BS413" s="3038"/>
      <c r="BT413" s="3038"/>
      <c r="BU413" s="3038"/>
    </row>
    <row r="414" spans="3:73">
      <c r="C414" s="3038"/>
      <c r="D414" s="3038"/>
      <c r="E414" s="3038"/>
      <c r="H414" s="3038"/>
      <c r="I414" s="3038"/>
      <c r="J414" s="3038"/>
      <c r="K414" s="3038"/>
      <c r="M414" s="3038"/>
      <c r="N414" s="3038"/>
      <c r="O414" s="3038"/>
      <c r="P414" s="3038"/>
      <c r="Q414" s="3038"/>
      <c r="R414" s="3038"/>
      <c r="S414" s="3038"/>
      <c r="T414" s="3038"/>
      <c r="W414" s="3038"/>
      <c r="X414" s="3038"/>
      <c r="Y414" s="3038"/>
      <c r="Z414" s="3038"/>
      <c r="AA414" s="3113"/>
      <c r="AB414" s="3038"/>
      <c r="AC414" s="3038"/>
      <c r="AD414" s="3038"/>
      <c r="AE414" s="3132"/>
      <c r="AF414" s="3038"/>
      <c r="AG414" s="3038"/>
      <c r="AH414" s="3038"/>
      <c r="AK414" s="3038"/>
      <c r="AL414" s="3038"/>
      <c r="AM414" s="3038"/>
      <c r="AN414" s="3038"/>
      <c r="AO414" s="3038"/>
      <c r="AP414" s="3038"/>
      <c r="AQ414" s="3038"/>
      <c r="AR414" s="3038"/>
      <c r="AS414" s="3038"/>
      <c r="AT414" s="3038"/>
      <c r="AU414" s="3038"/>
      <c r="AV414" s="3038"/>
      <c r="AW414" s="3038"/>
      <c r="AX414" s="3038"/>
      <c r="AY414" s="3038"/>
      <c r="AZ414" s="3038"/>
      <c r="BA414" s="3038"/>
      <c r="BB414" s="3038"/>
      <c r="BC414" s="3038"/>
      <c r="BD414" s="3038"/>
      <c r="BE414" s="3038"/>
      <c r="BF414" s="3038"/>
      <c r="BG414" s="3038"/>
      <c r="BH414" s="3038"/>
      <c r="BI414" s="3038"/>
      <c r="BJ414" s="3038"/>
      <c r="BK414" s="3038"/>
      <c r="BL414" s="3038"/>
      <c r="BM414" s="3038"/>
      <c r="BN414" s="3038"/>
      <c r="BO414" s="3038"/>
      <c r="BP414" s="3038"/>
      <c r="BQ414" s="3038"/>
      <c r="BR414" s="3038"/>
      <c r="BS414" s="3038"/>
      <c r="BT414" s="3038"/>
      <c r="BU414" s="3038"/>
    </row>
    <row r="415" spans="3:73">
      <c r="C415" s="3038"/>
      <c r="D415" s="3038"/>
      <c r="E415" s="3038"/>
      <c r="H415" s="3038"/>
      <c r="I415" s="3038"/>
      <c r="J415" s="3038"/>
      <c r="K415" s="3038"/>
      <c r="M415" s="3038"/>
      <c r="N415" s="3038"/>
      <c r="O415" s="3038"/>
      <c r="P415" s="3038"/>
      <c r="Q415" s="3038"/>
      <c r="R415" s="3038"/>
      <c r="S415" s="3038"/>
      <c r="T415" s="3038"/>
      <c r="W415" s="3038"/>
      <c r="X415" s="3038"/>
      <c r="Y415" s="3038"/>
      <c r="Z415" s="3038"/>
      <c r="AA415" s="3113"/>
      <c r="AB415" s="3038"/>
      <c r="AC415" s="3038"/>
      <c r="AD415" s="3038"/>
      <c r="AE415" s="3132"/>
      <c r="AF415" s="3038"/>
      <c r="AG415" s="3038"/>
      <c r="AH415" s="3038"/>
      <c r="AK415" s="3038"/>
      <c r="AL415" s="3038"/>
      <c r="AM415" s="3038"/>
      <c r="AN415" s="3038"/>
      <c r="AO415" s="3038"/>
      <c r="AP415" s="3038"/>
      <c r="AQ415" s="3038"/>
      <c r="AR415" s="3038"/>
      <c r="AS415" s="3038"/>
      <c r="AT415" s="3038"/>
      <c r="AU415" s="3038"/>
      <c r="AV415" s="3038"/>
      <c r="AW415" s="3038"/>
      <c r="AX415" s="3038"/>
      <c r="AY415" s="3038"/>
      <c r="AZ415" s="3038"/>
      <c r="BA415" s="3038"/>
      <c r="BB415" s="3038"/>
      <c r="BC415" s="3038"/>
      <c r="BD415" s="3038"/>
      <c r="BE415" s="3038"/>
      <c r="BF415" s="3038"/>
      <c r="BG415" s="3038"/>
      <c r="BH415" s="3038"/>
      <c r="BI415" s="3038"/>
      <c r="BJ415" s="3038"/>
      <c r="BK415" s="3038"/>
      <c r="BL415" s="3038"/>
      <c r="BM415" s="3038"/>
      <c r="BN415" s="3038"/>
      <c r="BO415" s="3038"/>
      <c r="BP415" s="3038"/>
      <c r="BQ415" s="3038"/>
      <c r="BR415" s="3038"/>
      <c r="BS415" s="3038"/>
      <c r="BT415" s="3038"/>
      <c r="BU415" s="3038"/>
    </row>
    <row r="416" spans="3:73">
      <c r="C416" s="3038"/>
      <c r="D416" s="3038"/>
      <c r="E416" s="3038"/>
      <c r="H416" s="3038"/>
      <c r="I416" s="3038"/>
      <c r="J416" s="3038"/>
      <c r="K416" s="3038"/>
      <c r="M416" s="3038"/>
      <c r="N416" s="3038"/>
      <c r="O416" s="3038"/>
      <c r="P416" s="3038"/>
      <c r="Q416" s="3038"/>
      <c r="R416" s="3038"/>
      <c r="S416" s="3038"/>
      <c r="T416" s="3038"/>
      <c r="W416" s="3038"/>
      <c r="X416" s="3038"/>
      <c r="Y416" s="3038"/>
      <c r="Z416" s="3038"/>
      <c r="AA416" s="3113"/>
      <c r="AB416" s="3038"/>
      <c r="AC416" s="3038"/>
      <c r="AD416" s="3038"/>
      <c r="AE416" s="3132"/>
      <c r="AF416" s="3038"/>
      <c r="AG416" s="3038"/>
      <c r="AH416" s="3038"/>
      <c r="AK416" s="3038"/>
      <c r="AL416" s="3038"/>
      <c r="AM416" s="3038"/>
      <c r="AN416" s="3038"/>
      <c r="AO416" s="3038"/>
      <c r="AP416" s="3038"/>
      <c r="AQ416" s="3038"/>
      <c r="AR416" s="3038"/>
      <c r="AS416" s="3038"/>
      <c r="AT416" s="3038"/>
      <c r="AU416" s="3038"/>
      <c r="AV416" s="3038"/>
      <c r="AW416" s="3038"/>
      <c r="AX416" s="3038"/>
      <c r="AY416" s="3038"/>
      <c r="AZ416" s="3038"/>
      <c r="BA416" s="3038"/>
      <c r="BB416" s="3038"/>
      <c r="BC416" s="3038"/>
      <c r="BD416" s="3038"/>
      <c r="BE416" s="3038"/>
      <c r="BF416" s="3038"/>
      <c r="BG416" s="3038"/>
      <c r="BH416" s="3038"/>
      <c r="BI416" s="3038"/>
      <c r="BJ416" s="3038"/>
      <c r="BK416" s="3038"/>
      <c r="BL416" s="3038"/>
      <c r="BM416" s="3038"/>
      <c r="BN416" s="3038"/>
      <c r="BO416" s="3038"/>
      <c r="BP416" s="3038"/>
      <c r="BQ416" s="3038"/>
      <c r="BR416" s="3038"/>
      <c r="BS416" s="3038"/>
      <c r="BT416" s="3038"/>
      <c r="BU416" s="3038"/>
    </row>
    <row r="417" spans="3:73">
      <c r="C417" s="3038"/>
      <c r="D417" s="3038"/>
      <c r="E417" s="3038"/>
      <c r="H417" s="3038"/>
      <c r="I417" s="3038"/>
      <c r="J417" s="3038"/>
      <c r="K417" s="3038"/>
      <c r="M417" s="3038"/>
      <c r="N417" s="3038"/>
      <c r="O417" s="3038"/>
      <c r="P417" s="3038"/>
      <c r="Q417" s="3038"/>
      <c r="R417" s="3038"/>
      <c r="S417" s="3038"/>
      <c r="T417" s="3038"/>
      <c r="W417" s="3038"/>
      <c r="X417" s="3038"/>
      <c r="Y417" s="3038"/>
      <c r="Z417" s="3038"/>
      <c r="AA417" s="3113"/>
      <c r="AB417" s="3038"/>
      <c r="AC417" s="3038"/>
      <c r="AD417" s="3038"/>
      <c r="AE417" s="3132"/>
      <c r="AF417" s="3038"/>
      <c r="AG417" s="3038"/>
      <c r="AH417" s="3038"/>
      <c r="AK417" s="3038"/>
      <c r="AL417" s="3038"/>
      <c r="AM417" s="3038"/>
      <c r="AN417" s="3038"/>
      <c r="AO417" s="3038"/>
      <c r="AP417" s="3038"/>
      <c r="AQ417" s="3038"/>
      <c r="AR417" s="3038"/>
      <c r="AS417" s="3038"/>
      <c r="AT417" s="3038"/>
      <c r="AU417" s="3038"/>
      <c r="AV417" s="3038"/>
      <c r="AW417" s="3038"/>
      <c r="AX417" s="3038"/>
      <c r="AY417" s="3038"/>
      <c r="AZ417" s="3038"/>
      <c r="BA417" s="3038"/>
      <c r="BB417" s="3038"/>
      <c r="BC417" s="3038"/>
      <c r="BD417" s="3038"/>
      <c r="BE417" s="3038"/>
      <c r="BF417" s="3038"/>
      <c r="BG417" s="3038"/>
      <c r="BH417" s="3038"/>
      <c r="BI417" s="3038"/>
      <c r="BJ417" s="3038"/>
      <c r="BK417" s="3038"/>
      <c r="BL417" s="3038"/>
      <c r="BM417" s="3038"/>
      <c r="BN417" s="3038"/>
      <c r="BO417" s="3038"/>
      <c r="BP417" s="3038"/>
      <c r="BQ417" s="3038"/>
      <c r="BR417" s="3038"/>
      <c r="BS417" s="3038"/>
      <c r="BT417" s="3038"/>
      <c r="BU417" s="3038"/>
    </row>
    <row r="418" spans="3:73">
      <c r="C418" s="3038"/>
      <c r="D418" s="3038"/>
      <c r="E418" s="3038"/>
      <c r="H418" s="3038"/>
      <c r="I418" s="3038"/>
      <c r="J418" s="3038"/>
      <c r="K418" s="3038"/>
      <c r="M418" s="3038"/>
      <c r="N418" s="3038"/>
      <c r="O418" s="3038"/>
      <c r="P418" s="3038"/>
      <c r="Q418" s="3038"/>
      <c r="R418" s="3038"/>
      <c r="S418" s="3038"/>
      <c r="T418" s="3038"/>
      <c r="W418" s="3038"/>
      <c r="X418" s="3038"/>
      <c r="Y418" s="3038"/>
      <c r="Z418" s="3038"/>
      <c r="AA418" s="3113"/>
      <c r="AB418" s="3038"/>
      <c r="AC418" s="3038"/>
      <c r="AD418" s="3038"/>
      <c r="AE418" s="3132"/>
      <c r="AF418" s="3038"/>
      <c r="AG418" s="3038"/>
      <c r="AH418" s="3038"/>
      <c r="AK418" s="3038"/>
      <c r="AL418" s="3038"/>
      <c r="AM418" s="3038"/>
      <c r="AN418" s="3038"/>
      <c r="AO418" s="3038"/>
      <c r="AP418" s="3038"/>
      <c r="AQ418" s="3038"/>
      <c r="AR418" s="3038"/>
      <c r="AS418" s="3038"/>
      <c r="AT418" s="3038"/>
      <c r="AU418" s="3038"/>
      <c r="AV418" s="3038"/>
      <c r="AW418" s="3038"/>
      <c r="AX418" s="3038"/>
      <c r="AY418" s="3038"/>
      <c r="AZ418" s="3038"/>
      <c r="BA418" s="3038"/>
      <c r="BB418" s="3038"/>
      <c r="BC418" s="3038"/>
      <c r="BD418" s="3038"/>
      <c r="BE418" s="3038"/>
      <c r="BF418" s="3038"/>
      <c r="BG418" s="3038"/>
      <c r="BH418" s="3038"/>
      <c r="BI418" s="3038"/>
      <c r="BJ418" s="3038"/>
      <c r="BK418" s="3038"/>
      <c r="BL418" s="3038"/>
      <c r="BM418" s="3038"/>
      <c r="BN418" s="3038"/>
      <c r="BO418" s="3038"/>
      <c r="BP418" s="3038"/>
      <c r="BQ418" s="3038"/>
      <c r="BR418" s="3038"/>
      <c r="BS418" s="3038"/>
      <c r="BT418" s="3038"/>
      <c r="BU418" s="3038"/>
    </row>
    <row r="419" spans="3:73">
      <c r="C419" s="3038"/>
      <c r="D419" s="3038"/>
      <c r="E419" s="3038"/>
      <c r="H419" s="3038"/>
      <c r="I419" s="3038"/>
      <c r="J419" s="3038"/>
      <c r="K419" s="3038"/>
      <c r="M419" s="3038"/>
      <c r="N419" s="3038"/>
      <c r="O419" s="3038"/>
      <c r="P419" s="3038"/>
      <c r="Q419" s="3038"/>
      <c r="R419" s="3038"/>
      <c r="S419" s="3038"/>
      <c r="T419" s="3038"/>
      <c r="W419" s="3038"/>
      <c r="X419" s="3038"/>
      <c r="Y419" s="3038"/>
      <c r="Z419" s="3038"/>
      <c r="AA419" s="3113"/>
      <c r="AB419" s="3038"/>
      <c r="AC419" s="3038"/>
      <c r="AD419" s="3038"/>
      <c r="AE419" s="3132"/>
      <c r="AF419" s="3038"/>
      <c r="AG419" s="3038"/>
      <c r="AH419" s="3038"/>
      <c r="AK419" s="3038"/>
      <c r="AL419" s="3038"/>
      <c r="AM419" s="3038"/>
      <c r="AN419" s="3038"/>
      <c r="AO419" s="3038"/>
      <c r="AP419" s="3038"/>
      <c r="AQ419" s="3038"/>
      <c r="AR419" s="3038"/>
      <c r="AS419" s="3038"/>
      <c r="AT419" s="3038"/>
      <c r="AU419" s="3038"/>
      <c r="AV419" s="3038"/>
      <c r="AW419" s="3038"/>
      <c r="AX419" s="3038"/>
      <c r="AY419" s="3038"/>
      <c r="AZ419" s="3038"/>
      <c r="BA419" s="3038"/>
      <c r="BB419" s="3038"/>
      <c r="BC419" s="3038"/>
      <c r="BD419" s="3038"/>
      <c r="BE419" s="3038"/>
      <c r="BF419" s="3038"/>
      <c r="BG419" s="3038"/>
      <c r="BH419" s="3038"/>
      <c r="BI419" s="3038"/>
      <c r="BJ419" s="3038"/>
      <c r="BK419" s="3038"/>
      <c r="BL419" s="3038"/>
      <c r="BM419" s="3038"/>
      <c r="BN419" s="3038"/>
      <c r="BO419" s="3038"/>
      <c r="BP419" s="3038"/>
      <c r="BQ419" s="3038"/>
      <c r="BR419" s="3038"/>
      <c r="BS419" s="3038"/>
      <c r="BT419" s="3038"/>
      <c r="BU419" s="3038"/>
    </row>
    <row r="420" spans="3:73">
      <c r="C420" s="3038"/>
      <c r="D420" s="3038"/>
      <c r="E420" s="3038"/>
      <c r="H420" s="3038"/>
      <c r="I420" s="3038"/>
      <c r="J420" s="3038"/>
      <c r="K420" s="3038"/>
      <c r="M420" s="3038"/>
      <c r="N420" s="3038"/>
      <c r="O420" s="3038"/>
      <c r="P420" s="3038"/>
      <c r="Q420" s="3038"/>
      <c r="R420" s="3038"/>
      <c r="S420" s="3038"/>
      <c r="T420" s="3038"/>
      <c r="W420" s="3038"/>
      <c r="X420" s="3038"/>
      <c r="Y420" s="3038"/>
      <c r="Z420" s="3038"/>
      <c r="AA420" s="3113"/>
      <c r="AB420" s="3038"/>
      <c r="AC420" s="3038"/>
      <c r="AD420" s="3038"/>
      <c r="AE420" s="3132"/>
      <c r="AF420" s="3038"/>
      <c r="AG420" s="3038"/>
      <c r="AH420" s="3038"/>
      <c r="AK420" s="3038"/>
      <c r="AL420" s="3038"/>
      <c r="AM420" s="3038"/>
      <c r="AN420" s="3038"/>
      <c r="AO420" s="3038"/>
      <c r="AP420" s="3038"/>
      <c r="AQ420" s="3038"/>
      <c r="AR420" s="3038"/>
      <c r="AS420" s="3038"/>
      <c r="AT420" s="3038"/>
      <c r="AU420" s="3038"/>
      <c r="AV420" s="3038"/>
      <c r="AW420" s="3038"/>
      <c r="AX420" s="3038"/>
      <c r="AY420" s="3038"/>
      <c r="AZ420" s="3038"/>
      <c r="BA420" s="3038"/>
      <c r="BB420" s="3038"/>
      <c r="BC420" s="3038"/>
      <c r="BD420" s="3038"/>
      <c r="BE420" s="3038"/>
      <c r="BF420" s="3038"/>
      <c r="BG420" s="3038"/>
      <c r="BH420" s="3038"/>
      <c r="BI420" s="3038"/>
      <c r="BJ420" s="3038"/>
      <c r="BK420" s="3038"/>
      <c r="BL420" s="3038"/>
      <c r="BM420" s="3038"/>
      <c r="BN420" s="3038"/>
      <c r="BO420" s="3038"/>
      <c r="BP420" s="3038"/>
      <c r="BQ420" s="3038"/>
      <c r="BR420" s="3038"/>
      <c r="BS420" s="3038"/>
      <c r="BT420" s="3038"/>
      <c r="BU420" s="3038"/>
    </row>
    <row r="421" spans="3:73">
      <c r="C421" s="3038"/>
      <c r="D421" s="3038"/>
      <c r="E421" s="3038"/>
      <c r="H421" s="3038"/>
      <c r="I421" s="3038"/>
      <c r="J421" s="3038"/>
      <c r="K421" s="3038"/>
      <c r="M421" s="3038"/>
      <c r="N421" s="3038"/>
      <c r="O421" s="3038"/>
      <c r="P421" s="3038"/>
      <c r="Q421" s="3038"/>
      <c r="R421" s="3038"/>
      <c r="S421" s="3038"/>
      <c r="T421" s="3038"/>
      <c r="W421" s="3038"/>
      <c r="X421" s="3038"/>
      <c r="Y421" s="3038"/>
      <c r="Z421" s="3038"/>
      <c r="AA421" s="3113"/>
      <c r="AB421" s="3038"/>
      <c r="AC421" s="3038"/>
      <c r="AD421" s="3038"/>
      <c r="AE421" s="3132"/>
      <c r="AF421" s="3038"/>
      <c r="AG421" s="3038"/>
      <c r="AH421" s="3038"/>
      <c r="AK421" s="3038"/>
      <c r="AL421" s="3038"/>
      <c r="AM421" s="3038"/>
      <c r="AN421" s="3038"/>
      <c r="AO421" s="3038"/>
      <c r="AP421" s="3038"/>
      <c r="AQ421" s="3038"/>
      <c r="AR421" s="3038"/>
      <c r="AS421" s="3038"/>
      <c r="AT421" s="3038"/>
      <c r="AU421" s="3038"/>
      <c r="AV421" s="3038"/>
      <c r="AW421" s="3038"/>
      <c r="AX421" s="3038"/>
      <c r="AY421" s="3038"/>
      <c r="AZ421" s="3038"/>
      <c r="BA421" s="3038"/>
      <c r="BB421" s="3038"/>
      <c r="BC421" s="3038"/>
      <c r="BD421" s="3038"/>
      <c r="BE421" s="3038"/>
      <c r="BF421" s="3038"/>
      <c r="BG421" s="3038"/>
      <c r="BH421" s="3038"/>
      <c r="BI421" s="3038"/>
      <c r="BJ421" s="3038"/>
      <c r="BK421" s="3038"/>
      <c r="BL421" s="3038"/>
      <c r="BM421" s="3038"/>
      <c r="BN421" s="3038"/>
      <c r="BO421" s="3038"/>
      <c r="BP421" s="3038"/>
      <c r="BQ421" s="3038"/>
      <c r="BR421" s="3038"/>
      <c r="BS421" s="3038"/>
      <c r="BT421" s="3038"/>
      <c r="BU421" s="3038"/>
    </row>
    <row r="422" spans="3:73">
      <c r="C422" s="3038"/>
      <c r="D422" s="3038"/>
      <c r="E422" s="3038"/>
      <c r="H422" s="3038"/>
      <c r="I422" s="3038"/>
      <c r="J422" s="3038"/>
      <c r="K422" s="3038"/>
      <c r="M422" s="3038"/>
      <c r="N422" s="3038"/>
      <c r="O422" s="3038"/>
      <c r="P422" s="3038"/>
      <c r="Q422" s="3038"/>
      <c r="R422" s="3038"/>
      <c r="S422" s="3038"/>
      <c r="T422" s="3038"/>
      <c r="W422" s="3038"/>
      <c r="X422" s="3038"/>
      <c r="Y422" s="3038"/>
      <c r="Z422" s="3038"/>
      <c r="AA422" s="3113"/>
      <c r="AB422" s="3038"/>
      <c r="AC422" s="3038"/>
      <c r="AD422" s="3038"/>
      <c r="AE422" s="3132"/>
      <c r="AF422" s="3038"/>
      <c r="AG422" s="3038"/>
      <c r="AH422" s="3038"/>
      <c r="AK422" s="3038"/>
      <c r="AL422" s="3038"/>
      <c r="AM422" s="3038"/>
      <c r="AN422" s="3038"/>
      <c r="AO422" s="3038"/>
      <c r="AP422" s="3038"/>
      <c r="AQ422" s="3038"/>
      <c r="AR422" s="3038"/>
      <c r="AS422" s="3038"/>
      <c r="AT422" s="3038"/>
      <c r="AU422" s="3038"/>
      <c r="AV422" s="3038"/>
      <c r="AW422" s="3038"/>
      <c r="AX422" s="3038"/>
      <c r="AY422" s="3038"/>
      <c r="AZ422" s="3038"/>
      <c r="BA422" s="3038"/>
      <c r="BB422" s="3038"/>
      <c r="BC422" s="3038"/>
      <c r="BD422" s="3038"/>
      <c r="BE422" s="3038"/>
      <c r="BF422" s="3038"/>
      <c r="BG422" s="3038"/>
      <c r="BH422" s="3038"/>
      <c r="BI422" s="3038"/>
      <c r="BJ422" s="3038"/>
      <c r="BK422" s="3038"/>
      <c r="BL422" s="3038"/>
      <c r="BM422" s="3038"/>
      <c r="BN422" s="3038"/>
      <c r="BO422" s="3038"/>
      <c r="BP422" s="3038"/>
      <c r="BQ422" s="3038"/>
      <c r="BR422" s="3038"/>
      <c r="BS422" s="3038"/>
      <c r="BT422" s="3038"/>
      <c r="BU422" s="3038"/>
    </row>
    <row r="423" spans="3:73">
      <c r="C423" s="3038"/>
      <c r="D423" s="3038"/>
      <c r="E423" s="3038"/>
      <c r="H423" s="3038"/>
      <c r="I423" s="3038"/>
      <c r="J423" s="3038"/>
      <c r="K423" s="3038"/>
      <c r="M423" s="3038"/>
      <c r="N423" s="3038"/>
      <c r="O423" s="3038"/>
      <c r="P423" s="3038"/>
      <c r="Q423" s="3038"/>
      <c r="R423" s="3038"/>
      <c r="S423" s="3038"/>
      <c r="T423" s="3038"/>
      <c r="W423" s="3038"/>
      <c r="X423" s="3038"/>
      <c r="Y423" s="3038"/>
      <c r="Z423" s="3038"/>
      <c r="AA423" s="3113"/>
      <c r="AB423" s="3038"/>
      <c r="AC423" s="3038"/>
      <c r="AD423" s="3038"/>
      <c r="AE423" s="3132"/>
      <c r="AF423" s="3038"/>
      <c r="AG423" s="3038"/>
      <c r="AH423" s="3038"/>
      <c r="AK423" s="3038"/>
      <c r="AL423" s="3038"/>
      <c r="AM423" s="3038"/>
      <c r="AN423" s="3038"/>
      <c r="AO423" s="3038"/>
      <c r="AP423" s="3038"/>
      <c r="AQ423" s="3038"/>
      <c r="AR423" s="3038"/>
      <c r="AS423" s="3038"/>
      <c r="AT423" s="3038"/>
      <c r="AU423" s="3038"/>
      <c r="AV423" s="3038"/>
      <c r="AW423" s="3038"/>
      <c r="AX423" s="3038"/>
      <c r="AY423" s="3038"/>
      <c r="AZ423" s="3038"/>
      <c r="BA423" s="3038"/>
      <c r="BB423" s="3038"/>
      <c r="BC423" s="3038"/>
      <c r="BD423" s="3038"/>
      <c r="BE423" s="3038"/>
      <c r="BF423" s="3038"/>
      <c r="BG423" s="3038"/>
      <c r="BH423" s="3038"/>
      <c r="BI423" s="3038"/>
      <c r="BJ423" s="3038"/>
      <c r="BK423" s="3038"/>
      <c r="BL423" s="3038"/>
      <c r="BM423" s="3038"/>
      <c r="BN423" s="3038"/>
      <c r="BO423" s="3038"/>
      <c r="BP423" s="3038"/>
      <c r="BQ423" s="3038"/>
      <c r="BR423" s="3038"/>
      <c r="BS423" s="3038"/>
      <c r="BT423" s="3038"/>
      <c r="BU423" s="3038"/>
    </row>
    <row r="424" spans="3:73">
      <c r="C424" s="3038"/>
      <c r="D424" s="3038"/>
      <c r="E424" s="3038"/>
      <c r="H424" s="3038"/>
      <c r="I424" s="3038"/>
      <c r="J424" s="3038"/>
      <c r="K424" s="3038"/>
      <c r="M424" s="3038"/>
      <c r="N424" s="3038"/>
      <c r="O424" s="3038"/>
      <c r="P424" s="3038"/>
      <c r="Q424" s="3038"/>
      <c r="R424" s="3038"/>
      <c r="S424" s="3038"/>
      <c r="T424" s="3038"/>
      <c r="W424" s="3038"/>
      <c r="X424" s="3038"/>
      <c r="Y424" s="3038"/>
      <c r="Z424" s="3038"/>
      <c r="AA424" s="3113"/>
      <c r="AB424" s="3038"/>
      <c r="AC424" s="3038"/>
      <c r="AD424" s="3038"/>
      <c r="AE424" s="3132"/>
      <c r="AF424" s="3038"/>
      <c r="AG424" s="3038"/>
      <c r="AH424" s="3038"/>
      <c r="AK424" s="3038"/>
      <c r="AL424" s="3038"/>
      <c r="AM424" s="3038"/>
      <c r="AN424" s="3038"/>
      <c r="AO424" s="3038"/>
      <c r="AP424" s="3038"/>
      <c r="AQ424" s="3038"/>
      <c r="AR424" s="3038"/>
      <c r="AS424" s="3038"/>
      <c r="AT424" s="3038"/>
      <c r="AU424" s="3038"/>
      <c r="AV424" s="3038"/>
      <c r="AW424" s="3038"/>
      <c r="AX424" s="3038"/>
      <c r="AY424" s="3038"/>
      <c r="AZ424" s="3038"/>
      <c r="BA424" s="3038"/>
      <c r="BB424" s="3038"/>
      <c r="BC424" s="3038"/>
      <c r="BD424" s="3038"/>
      <c r="BE424" s="3038"/>
      <c r="BF424" s="3038"/>
      <c r="BG424" s="3038"/>
      <c r="BH424" s="3038"/>
      <c r="BI424" s="3038"/>
      <c r="BJ424" s="3038"/>
      <c r="BK424" s="3038"/>
      <c r="BL424" s="3038"/>
      <c r="BM424" s="3038"/>
      <c r="BN424" s="3038"/>
      <c r="BO424" s="3038"/>
      <c r="BP424" s="3038"/>
      <c r="BQ424" s="3038"/>
      <c r="BR424" s="3038"/>
      <c r="BS424" s="3038"/>
      <c r="BT424" s="3038"/>
      <c r="BU424" s="3038"/>
    </row>
    <row r="425" spans="3:73">
      <c r="C425" s="3038"/>
      <c r="D425" s="3038"/>
      <c r="E425" s="3038"/>
      <c r="H425" s="3038"/>
      <c r="I425" s="3038"/>
      <c r="J425" s="3038"/>
      <c r="K425" s="3038"/>
      <c r="M425" s="3038"/>
      <c r="N425" s="3038"/>
      <c r="O425" s="3038"/>
      <c r="P425" s="3038"/>
      <c r="Q425" s="3038"/>
      <c r="R425" s="3038"/>
      <c r="S425" s="3038"/>
      <c r="T425" s="3038"/>
      <c r="W425" s="3038"/>
      <c r="X425" s="3038"/>
      <c r="Y425" s="3038"/>
      <c r="Z425" s="3038"/>
      <c r="AA425" s="3113"/>
      <c r="AB425" s="3038"/>
      <c r="AC425" s="3038"/>
      <c r="AD425" s="3038"/>
      <c r="AE425" s="3132"/>
      <c r="AF425" s="3038"/>
      <c r="AG425" s="3038"/>
      <c r="AH425" s="3038"/>
      <c r="AK425" s="3038"/>
      <c r="AL425" s="3038"/>
      <c r="AM425" s="3038"/>
      <c r="AN425" s="3038"/>
      <c r="AO425" s="3038"/>
      <c r="AP425" s="3038"/>
      <c r="AQ425" s="3038"/>
      <c r="AR425" s="3038"/>
      <c r="AS425" s="3038"/>
      <c r="AT425" s="3038"/>
      <c r="AU425" s="3038"/>
      <c r="AV425" s="3038"/>
      <c r="AW425" s="3038"/>
      <c r="AX425" s="3038"/>
      <c r="AY425" s="3038"/>
      <c r="AZ425" s="3038"/>
      <c r="BA425" s="3038"/>
      <c r="BB425" s="3038"/>
      <c r="BC425" s="3038"/>
      <c r="BD425" s="3038"/>
      <c r="BE425" s="3038"/>
      <c r="BF425" s="3038"/>
      <c r="BG425" s="3038"/>
      <c r="BH425" s="3038"/>
      <c r="BI425" s="3038"/>
      <c r="BJ425" s="3038"/>
      <c r="BK425" s="3038"/>
      <c r="BL425" s="3038"/>
      <c r="BM425" s="3038"/>
      <c r="BN425" s="3038"/>
      <c r="BO425" s="3038"/>
      <c r="BP425" s="3038"/>
      <c r="BQ425" s="3038"/>
      <c r="BR425" s="3038"/>
      <c r="BS425" s="3038"/>
      <c r="BT425" s="3038"/>
      <c r="BU425" s="3038"/>
    </row>
    <row r="426" spans="3:73">
      <c r="C426" s="3038"/>
      <c r="D426" s="3038"/>
      <c r="E426" s="3038"/>
      <c r="H426" s="3038"/>
      <c r="I426" s="3038"/>
      <c r="J426" s="3038"/>
      <c r="K426" s="3038"/>
      <c r="M426" s="3038"/>
      <c r="N426" s="3038"/>
      <c r="O426" s="3038"/>
      <c r="P426" s="3038"/>
      <c r="Q426" s="3038"/>
      <c r="R426" s="3038"/>
      <c r="S426" s="3038"/>
      <c r="T426" s="3038"/>
      <c r="W426" s="3038"/>
      <c r="X426" s="3038"/>
      <c r="Y426" s="3038"/>
      <c r="Z426" s="3038"/>
      <c r="AA426" s="3113"/>
      <c r="AB426" s="3038"/>
      <c r="AC426" s="3038"/>
      <c r="AD426" s="3038"/>
      <c r="AE426" s="3132"/>
      <c r="AF426" s="3038"/>
      <c r="AG426" s="3038"/>
      <c r="AH426" s="3038"/>
      <c r="AK426" s="3038"/>
      <c r="AL426" s="3038"/>
      <c r="AM426" s="3038"/>
      <c r="AN426" s="3038"/>
      <c r="AO426" s="3038"/>
      <c r="AP426" s="3038"/>
      <c r="AQ426" s="3038"/>
      <c r="AR426" s="3038"/>
      <c r="AS426" s="3038"/>
      <c r="AT426" s="3038"/>
      <c r="AU426" s="3038"/>
      <c r="AV426" s="3038"/>
      <c r="AW426" s="3038"/>
      <c r="AX426" s="3038"/>
      <c r="AY426" s="3038"/>
      <c r="AZ426" s="3038"/>
      <c r="BA426" s="3038"/>
      <c r="BB426" s="3038"/>
      <c r="BC426" s="3038"/>
      <c r="BD426" s="3038"/>
      <c r="BE426" s="3038"/>
      <c r="BF426" s="3038"/>
      <c r="BG426" s="3038"/>
      <c r="BH426" s="3038"/>
      <c r="BI426" s="3038"/>
      <c r="BJ426" s="3038"/>
      <c r="BK426" s="3038"/>
      <c r="BL426" s="3038"/>
      <c r="BM426" s="3038"/>
      <c r="BN426" s="3038"/>
      <c r="BO426" s="3038"/>
      <c r="BP426" s="3038"/>
      <c r="BQ426" s="3038"/>
      <c r="BR426" s="3038"/>
      <c r="BS426" s="3038"/>
      <c r="BT426" s="3038"/>
      <c r="BU426" s="3038"/>
    </row>
    <row r="427" spans="3:73">
      <c r="C427" s="3038"/>
      <c r="D427" s="3038"/>
      <c r="E427" s="3038"/>
      <c r="H427" s="3038"/>
      <c r="I427" s="3038"/>
      <c r="J427" s="3038"/>
      <c r="K427" s="3038"/>
      <c r="M427" s="3038"/>
      <c r="N427" s="3038"/>
      <c r="O427" s="3038"/>
      <c r="P427" s="3038"/>
      <c r="Q427" s="3038"/>
      <c r="R427" s="3038"/>
      <c r="S427" s="3038"/>
      <c r="T427" s="3038"/>
      <c r="W427" s="3038"/>
      <c r="X427" s="3038"/>
      <c r="Y427" s="3038"/>
      <c r="Z427" s="3038"/>
      <c r="AA427" s="3113"/>
      <c r="AB427" s="3038"/>
      <c r="AC427" s="3038"/>
      <c r="AD427" s="3038"/>
      <c r="AE427" s="3132"/>
      <c r="AF427" s="3038"/>
      <c r="AG427" s="3038"/>
      <c r="AH427" s="3038"/>
      <c r="AK427" s="3038"/>
      <c r="AL427" s="3038"/>
      <c r="AM427" s="3038"/>
      <c r="AN427" s="3038"/>
      <c r="AO427" s="3038"/>
      <c r="AP427" s="3038"/>
      <c r="AQ427" s="3038"/>
      <c r="AR427" s="3038"/>
      <c r="AS427" s="3038"/>
      <c r="AT427" s="3038"/>
      <c r="AU427" s="3038"/>
      <c r="AV427" s="3038"/>
      <c r="AW427" s="3038"/>
      <c r="AX427" s="3038"/>
      <c r="AY427" s="3038"/>
      <c r="AZ427" s="3038"/>
      <c r="BA427" s="3038"/>
      <c r="BB427" s="3038"/>
      <c r="BC427" s="3038"/>
      <c r="BD427" s="3038"/>
      <c r="BE427" s="3038"/>
      <c r="BF427" s="3038"/>
      <c r="BG427" s="3038"/>
      <c r="BH427" s="3038"/>
      <c r="BI427" s="3038"/>
      <c r="BJ427" s="3038"/>
      <c r="BK427" s="3038"/>
      <c r="BL427" s="3038"/>
      <c r="BM427" s="3038"/>
      <c r="BN427" s="3038"/>
      <c r="BO427" s="3038"/>
      <c r="BP427" s="3038"/>
      <c r="BQ427" s="3038"/>
      <c r="BR427" s="3038"/>
      <c r="BS427" s="3038"/>
      <c r="BT427" s="3038"/>
      <c r="BU427" s="3038"/>
    </row>
    <row r="428" spans="3:73">
      <c r="C428" s="3038"/>
      <c r="D428" s="3038"/>
      <c r="E428" s="3038"/>
      <c r="H428" s="3038"/>
      <c r="I428" s="3038"/>
      <c r="J428" s="3038"/>
      <c r="K428" s="3038"/>
      <c r="M428" s="3038"/>
      <c r="N428" s="3038"/>
      <c r="O428" s="3038"/>
      <c r="P428" s="3038"/>
      <c r="Q428" s="3038"/>
      <c r="R428" s="3038"/>
      <c r="S428" s="3038"/>
      <c r="T428" s="3038"/>
      <c r="W428" s="3038"/>
      <c r="X428" s="3038"/>
      <c r="Y428" s="3038"/>
      <c r="Z428" s="3038"/>
      <c r="AA428" s="3113"/>
      <c r="AB428" s="3038"/>
      <c r="AC428" s="3038"/>
      <c r="AD428" s="3038"/>
      <c r="AE428" s="3132"/>
      <c r="AF428" s="3038"/>
      <c r="AG428" s="3038"/>
      <c r="AH428" s="3038"/>
      <c r="AK428" s="3038"/>
      <c r="AL428" s="3038"/>
      <c r="AM428" s="3038"/>
      <c r="AN428" s="3038"/>
      <c r="AO428" s="3038"/>
      <c r="AP428" s="3038"/>
      <c r="AQ428" s="3038"/>
      <c r="AR428" s="3038"/>
      <c r="AS428" s="3038"/>
      <c r="AT428" s="3038"/>
      <c r="AU428" s="3038"/>
      <c r="AV428" s="3038"/>
      <c r="AW428" s="3038"/>
      <c r="AX428" s="3038"/>
      <c r="AY428" s="3038"/>
      <c r="AZ428" s="3038"/>
      <c r="BA428" s="3038"/>
      <c r="BB428" s="3038"/>
      <c r="BC428" s="3038"/>
      <c r="BD428" s="3038"/>
      <c r="BE428" s="3038"/>
      <c r="BF428" s="3038"/>
      <c r="BG428" s="3038"/>
      <c r="BH428" s="3038"/>
      <c r="BI428" s="3038"/>
      <c r="BJ428" s="3038"/>
      <c r="BK428" s="3038"/>
      <c r="BL428" s="3038"/>
      <c r="BM428" s="3038"/>
      <c r="BN428" s="3038"/>
      <c r="BO428" s="3038"/>
      <c r="BP428" s="3038"/>
      <c r="BQ428" s="3038"/>
      <c r="BR428" s="3038"/>
      <c r="BS428" s="3038"/>
      <c r="BT428" s="3038"/>
      <c r="BU428" s="3038"/>
    </row>
    <row r="429" spans="3:73">
      <c r="C429" s="3038"/>
      <c r="D429" s="3038"/>
      <c r="E429" s="3038"/>
      <c r="H429" s="3038"/>
      <c r="I429" s="3038"/>
      <c r="J429" s="3038"/>
      <c r="K429" s="3038"/>
      <c r="M429" s="3038"/>
      <c r="N429" s="3038"/>
      <c r="O429" s="3038"/>
      <c r="P429" s="3038"/>
      <c r="Q429" s="3038"/>
      <c r="R429" s="3038"/>
      <c r="S429" s="3038"/>
      <c r="T429" s="3038"/>
      <c r="W429" s="3038"/>
      <c r="X429" s="3038"/>
      <c r="Y429" s="3038"/>
      <c r="Z429" s="3038"/>
      <c r="AA429" s="3113"/>
      <c r="AB429" s="3038"/>
      <c r="AC429" s="3038"/>
      <c r="AD429" s="3038"/>
      <c r="AE429" s="3132"/>
      <c r="AF429" s="3038"/>
      <c r="AG429" s="3038"/>
      <c r="AH429" s="3038"/>
      <c r="AK429" s="3038"/>
      <c r="AL429" s="3038"/>
      <c r="AM429" s="3038"/>
      <c r="AN429" s="3038"/>
      <c r="AO429" s="3038"/>
      <c r="AP429" s="3038"/>
      <c r="AQ429" s="3038"/>
      <c r="AR429" s="3038"/>
      <c r="AS429" s="3038"/>
      <c r="AT429" s="3038"/>
      <c r="AU429" s="3038"/>
      <c r="AV429" s="3038"/>
      <c r="AW429" s="3038"/>
      <c r="AX429" s="3038"/>
      <c r="AY429" s="3038"/>
      <c r="AZ429" s="3038"/>
      <c r="BA429" s="3038"/>
      <c r="BB429" s="3038"/>
      <c r="BC429" s="3038"/>
      <c r="BD429" s="3038"/>
      <c r="BE429" s="3038"/>
      <c r="BF429" s="3038"/>
      <c r="BG429" s="3038"/>
      <c r="BH429" s="3038"/>
      <c r="BI429" s="3038"/>
      <c r="BJ429" s="3038"/>
      <c r="BK429" s="3038"/>
      <c r="BL429" s="3038"/>
      <c r="BM429" s="3038"/>
      <c r="BN429" s="3038"/>
      <c r="BO429" s="3038"/>
      <c r="BP429" s="3038"/>
      <c r="BQ429" s="3038"/>
      <c r="BR429" s="3038"/>
      <c r="BS429" s="3038"/>
      <c r="BT429" s="3038"/>
      <c r="BU429" s="3038"/>
    </row>
    <row r="430" spans="3:73">
      <c r="C430" s="3038"/>
      <c r="D430" s="3038"/>
      <c r="E430" s="3038"/>
      <c r="H430" s="3038"/>
      <c r="I430" s="3038"/>
      <c r="J430" s="3038"/>
      <c r="K430" s="3038"/>
      <c r="M430" s="3038"/>
      <c r="N430" s="3038"/>
      <c r="O430" s="3038"/>
      <c r="P430" s="3038"/>
      <c r="Q430" s="3038"/>
      <c r="R430" s="3038"/>
      <c r="S430" s="3038"/>
      <c r="T430" s="3038"/>
      <c r="W430" s="3038"/>
      <c r="X430" s="3038"/>
      <c r="Y430" s="3038"/>
      <c r="Z430" s="3038"/>
      <c r="AA430" s="3113"/>
      <c r="AB430" s="3038"/>
      <c r="AC430" s="3038"/>
      <c r="AD430" s="3038"/>
      <c r="AE430" s="3132"/>
      <c r="AF430" s="3038"/>
      <c r="AG430" s="3038"/>
      <c r="AH430" s="3038"/>
      <c r="AK430" s="3038"/>
      <c r="AL430" s="3038"/>
      <c r="AM430" s="3038"/>
      <c r="AN430" s="3038"/>
      <c r="AO430" s="3038"/>
      <c r="AP430" s="3038"/>
      <c r="AQ430" s="3038"/>
      <c r="AR430" s="3038"/>
      <c r="AS430" s="3038"/>
      <c r="AT430" s="3038"/>
      <c r="AU430" s="3038"/>
      <c r="AV430" s="3038"/>
      <c r="AW430" s="3038"/>
      <c r="AX430" s="3038"/>
      <c r="AY430" s="3038"/>
      <c r="AZ430" s="3038"/>
      <c r="BA430" s="3038"/>
      <c r="BB430" s="3038"/>
      <c r="BC430" s="3038"/>
      <c r="BD430" s="3038"/>
      <c r="BE430" s="3038"/>
      <c r="BF430" s="3038"/>
      <c r="BG430" s="3038"/>
      <c r="BH430" s="3038"/>
      <c r="BI430" s="3038"/>
      <c r="BJ430" s="3038"/>
      <c r="BK430" s="3038"/>
      <c r="BL430" s="3038"/>
      <c r="BM430" s="3038"/>
      <c r="BN430" s="3038"/>
      <c r="BO430" s="3038"/>
      <c r="BP430" s="3038"/>
      <c r="BQ430" s="3038"/>
      <c r="BR430" s="3038"/>
      <c r="BS430" s="3038"/>
      <c r="BT430" s="3038"/>
      <c r="BU430" s="3038"/>
    </row>
    <row r="431" spans="3:73">
      <c r="C431" s="3038"/>
      <c r="D431" s="3038"/>
      <c r="E431" s="3038"/>
      <c r="H431" s="3038"/>
      <c r="I431" s="3038"/>
      <c r="J431" s="3038"/>
      <c r="K431" s="3038"/>
      <c r="M431" s="3038"/>
      <c r="N431" s="3038"/>
      <c r="O431" s="3038"/>
      <c r="P431" s="3038"/>
      <c r="Q431" s="3038"/>
      <c r="R431" s="3038"/>
      <c r="S431" s="3038"/>
      <c r="T431" s="3038"/>
      <c r="W431" s="3038"/>
      <c r="X431" s="3038"/>
      <c r="Y431" s="3038"/>
      <c r="Z431" s="3038"/>
      <c r="AA431" s="3113"/>
      <c r="AB431" s="3038"/>
      <c r="AC431" s="3038"/>
      <c r="AD431" s="3038"/>
      <c r="AE431" s="3132"/>
      <c r="AF431" s="3038"/>
      <c r="AG431" s="3038"/>
      <c r="AH431" s="3038"/>
      <c r="AK431" s="3038"/>
      <c r="AL431" s="3038"/>
      <c r="AM431" s="3038"/>
      <c r="AN431" s="3038"/>
      <c r="AO431" s="3038"/>
      <c r="AP431" s="3038"/>
      <c r="AQ431" s="3038"/>
      <c r="AR431" s="3038"/>
      <c r="AS431" s="3038"/>
      <c r="AT431" s="3038"/>
      <c r="AU431" s="3038"/>
      <c r="AV431" s="3038"/>
      <c r="AW431" s="3038"/>
      <c r="AX431" s="3038"/>
      <c r="AY431" s="3038"/>
      <c r="AZ431" s="3038"/>
      <c r="BA431" s="3038"/>
      <c r="BB431" s="3038"/>
      <c r="BC431" s="3038"/>
      <c r="BD431" s="3038"/>
      <c r="BE431" s="3038"/>
      <c r="BF431" s="3038"/>
      <c r="BG431" s="3038"/>
      <c r="BH431" s="3038"/>
      <c r="BI431" s="3038"/>
      <c r="BJ431" s="3038"/>
      <c r="BK431" s="3038"/>
      <c r="BL431" s="3038"/>
      <c r="BM431" s="3038"/>
      <c r="BN431" s="3038"/>
      <c r="BO431" s="3038"/>
      <c r="BP431" s="3038"/>
      <c r="BQ431" s="3038"/>
      <c r="BR431" s="3038"/>
      <c r="BS431" s="3038"/>
      <c r="BT431" s="3038"/>
      <c r="BU431" s="3038"/>
    </row>
    <row r="432" spans="3:73">
      <c r="C432" s="3038"/>
      <c r="D432" s="3038"/>
      <c r="E432" s="3038"/>
      <c r="H432" s="3038"/>
      <c r="I432" s="3038"/>
      <c r="J432" s="3038"/>
      <c r="K432" s="3038"/>
      <c r="M432" s="3038"/>
      <c r="N432" s="3038"/>
      <c r="O432" s="3038"/>
      <c r="P432" s="3038"/>
      <c r="Q432" s="3038"/>
      <c r="R432" s="3038"/>
      <c r="S432" s="3038"/>
      <c r="T432" s="3038"/>
      <c r="W432" s="3038"/>
      <c r="X432" s="3038"/>
      <c r="Y432" s="3038"/>
      <c r="Z432" s="3038"/>
      <c r="AA432" s="3113"/>
      <c r="AB432" s="3038"/>
      <c r="AC432" s="3038"/>
      <c r="AD432" s="3038"/>
      <c r="AE432" s="3132"/>
      <c r="AF432" s="3038"/>
      <c r="AG432" s="3038"/>
      <c r="AH432" s="3038"/>
      <c r="AK432" s="3038"/>
      <c r="AL432" s="3038"/>
      <c r="AM432" s="3038"/>
      <c r="AN432" s="3038"/>
      <c r="AO432" s="3038"/>
      <c r="AP432" s="3038"/>
      <c r="AQ432" s="3038"/>
      <c r="AR432" s="3038"/>
      <c r="AS432" s="3038"/>
      <c r="AT432" s="3038"/>
      <c r="AU432" s="3038"/>
      <c r="AV432" s="3038"/>
      <c r="AW432" s="3038"/>
      <c r="AX432" s="3038"/>
      <c r="AY432" s="3038"/>
      <c r="AZ432" s="3038"/>
      <c r="BA432" s="3038"/>
      <c r="BB432" s="3038"/>
      <c r="BC432" s="3038"/>
      <c r="BD432" s="3038"/>
      <c r="BE432" s="3038"/>
      <c r="BF432" s="3038"/>
      <c r="BG432" s="3038"/>
      <c r="BH432" s="3038"/>
      <c r="BI432" s="3038"/>
      <c r="BJ432" s="3038"/>
      <c r="BK432" s="3038"/>
      <c r="BL432" s="3038"/>
      <c r="BM432" s="3038"/>
      <c r="BN432" s="3038"/>
      <c r="BO432" s="3038"/>
      <c r="BP432" s="3038"/>
      <c r="BQ432" s="3038"/>
      <c r="BR432" s="3038"/>
      <c r="BS432" s="3038"/>
      <c r="BT432" s="3038"/>
      <c r="BU432" s="3038"/>
    </row>
    <row r="433" spans="3:73">
      <c r="C433" s="3038"/>
      <c r="D433" s="3038"/>
      <c r="E433" s="3038"/>
      <c r="H433" s="3038"/>
      <c r="I433" s="3038"/>
      <c r="J433" s="3038"/>
      <c r="K433" s="3038"/>
      <c r="M433" s="3038"/>
      <c r="N433" s="3038"/>
      <c r="O433" s="3038"/>
      <c r="P433" s="3038"/>
      <c r="Q433" s="3038"/>
      <c r="R433" s="3038"/>
      <c r="S433" s="3038"/>
      <c r="T433" s="3038"/>
      <c r="W433" s="3038"/>
      <c r="X433" s="3038"/>
      <c r="Y433" s="3038"/>
      <c r="Z433" s="3038"/>
      <c r="AA433" s="3113"/>
      <c r="AB433" s="3038"/>
      <c r="AC433" s="3038"/>
      <c r="AD433" s="3038"/>
      <c r="AE433" s="3132"/>
      <c r="AF433" s="3038"/>
      <c r="AG433" s="3038"/>
      <c r="AH433" s="3038"/>
      <c r="AK433" s="3038"/>
      <c r="AL433" s="3038"/>
      <c r="AM433" s="3038"/>
      <c r="AN433" s="3038"/>
      <c r="AO433" s="3038"/>
      <c r="AP433" s="3038"/>
      <c r="AQ433" s="3038"/>
      <c r="AR433" s="3038"/>
      <c r="AS433" s="3038"/>
      <c r="AT433" s="3038"/>
      <c r="AU433" s="3038"/>
      <c r="AV433" s="3038"/>
      <c r="AW433" s="3038"/>
      <c r="AX433" s="3038"/>
      <c r="AY433" s="3038"/>
      <c r="AZ433" s="3038"/>
      <c r="BA433" s="3038"/>
      <c r="BB433" s="3038"/>
      <c r="BC433" s="3038"/>
      <c r="BD433" s="3038"/>
      <c r="BE433" s="3038"/>
      <c r="BF433" s="3038"/>
      <c r="BG433" s="3038"/>
      <c r="BH433" s="3038"/>
      <c r="BI433" s="3038"/>
      <c r="BJ433" s="3038"/>
      <c r="BK433" s="3038"/>
      <c r="BL433" s="3038"/>
      <c r="BM433" s="3038"/>
      <c r="BN433" s="3038"/>
      <c r="BO433" s="3038"/>
      <c r="BP433" s="3038"/>
      <c r="BQ433" s="3038"/>
      <c r="BR433" s="3038"/>
      <c r="BS433" s="3038"/>
      <c r="BT433" s="3038"/>
      <c r="BU433" s="3038"/>
    </row>
    <row r="434" spans="3:73">
      <c r="C434" s="3038"/>
      <c r="D434" s="3038"/>
      <c r="E434" s="3038"/>
      <c r="H434" s="3038"/>
      <c r="I434" s="3038"/>
      <c r="J434" s="3038"/>
      <c r="K434" s="3038"/>
      <c r="M434" s="3038"/>
      <c r="N434" s="3038"/>
      <c r="O434" s="3038"/>
      <c r="P434" s="3038"/>
      <c r="Q434" s="3038"/>
      <c r="R434" s="3038"/>
      <c r="S434" s="3038"/>
      <c r="T434" s="3038"/>
      <c r="W434" s="3038"/>
      <c r="X434" s="3038"/>
      <c r="Y434" s="3038"/>
      <c r="Z434" s="3038"/>
      <c r="AA434" s="3113"/>
      <c r="AB434" s="3038"/>
      <c r="AC434" s="3038"/>
      <c r="AD434" s="3038"/>
      <c r="AE434" s="3132"/>
      <c r="AF434" s="3038"/>
      <c r="AG434" s="3038"/>
      <c r="AH434" s="3038"/>
      <c r="AK434" s="3038"/>
      <c r="AL434" s="3038"/>
      <c r="AM434" s="3038"/>
      <c r="AN434" s="3038"/>
      <c r="AO434" s="3038"/>
      <c r="AP434" s="3038"/>
      <c r="AQ434" s="3038"/>
      <c r="AR434" s="3038"/>
      <c r="AS434" s="3038"/>
      <c r="AT434" s="3038"/>
      <c r="AU434" s="3038"/>
      <c r="AV434" s="3038"/>
      <c r="AW434" s="3038"/>
      <c r="AX434" s="3038"/>
      <c r="AY434" s="3038"/>
      <c r="AZ434" s="3038"/>
      <c r="BA434" s="3038"/>
      <c r="BB434" s="3038"/>
      <c r="BC434" s="3038"/>
      <c r="BD434" s="3038"/>
      <c r="BE434" s="3038"/>
      <c r="BF434" s="3038"/>
      <c r="BG434" s="3038"/>
      <c r="BH434" s="3038"/>
      <c r="BI434" s="3038"/>
      <c r="BJ434" s="3038"/>
      <c r="BK434" s="3038"/>
      <c r="BL434" s="3038"/>
      <c r="BM434" s="3038"/>
      <c r="BN434" s="3038"/>
      <c r="BO434" s="3038"/>
      <c r="BP434" s="3038"/>
      <c r="BQ434" s="3038"/>
      <c r="BR434" s="3038"/>
      <c r="BS434" s="3038"/>
      <c r="BT434" s="3038"/>
      <c r="BU434" s="3038"/>
    </row>
    <row r="435" spans="3:73">
      <c r="C435" s="3038"/>
      <c r="D435" s="3038"/>
      <c r="E435" s="3038"/>
      <c r="H435" s="3038"/>
      <c r="I435" s="3038"/>
      <c r="J435" s="3038"/>
      <c r="K435" s="3038"/>
      <c r="M435" s="3038"/>
      <c r="N435" s="3038"/>
      <c r="O435" s="3038"/>
      <c r="P435" s="3038"/>
      <c r="Q435" s="3038"/>
      <c r="R435" s="3038"/>
      <c r="S435" s="3038"/>
      <c r="T435" s="3038"/>
      <c r="W435" s="3038"/>
      <c r="X435" s="3038"/>
      <c r="Y435" s="3038"/>
      <c r="Z435" s="3038"/>
      <c r="AA435" s="3113"/>
      <c r="AB435" s="3038"/>
      <c r="AC435" s="3038"/>
      <c r="AD435" s="3038"/>
      <c r="AE435" s="3132"/>
      <c r="AF435" s="3038"/>
      <c r="AG435" s="3038"/>
      <c r="AH435" s="3038"/>
      <c r="AK435" s="3038"/>
      <c r="AL435" s="3038"/>
      <c r="AM435" s="3038"/>
      <c r="AN435" s="3038"/>
      <c r="AO435" s="3038"/>
      <c r="AP435" s="3038"/>
      <c r="AQ435" s="3038"/>
      <c r="AR435" s="3038"/>
      <c r="AS435" s="3038"/>
      <c r="AT435" s="3038"/>
      <c r="AU435" s="3038"/>
      <c r="AV435" s="3038"/>
      <c r="AW435" s="3038"/>
      <c r="AX435" s="3038"/>
      <c r="AY435" s="3038"/>
      <c r="AZ435" s="3038"/>
      <c r="BA435" s="3038"/>
      <c r="BB435" s="3038"/>
      <c r="BC435" s="3038"/>
      <c r="BD435" s="3038"/>
      <c r="BE435" s="3038"/>
      <c r="BF435" s="3038"/>
      <c r="BG435" s="3038"/>
      <c r="BH435" s="3038"/>
      <c r="BI435" s="3038"/>
      <c r="BJ435" s="3038"/>
      <c r="BK435" s="3038"/>
      <c r="BL435" s="3038"/>
      <c r="BM435" s="3038"/>
      <c r="BN435" s="3038"/>
      <c r="BO435" s="3038"/>
      <c r="BP435" s="3038"/>
      <c r="BQ435" s="3038"/>
      <c r="BR435" s="3038"/>
      <c r="BS435" s="3038"/>
      <c r="BT435" s="3038"/>
      <c r="BU435" s="3038"/>
    </row>
    <row r="436" spans="3:73">
      <c r="C436" s="3038"/>
      <c r="D436" s="3038"/>
      <c r="E436" s="3038"/>
      <c r="H436" s="3038"/>
      <c r="I436" s="3038"/>
      <c r="J436" s="3038"/>
      <c r="K436" s="3038"/>
      <c r="M436" s="3038"/>
      <c r="N436" s="3038"/>
      <c r="O436" s="3038"/>
      <c r="P436" s="3038"/>
      <c r="Q436" s="3038"/>
      <c r="R436" s="3038"/>
      <c r="S436" s="3038"/>
      <c r="T436" s="3038"/>
      <c r="W436" s="3038"/>
      <c r="X436" s="3038"/>
      <c r="Y436" s="3038"/>
      <c r="Z436" s="3038"/>
      <c r="AA436" s="3113"/>
      <c r="AB436" s="3038"/>
      <c r="AC436" s="3038"/>
      <c r="AD436" s="3038"/>
      <c r="AE436" s="3132"/>
      <c r="AF436" s="3038"/>
      <c r="AG436" s="3038"/>
      <c r="AH436" s="3038"/>
      <c r="AK436" s="3038"/>
      <c r="AL436" s="3038"/>
      <c r="AM436" s="3038"/>
      <c r="AN436" s="3038"/>
      <c r="AO436" s="3038"/>
      <c r="AP436" s="3038"/>
      <c r="AQ436" s="3038"/>
      <c r="AR436" s="3038"/>
      <c r="AS436" s="3038"/>
      <c r="AT436" s="3038"/>
      <c r="AU436" s="3038"/>
      <c r="AV436" s="3038"/>
      <c r="AW436" s="3038"/>
      <c r="AX436" s="3038"/>
      <c r="AY436" s="3038"/>
      <c r="AZ436" s="3038"/>
      <c r="BA436" s="3038"/>
      <c r="BB436" s="3038"/>
      <c r="BC436" s="3038"/>
      <c r="BD436" s="3038"/>
      <c r="BE436" s="3038"/>
      <c r="BF436" s="3038"/>
      <c r="BG436" s="3038"/>
      <c r="BH436" s="3038"/>
      <c r="BI436" s="3038"/>
      <c r="BJ436" s="3038"/>
      <c r="BK436" s="3038"/>
      <c r="BL436" s="3038"/>
      <c r="BM436" s="3038"/>
      <c r="BN436" s="3038"/>
      <c r="BO436" s="3038"/>
      <c r="BP436" s="3038"/>
      <c r="BQ436" s="3038"/>
      <c r="BR436" s="3038"/>
      <c r="BS436" s="3038"/>
      <c r="BT436" s="3038"/>
      <c r="BU436" s="3038"/>
    </row>
    <row r="437" spans="3:73">
      <c r="C437" s="3038"/>
      <c r="D437" s="3038"/>
      <c r="E437" s="3038"/>
      <c r="H437" s="3038"/>
      <c r="I437" s="3038"/>
      <c r="J437" s="3038"/>
      <c r="K437" s="3038"/>
      <c r="M437" s="3038"/>
      <c r="N437" s="3038"/>
      <c r="O437" s="3038"/>
      <c r="P437" s="3038"/>
      <c r="Q437" s="3038"/>
      <c r="R437" s="3038"/>
      <c r="S437" s="3038"/>
      <c r="T437" s="3038"/>
      <c r="W437" s="3038"/>
      <c r="X437" s="3038"/>
      <c r="Y437" s="3038"/>
      <c r="Z437" s="3038"/>
      <c r="AA437" s="3113"/>
      <c r="AB437" s="3038"/>
      <c r="AC437" s="3038"/>
      <c r="AD437" s="3038"/>
      <c r="AE437" s="3132"/>
      <c r="AF437" s="3038"/>
      <c r="AG437" s="3038"/>
      <c r="AH437" s="3038"/>
      <c r="AK437" s="3038"/>
      <c r="AL437" s="3038"/>
      <c r="AM437" s="3038"/>
      <c r="AN437" s="3038"/>
      <c r="AO437" s="3038"/>
      <c r="AP437" s="3038"/>
      <c r="AQ437" s="3038"/>
      <c r="AR437" s="3038"/>
      <c r="AS437" s="3038"/>
      <c r="AT437" s="3038"/>
      <c r="AU437" s="3038"/>
      <c r="AV437" s="3038"/>
      <c r="AW437" s="3038"/>
      <c r="AX437" s="3038"/>
      <c r="AY437" s="3038"/>
      <c r="AZ437" s="3038"/>
      <c r="BA437" s="3038"/>
      <c r="BB437" s="3038"/>
      <c r="BC437" s="3038"/>
      <c r="BD437" s="3038"/>
      <c r="BE437" s="3038"/>
      <c r="BF437" s="3038"/>
      <c r="BG437" s="3038"/>
      <c r="BH437" s="3038"/>
      <c r="BI437" s="3038"/>
      <c r="BJ437" s="3038"/>
      <c r="BK437" s="3038"/>
      <c r="BL437" s="3038"/>
      <c r="BM437" s="3038"/>
      <c r="BN437" s="3038"/>
      <c r="BO437" s="3038"/>
      <c r="BP437" s="3038"/>
      <c r="BQ437" s="3038"/>
      <c r="BR437" s="3038"/>
      <c r="BS437" s="3038"/>
      <c r="BT437" s="3038"/>
      <c r="BU437" s="3038"/>
    </row>
    <row r="438" spans="3:73">
      <c r="C438" s="3038"/>
      <c r="D438" s="3038"/>
      <c r="E438" s="3038"/>
      <c r="H438" s="3038"/>
      <c r="I438" s="3038"/>
      <c r="J438" s="3038"/>
      <c r="K438" s="3038"/>
      <c r="M438" s="3038"/>
      <c r="N438" s="3038"/>
      <c r="O438" s="3038"/>
      <c r="P438" s="3038"/>
      <c r="Q438" s="3038"/>
      <c r="R438" s="3038"/>
      <c r="S438" s="3038"/>
      <c r="T438" s="3038"/>
      <c r="W438" s="3038"/>
      <c r="X438" s="3038"/>
      <c r="Y438" s="3038"/>
      <c r="Z438" s="3038"/>
      <c r="AA438" s="3113"/>
      <c r="AB438" s="3038"/>
      <c r="AC438" s="3038"/>
      <c r="AD438" s="3038"/>
      <c r="AE438" s="3132"/>
      <c r="AF438" s="3038"/>
      <c r="AG438" s="3038"/>
      <c r="AH438" s="3038"/>
      <c r="AK438" s="3038"/>
      <c r="AL438" s="3038"/>
      <c r="AM438" s="3038"/>
      <c r="AN438" s="3038"/>
      <c r="AO438" s="3038"/>
      <c r="AP438" s="3038"/>
      <c r="AQ438" s="3038"/>
      <c r="AR438" s="3038"/>
      <c r="AS438" s="3038"/>
      <c r="AT438" s="3038"/>
      <c r="AU438" s="3038"/>
      <c r="AV438" s="3038"/>
      <c r="AW438" s="3038"/>
      <c r="AX438" s="3038"/>
      <c r="AY438" s="3038"/>
      <c r="AZ438" s="3038"/>
      <c r="BA438" s="3038"/>
      <c r="BB438" s="3038"/>
      <c r="BC438" s="3038"/>
      <c r="BD438" s="3038"/>
      <c r="BE438" s="3038"/>
      <c r="BF438" s="3038"/>
      <c r="BG438" s="3038"/>
      <c r="BH438" s="3038"/>
      <c r="BI438" s="3038"/>
      <c r="BJ438" s="3038"/>
      <c r="BK438" s="3038"/>
      <c r="BL438" s="3038"/>
      <c r="BM438" s="3038"/>
      <c r="BN438" s="3038"/>
      <c r="BO438" s="3038"/>
      <c r="BP438" s="3038"/>
      <c r="BQ438" s="3038"/>
      <c r="BR438" s="3038"/>
      <c r="BS438" s="3038"/>
      <c r="BT438" s="3038"/>
      <c r="BU438" s="3038"/>
    </row>
    <row r="439" spans="3:73">
      <c r="C439" s="3038"/>
      <c r="D439" s="3038"/>
      <c r="E439" s="3038"/>
      <c r="H439" s="3038"/>
      <c r="I439" s="3038"/>
      <c r="J439" s="3038"/>
      <c r="K439" s="3038"/>
      <c r="M439" s="3038"/>
      <c r="N439" s="3038"/>
      <c r="O439" s="3038"/>
      <c r="P439" s="3038"/>
      <c r="Q439" s="3038"/>
      <c r="R439" s="3038"/>
      <c r="S439" s="3038"/>
      <c r="T439" s="3038"/>
      <c r="W439" s="3038"/>
      <c r="X439" s="3038"/>
      <c r="Y439" s="3038"/>
      <c r="Z439" s="3038"/>
      <c r="AA439" s="3113"/>
      <c r="AB439" s="3038"/>
      <c r="AC439" s="3038"/>
      <c r="AD439" s="3038"/>
      <c r="AE439" s="3132"/>
      <c r="AF439" s="3038"/>
      <c r="AG439" s="3038"/>
      <c r="AH439" s="3038"/>
      <c r="AK439" s="3038"/>
      <c r="AL439" s="3038"/>
      <c r="AM439" s="3038"/>
      <c r="AN439" s="3038"/>
      <c r="AO439" s="3038"/>
      <c r="AP439" s="3038"/>
      <c r="AQ439" s="3038"/>
      <c r="AR439" s="3038"/>
      <c r="AS439" s="3038"/>
      <c r="AT439" s="3038"/>
      <c r="AU439" s="3038"/>
      <c r="AV439" s="3038"/>
      <c r="AW439" s="3038"/>
      <c r="AX439" s="3038"/>
      <c r="AY439" s="3038"/>
      <c r="AZ439" s="3038"/>
      <c r="BA439" s="3038"/>
      <c r="BB439" s="3038"/>
      <c r="BC439" s="3038"/>
      <c r="BD439" s="3038"/>
      <c r="BE439" s="3038"/>
      <c r="BF439" s="3038"/>
      <c r="BG439" s="3038"/>
      <c r="BH439" s="3038"/>
      <c r="BI439" s="3038"/>
      <c r="BJ439" s="3038"/>
      <c r="BK439" s="3038"/>
      <c r="BL439" s="3038"/>
      <c r="BM439" s="3038"/>
      <c r="BN439" s="3038"/>
      <c r="BO439" s="3038"/>
      <c r="BP439" s="3038"/>
      <c r="BQ439" s="3038"/>
      <c r="BR439" s="3038"/>
      <c r="BS439" s="3038"/>
      <c r="BT439" s="3038"/>
      <c r="BU439" s="3038"/>
    </row>
    <row r="440" spans="3:73">
      <c r="C440" s="3038"/>
      <c r="D440" s="3038"/>
      <c r="E440" s="3038"/>
      <c r="H440" s="3038"/>
      <c r="I440" s="3038"/>
      <c r="J440" s="3038"/>
      <c r="K440" s="3038"/>
      <c r="M440" s="3038"/>
      <c r="N440" s="3038"/>
      <c r="O440" s="3038"/>
      <c r="P440" s="3038"/>
      <c r="Q440" s="3038"/>
      <c r="R440" s="3038"/>
      <c r="S440" s="3038"/>
      <c r="T440" s="3038"/>
      <c r="W440" s="3038"/>
      <c r="X440" s="3038"/>
      <c r="Y440" s="3038"/>
      <c r="Z440" s="3038"/>
      <c r="AA440" s="3113"/>
      <c r="AB440" s="3038"/>
      <c r="AC440" s="3038"/>
      <c r="AD440" s="3038"/>
      <c r="AE440" s="3132"/>
      <c r="AF440" s="3038"/>
      <c r="AG440" s="3038"/>
      <c r="AH440" s="3038"/>
      <c r="AK440" s="3038"/>
      <c r="AL440" s="3038"/>
      <c r="AM440" s="3038"/>
      <c r="AN440" s="3038"/>
      <c r="AO440" s="3038"/>
      <c r="AP440" s="3038"/>
      <c r="AQ440" s="3038"/>
      <c r="AR440" s="3038"/>
      <c r="AS440" s="3038"/>
      <c r="AT440" s="3038"/>
      <c r="AU440" s="3038"/>
      <c r="AV440" s="3038"/>
      <c r="AW440" s="3038"/>
      <c r="AX440" s="3038"/>
      <c r="AY440" s="3038"/>
      <c r="AZ440" s="3038"/>
      <c r="BA440" s="3038"/>
      <c r="BB440" s="3038"/>
      <c r="BC440" s="3038"/>
      <c r="BD440" s="3038"/>
      <c r="BE440" s="3038"/>
      <c r="BF440" s="3038"/>
      <c r="BG440" s="3038"/>
      <c r="BH440" s="3038"/>
      <c r="BI440" s="3038"/>
      <c r="BJ440" s="3038"/>
      <c r="BK440" s="3038"/>
      <c r="BL440" s="3038"/>
      <c r="BM440" s="3038"/>
      <c r="BN440" s="3038"/>
      <c r="BO440" s="3038"/>
      <c r="BP440" s="3038"/>
      <c r="BQ440" s="3038"/>
      <c r="BR440" s="3038"/>
      <c r="BS440" s="3038"/>
      <c r="BT440" s="3038"/>
      <c r="BU440" s="3038"/>
    </row>
    <row r="441" spans="3:73">
      <c r="C441" s="3038"/>
      <c r="D441" s="3038"/>
      <c r="E441" s="3038"/>
      <c r="H441" s="3038"/>
      <c r="I441" s="3038"/>
      <c r="J441" s="3038"/>
      <c r="K441" s="3038"/>
      <c r="M441" s="3038"/>
      <c r="N441" s="3038"/>
      <c r="O441" s="3038"/>
      <c r="P441" s="3038"/>
      <c r="Q441" s="3038"/>
      <c r="R441" s="3038"/>
      <c r="S441" s="3038"/>
      <c r="T441" s="3038"/>
      <c r="W441" s="3038"/>
      <c r="X441" s="3038"/>
      <c r="Y441" s="3038"/>
      <c r="Z441" s="3038"/>
      <c r="AA441" s="3113"/>
      <c r="AB441" s="3038"/>
      <c r="AC441" s="3038"/>
      <c r="AD441" s="3038"/>
      <c r="AE441" s="3132"/>
      <c r="AF441" s="3038"/>
      <c r="AG441" s="3038"/>
      <c r="AH441" s="3038"/>
      <c r="AK441" s="3038"/>
      <c r="AL441" s="3038"/>
      <c r="AM441" s="3038"/>
      <c r="AN441" s="3038"/>
      <c r="AO441" s="3038"/>
      <c r="AP441" s="3038"/>
      <c r="AQ441" s="3038"/>
      <c r="AR441" s="3038"/>
      <c r="AS441" s="3038"/>
      <c r="AT441" s="3038"/>
      <c r="AU441" s="3038"/>
      <c r="AV441" s="3038"/>
      <c r="AW441" s="3038"/>
      <c r="AX441" s="3038"/>
      <c r="AY441" s="3038"/>
      <c r="AZ441" s="3038"/>
      <c r="BA441" s="3038"/>
      <c r="BB441" s="3038"/>
      <c r="BC441" s="3038"/>
      <c r="BD441" s="3038"/>
      <c r="BE441" s="3038"/>
      <c r="BF441" s="3038"/>
      <c r="BG441" s="3038"/>
      <c r="BH441" s="3038"/>
      <c r="BI441" s="3038"/>
      <c r="BJ441" s="3038"/>
      <c r="BK441" s="3038"/>
      <c r="BL441" s="3038"/>
      <c r="BM441" s="3038"/>
      <c r="BN441" s="3038"/>
      <c r="BO441" s="3038"/>
      <c r="BP441" s="3038"/>
      <c r="BQ441" s="3038"/>
      <c r="BR441" s="3038"/>
      <c r="BS441" s="3038"/>
      <c r="BT441" s="3038"/>
      <c r="BU441" s="3038"/>
    </row>
    <row r="442" spans="3:73">
      <c r="C442" s="3038"/>
      <c r="D442" s="3038"/>
      <c r="E442" s="3038"/>
      <c r="H442" s="3038"/>
      <c r="I442" s="3038"/>
      <c r="J442" s="3038"/>
      <c r="K442" s="3038"/>
      <c r="M442" s="3038"/>
      <c r="N442" s="3038"/>
      <c r="O442" s="3038"/>
      <c r="P442" s="3038"/>
      <c r="Q442" s="3038"/>
      <c r="R442" s="3038"/>
      <c r="S442" s="3038"/>
      <c r="T442" s="3038"/>
      <c r="W442" s="3038"/>
      <c r="X442" s="3038"/>
      <c r="Y442" s="3038"/>
      <c r="Z442" s="3038"/>
      <c r="AA442" s="3113"/>
      <c r="AB442" s="3038"/>
      <c r="AC442" s="3038"/>
      <c r="AD442" s="3038"/>
      <c r="AE442" s="3132"/>
      <c r="AF442" s="3038"/>
      <c r="AG442" s="3038"/>
      <c r="AH442" s="3038"/>
      <c r="AK442" s="3038"/>
      <c r="AL442" s="3038"/>
      <c r="AM442" s="3038"/>
      <c r="AN442" s="3038"/>
      <c r="AO442" s="3038"/>
      <c r="AP442" s="3038"/>
      <c r="AQ442" s="3038"/>
      <c r="AR442" s="3038"/>
      <c r="AS442" s="3038"/>
      <c r="AT442" s="3038"/>
      <c r="AU442" s="3038"/>
      <c r="AV442" s="3038"/>
      <c r="AW442" s="3038"/>
      <c r="AX442" s="3038"/>
      <c r="AY442" s="3038"/>
      <c r="AZ442" s="3038"/>
      <c r="BA442" s="3038"/>
      <c r="BB442" s="3038"/>
      <c r="BC442" s="3038"/>
      <c r="BD442" s="3038"/>
      <c r="BE442" s="3038"/>
      <c r="BF442" s="3038"/>
      <c r="BG442" s="3038"/>
      <c r="BH442" s="3038"/>
      <c r="BI442" s="3038"/>
      <c r="BJ442" s="3038"/>
      <c r="BK442" s="3038"/>
      <c r="BL442" s="3038"/>
      <c r="BM442" s="3038"/>
      <c r="BN442" s="3038"/>
      <c r="BO442" s="3038"/>
      <c r="BP442" s="3038"/>
      <c r="BQ442" s="3038"/>
      <c r="BR442" s="3038"/>
      <c r="BS442" s="3038"/>
      <c r="BT442" s="3038"/>
      <c r="BU442" s="3038"/>
    </row>
    <row r="443" spans="3:73">
      <c r="C443" s="3038"/>
      <c r="D443" s="3038"/>
      <c r="E443" s="3038"/>
      <c r="H443" s="3038"/>
      <c r="I443" s="3038"/>
      <c r="J443" s="3038"/>
      <c r="K443" s="3038"/>
      <c r="M443" s="3038"/>
      <c r="N443" s="3038"/>
      <c r="O443" s="3038"/>
      <c r="P443" s="3038"/>
      <c r="Q443" s="3038"/>
      <c r="R443" s="3038"/>
      <c r="S443" s="3038"/>
      <c r="T443" s="3038"/>
      <c r="W443" s="3038"/>
      <c r="X443" s="3038"/>
      <c r="Y443" s="3038"/>
      <c r="Z443" s="3038"/>
      <c r="AA443" s="3113"/>
      <c r="AB443" s="3038"/>
      <c r="AC443" s="3038"/>
      <c r="AD443" s="3038"/>
      <c r="AE443" s="3132"/>
      <c r="AF443" s="3038"/>
      <c r="AG443" s="3038"/>
      <c r="AH443" s="3038"/>
      <c r="AK443" s="3038"/>
      <c r="AL443" s="3038"/>
      <c r="AM443" s="3038"/>
      <c r="AN443" s="3038"/>
      <c r="AO443" s="3038"/>
      <c r="AP443" s="3038"/>
      <c r="AQ443" s="3038"/>
      <c r="AR443" s="3038"/>
      <c r="AS443" s="3038"/>
      <c r="AT443" s="3038"/>
      <c r="AU443" s="3038"/>
      <c r="AV443" s="3038"/>
      <c r="AW443" s="3038"/>
      <c r="AX443" s="3038"/>
      <c r="AY443" s="3038"/>
      <c r="AZ443" s="3038"/>
      <c r="BA443" s="3038"/>
      <c r="BB443" s="3038"/>
      <c r="BC443" s="3038"/>
      <c r="BD443" s="3038"/>
      <c r="BE443" s="3038"/>
      <c r="BF443" s="3038"/>
      <c r="BG443" s="3038"/>
      <c r="BH443" s="3038"/>
      <c r="BI443" s="3038"/>
      <c r="BJ443" s="3038"/>
      <c r="BK443" s="3038"/>
      <c r="BL443" s="3038"/>
      <c r="BM443" s="3038"/>
      <c r="BN443" s="3038"/>
      <c r="BO443" s="3038"/>
      <c r="BP443" s="3038"/>
      <c r="BQ443" s="3038"/>
      <c r="BR443" s="3038"/>
      <c r="BS443" s="3038"/>
      <c r="BT443" s="3038"/>
      <c r="BU443" s="3038"/>
    </row>
    <row r="444" spans="3:73">
      <c r="C444" s="3038"/>
      <c r="D444" s="3038"/>
      <c r="E444" s="3038"/>
      <c r="H444" s="3038"/>
      <c r="I444" s="3038"/>
      <c r="J444" s="3038"/>
      <c r="K444" s="3038"/>
      <c r="M444" s="3038"/>
      <c r="N444" s="3038"/>
      <c r="O444" s="3038"/>
      <c r="P444" s="3038"/>
      <c r="Q444" s="3038"/>
      <c r="R444" s="3038"/>
      <c r="S444" s="3038"/>
      <c r="T444" s="3038"/>
      <c r="W444" s="3038"/>
      <c r="X444" s="3038"/>
      <c r="Y444" s="3038"/>
      <c r="Z444" s="3038"/>
      <c r="AA444" s="3113"/>
      <c r="AB444" s="3038"/>
      <c r="AC444" s="3038"/>
      <c r="AD444" s="3038"/>
      <c r="AE444" s="3132"/>
      <c r="AF444" s="3038"/>
      <c r="AG444" s="3038"/>
      <c r="AH444" s="3038"/>
      <c r="AK444" s="3038"/>
      <c r="AL444" s="3038"/>
      <c r="AM444" s="3038"/>
      <c r="AN444" s="3038"/>
      <c r="AO444" s="3038"/>
      <c r="AP444" s="3038"/>
      <c r="AQ444" s="3038"/>
      <c r="AR444" s="3038"/>
      <c r="AS444" s="3038"/>
      <c r="AT444" s="3038"/>
      <c r="AU444" s="3038"/>
      <c r="AV444" s="3038"/>
      <c r="AW444" s="3038"/>
      <c r="AX444" s="3038"/>
      <c r="AY444" s="3038"/>
      <c r="AZ444" s="3038"/>
      <c r="BA444" s="3038"/>
      <c r="BB444" s="3038"/>
      <c r="BC444" s="3038"/>
      <c r="BD444" s="3038"/>
      <c r="BE444" s="3038"/>
      <c r="BF444" s="3038"/>
      <c r="BG444" s="3038"/>
      <c r="BH444" s="3038"/>
      <c r="BI444" s="3038"/>
      <c r="BJ444" s="3038"/>
      <c r="BK444" s="3038"/>
      <c r="BL444" s="3038"/>
      <c r="BM444" s="3038"/>
      <c r="BN444" s="3038"/>
      <c r="BO444" s="3038"/>
      <c r="BP444" s="3038"/>
      <c r="BQ444" s="3038"/>
      <c r="BR444" s="3038"/>
      <c r="BS444" s="3038"/>
      <c r="BT444" s="3038"/>
      <c r="BU444" s="3038"/>
    </row>
    <row r="445" spans="3:73">
      <c r="C445" s="3038"/>
      <c r="D445" s="3038"/>
      <c r="E445" s="3038"/>
      <c r="H445" s="3038"/>
      <c r="I445" s="3038"/>
      <c r="J445" s="3038"/>
      <c r="K445" s="3038"/>
      <c r="M445" s="3038"/>
      <c r="N445" s="3038"/>
      <c r="O445" s="3038"/>
      <c r="P445" s="3038"/>
      <c r="Q445" s="3038"/>
      <c r="R445" s="3038"/>
      <c r="S445" s="3038"/>
      <c r="T445" s="3038"/>
      <c r="W445" s="3038"/>
      <c r="X445" s="3038"/>
      <c r="Y445" s="3038"/>
      <c r="Z445" s="3038"/>
      <c r="AA445" s="3113"/>
      <c r="AB445" s="3038"/>
      <c r="AC445" s="3038"/>
      <c r="AD445" s="3038"/>
      <c r="AE445" s="3132"/>
      <c r="AF445" s="3038"/>
      <c r="AG445" s="3038"/>
      <c r="AH445" s="3038"/>
      <c r="AK445" s="3038"/>
      <c r="AL445" s="3038"/>
      <c r="AM445" s="3038"/>
      <c r="AN445" s="3038"/>
      <c r="AO445" s="3038"/>
      <c r="AP445" s="3038"/>
      <c r="AQ445" s="3038"/>
      <c r="AR445" s="3038"/>
      <c r="AS445" s="3038"/>
      <c r="AT445" s="3038"/>
      <c r="AU445" s="3038"/>
      <c r="AV445" s="3038"/>
      <c r="AW445" s="3038"/>
      <c r="AX445" s="3038"/>
      <c r="AY445" s="3038"/>
      <c r="AZ445" s="3038"/>
      <c r="BA445" s="3038"/>
      <c r="BB445" s="3038"/>
      <c r="BC445" s="3038"/>
      <c r="BD445" s="3038"/>
      <c r="BE445" s="3038"/>
      <c r="BF445" s="3038"/>
      <c r="BG445" s="3038"/>
      <c r="BH445" s="3038"/>
      <c r="BI445" s="3038"/>
      <c r="BJ445" s="3038"/>
      <c r="BK445" s="3038"/>
      <c r="BL445" s="3038"/>
      <c r="BM445" s="3038"/>
      <c r="BN445" s="3038"/>
      <c r="BO445" s="3038"/>
      <c r="BP445" s="3038"/>
      <c r="BQ445" s="3038"/>
      <c r="BR445" s="3038"/>
      <c r="BS445" s="3038"/>
      <c r="BT445" s="3038"/>
      <c r="BU445" s="3038"/>
    </row>
    <row r="446" spans="3:73">
      <c r="C446" s="3038"/>
      <c r="D446" s="3038"/>
      <c r="E446" s="3038"/>
      <c r="H446" s="3038"/>
      <c r="I446" s="3038"/>
      <c r="J446" s="3038"/>
      <c r="K446" s="3038"/>
      <c r="M446" s="3038"/>
      <c r="N446" s="3038"/>
      <c r="O446" s="3038"/>
      <c r="P446" s="3038"/>
      <c r="Q446" s="3038"/>
      <c r="R446" s="3038"/>
      <c r="S446" s="3038"/>
      <c r="T446" s="3038"/>
      <c r="W446" s="3038"/>
      <c r="X446" s="3038"/>
      <c r="Y446" s="3038"/>
      <c r="Z446" s="3038"/>
      <c r="AA446" s="3113"/>
      <c r="AB446" s="3038"/>
      <c r="AC446" s="3038"/>
      <c r="AD446" s="3038"/>
      <c r="AE446" s="3132"/>
      <c r="AF446" s="3038"/>
      <c r="AG446" s="3038"/>
      <c r="AH446" s="3038"/>
      <c r="AK446" s="3038"/>
      <c r="AL446" s="3038"/>
      <c r="AM446" s="3038"/>
      <c r="AN446" s="3038"/>
      <c r="AO446" s="3038"/>
      <c r="AP446" s="3038"/>
      <c r="AQ446" s="3038"/>
      <c r="AR446" s="3038"/>
      <c r="AS446" s="3038"/>
      <c r="AT446" s="3038"/>
      <c r="AU446" s="3038"/>
      <c r="AV446" s="3038"/>
      <c r="AW446" s="3038"/>
      <c r="AX446" s="3038"/>
      <c r="AY446" s="3038"/>
      <c r="AZ446" s="3038"/>
      <c r="BA446" s="3038"/>
      <c r="BB446" s="3038"/>
      <c r="BC446" s="3038"/>
      <c r="BD446" s="3038"/>
      <c r="BE446" s="3038"/>
      <c r="BF446" s="3038"/>
      <c r="BG446" s="3038"/>
      <c r="BH446" s="3038"/>
      <c r="BI446" s="3038"/>
      <c r="BJ446" s="3038"/>
      <c r="BK446" s="3038"/>
      <c r="BL446" s="3038"/>
      <c r="BM446" s="3038"/>
      <c r="BN446" s="3038"/>
      <c r="BO446" s="3038"/>
      <c r="BP446" s="3038"/>
      <c r="BQ446" s="3038"/>
      <c r="BR446" s="3038"/>
      <c r="BS446" s="3038"/>
      <c r="BT446" s="3038"/>
      <c r="BU446" s="3038"/>
    </row>
    <row r="447" spans="3:73">
      <c r="C447" s="3038"/>
      <c r="D447" s="3038"/>
      <c r="E447" s="3038"/>
      <c r="H447" s="3038"/>
      <c r="I447" s="3038"/>
      <c r="J447" s="3038"/>
      <c r="K447" s="3038"/>
      <c r="M447" s="3038"/>
      <c r="N447" s="3038"/>
      <c r="O447" s="3038"/>
      <c r="P447" s="3038"/>
      <c r="Q447" s="3038"/>
      <c r="R447" s="3038"/>
      <c r="S447" s="3038"/>
      <c r="T447" s="3038"/>
      <c r="W447" s="3038"/>
      <c r="X447" s="3038"/>
      <c r="Y447" s="3038"/>
      <c r="Z447" s="3038"/>
      <c r="AA447" s="3113"/>
      <c r="AB447" s="3038"/>
      <c r="AC447" s="3038"/>
      <c r="AD447" s="3038"/>
      <c r="AE447" s="3132"/>
      <c r="AF447" s="3038"/>
      <c r="AG447" s="3038"/>
      <c r="AH447" s="3038"/>
      <c r="AK447" s="3038"/>
      <c r="AL447" s="3038"/>
      <c r="AM447" s="3038"/>
      <c r="AN447" s="3038"/>
      <c r="AO447" s="3038"/>
      <c r="AP447" s="3038"/>
      <c r="AQ447" s="3038"/>
      <c r="AR447" s="3038"/>
      <c r="AS447" s="3038"/>
      <c r="AT447" s="3038"/>
      <c r="AU447" s="3038"/>
      <c r="AV447" s="3038"/>
      <c r="AW447" s="3038"/>
      <c r="AX447" s="3038"/>
      <c r="AY447" s="3038"/>
      <c r="AZ447" s="3038"/>
      <c r="BA447" s="3038"/>
      <c r="BB447" s="3038"/>
      <c r="BC447" s="3038"/>
      <c r="BD447" s="3038"/>
      <c r="BE447" s="3038"/>
      <c r="BF447" s="3038"/>
      <c r="BG447" s="3038"/>
      <c r="BH447" s="3038"/>
      <c r="BI447" s="3038"/>
      <c r="BJ447" s="3038"/>
      <c r="BK447" s="3038"/>
      <c r="BL447" s="3038"/>
      <c r="BM447" s="3038"/>
      <c r="BN447" s="3038"/>
      <c r="BO447" s="3038"/>
      <c r="BP447" s="3038"/>
      <c r="BQ447" s="3038"/>
      <c r="BR447" s="3038"/>
      <c r="BS447" s="3038"/>
      <c r="BT447" s="3038"/>
      <c r="BU447" s="3038"/>
    </row>
    <row r="448" spans="3:73">
      <c r="C448" s="3038"/>
      <c r="D448" s="3038"/>
      <c r="E448" s="3038"/>
      <c r="H448" s="3038"/>
      <c r="I448" s="3038"/>
      <c r="J448" s="3038"/>
      <c r="K448" s="3038"/>
      <c r="M448" s="3038"/>
      <c r="N448" s="3038"/>
      <c r="O448" s="3038"/>
      <c r="P448" s="3038"/>
      <c r="Q448" s="3038"/>
      <c r="R448" s="3038"/>
      <c r="S448" s="3038"/>
      <c r="T448" s="3038"/>
      <c r="W448" s="3038"/>
      <c r="X448" s="3038"/>
      <c r="Y448" s="3038"/>
      <c r="Z448" s="3038"/>
      <c r="AA448" s="3113"/>
      <c r="AB448" s="3038"/>
      <c r="AC448" s="3038"/>
      <c r="AD448" s="3038"/>
      <c r="AE448" s="3132"/>
      <c r="AF448" s="3038"/>
      <c r="AG448" s="3038"/>
      <c r="AH448" s="3038"/>
      <c r="AK448" s="3038"/>
      <c r="AL448" s="3038"/>
      <c r="AM448" s="3038"/>
      <c r="AN448" s="3038"/>
      <c r="AO448" s="3038"/>
      <c r="AP448" s="3038"/>
      <c r="AQ448" s="3038"/>
      <c r="AR448" s="3038"/>
      <c r="AS448" s="3038"/>
      <c r="AT448" s="3038"/>
      <c r="AU448" s="3038"/>
      <c r="AV448" s="3038"/>
      <c r="AW448" s="3038"/>
      <c r="AX448" s="3038"/>
      <c r="AY448" s="3038"/>
      <c r="AZ448" s="3038"/>
      <c r="BA448" s="3038"/>
      <c r="BB448" s="3038"/>
      <c r="BC448" s="3038"/>
      <c r="BD448" s="3038"/>
      <c r="BE448" s="3038"/>
      <c r="BF448" s="3038"/>
      <c r="BG448" s="3038"/>
      <c r="BH448" s="3038"/>
      <c r="BI448" s="3038"/>
      <c r="BJ448" s="3038"/>
      <c r="BK448" s="3038"/>
      <c r="BL448" s="3038"/>
      <c r="BM448" s="3038"/>
      <c r="BN448" s="3038"/>
      <c r="BO448" s="3038"/>
      <c r="BP448" s="3038"/>
      <c r="BQ448" s="3038"/>
      <c r="BR448" s="3038"/>
      <c r="BS448" s="3038"/>
      <c r="BT448" s="3038"/>
      <c r="BU448" s="3038"/>
    </row>
    <row r="449" spans="3:73">
      <c r="C449" s="3038"/>
      <c r="D449" s="3038"/>
      <c r="E449" s="3038"/>
      <c r="H449" s="3038"/>
      <c r="I449" s="3038"/>
      <c r="J449" s="3038"/>
      <c r="K449" s="3038"/>
      <c r="M449" s="3038"/>
      <c r="N449" s="3038"/>
      <c r="O449" s="3038"/>
      <c r="P449" s="3038"/>
      <c r="Q449" s="3038"/>
      <c r="R449" s="3038"/>
      <c r="S449" s="3038"/>
      <c r="T449" s="3038"/>
      <c r="W449" s="3038"/>
      <c r="X449" s="3038"/>
      <c r="Y449" s="3038"/>
      <c r="Z449" s="3038"/>
      <c r="AA449" s="3113"/>
      <c r="AB449" s="3038"/>
      <c r="AC449" s="3038"/>
      <c r="AD449" s="3038"/>
      <c r="AE449" s="3132"/>
      <c r="AF449" s="3038"/>
      <c r="AG449" s="3038"/>
      <c r="AH449" s="3038"/>
      <c r="AK449" s="3038"/>
      <c r="AL449" s="3038"/>
      <c r="AM449" s="3038"/>
      <c r="AN449" s="3038"/>
      <c r="AO449" s="3038"/>
      <c r="AP449" s="3038"/>
      <c r="AQ449" s="3038"/>
      <c r="AR449" s="3038"/>
      <c r="AS449" s="3038"/>
      <c r="AT449" s="3038"/>
      <c r="AU449" s="3038"/>
      <c r="AV449" s="3038"/>
      <c r="AW449" s="3038"/>
      <c r="AX449" s="3038"/>
      <c r="AY449" s="3038"/>
      <c r="AZ449" s="3038"/>
      <c r="BA449" s="3038"/>
      <c r="BB449" s="3038"/>
      <c r="BC449" s="3038"/>
      <c r="BD449" s="3038"/>
      <c r="BE449" s="3038"/>
      <c r="BF449" s="3038"/>
      <c r="BG449" s="3038"/>
      <c r="BH449" s="3038"/>
      <c r="BI449" s="3038"/>
      <c r="BJ449" s="3038"/>
      <c r="BK449" s="3038"/>
      <c r="BL449" s="3038"/>
      <c r="BM449" s="3038"/>
      <c r="BN449" s="3038"/>
      <c r="BO449" s="3038"/>
      <c r="BP449" s="3038"/>
      <c r="BQ449" s="3038"/>
      <c r="BR449" s="3038"/>
      <c r="BS449" s="3038"/>
      <c r="BT449" s="3038"/>
      <c r="BU449" s="3038"/>
    </row>
    <row r="450" spans="3:73">
      <c r="C450" s="3038"/>
      <c r="D450" s="3038"/>
      <c r="E450" s="3038"/>
      <c r="H450" s="3038"/>
      <c r="I450" s="3038"/>
      <c r="J450" s="3038"/>
      <c r="K450" s="3038"/>
      <c r="M450" s="3038"/>
      <c r="N450" s="3038"/>
      <c r="O450" s="3038"/>
      <c r="P450" s="3038"/>
      <c r="Q450" s="3038"/>
      <c r="R450" s="3038"/>
      <c r="S450" s="3038"/>
      <c r="T450" s="3038"/>
      <c r="W450" s="3038"/>
      <c r="X450" s="3038"/>
      <c r="Y450" s="3038"/>
      <c r="Z450" s="3038"/>
      <c r="AA450" s="3113"/>
      <c r="AB450" s="3038"/>
      <c r="AC450" s="3038"/>
      <c r="AD450" s="3038"/>
      <c r="AE450" s="3132"/>
      <c r="AF450" s="3038"/>
      <c r="AG450" s="3038"/>
      <c r="AH450" s="3038"/>
      <c r="AK450" s="3038"/>
      <c r="AL450" s="3038"/>
      <c r="AM450" s="3038"/>
      <c r="AN450" s="3038"/>
      <c r="AO450" s="3038"/>
      <c r="AP450" s="3038"/>
      <c r="AQ450" s="3038"/>
      <c r="AR450" s="3038"/>
      <c r="AS450" s="3038"/>
      <c r="AT450" s="3038"/>
      <c r="AU450" s="3038"/>
      <c r="AV450" s="3038"/>
      <c r="AW450" s="3038"/>
      <c r="AX450" s="3038"/>
      <c r="AY450" s="3038"/>
      <c r="AZ450" s="3038"/>
      <c r="BA450" s="3038"/>
      <c r="BB450" s="3038"/>
      <c r="BC450" s="3038"/>
      <c r="BD450" s="3038"/>
      <c r="BE450" s="3038"/>
      <c r="BF450" s="3038"/>
      <c r="BG450" s="3038"/>
      <c r="BH450" s="3038"/>
      <c r="BI450" s="3038"/>
      <c r="BJ450" s="3038"/>
      <c r="BK450" s="3038"/>
      <c r="BL450" s="3038"/>
      <c r="BM450" s="3038"/>
      <c r="BN450" s="3038"/>
      <c r="BO450" s="3038"/>
      <c r="BP450" s="3038"/>
      <c r="BQ450" s="3038"/>
      <c r="BR450" s="3038"/>
      <c r="BS450" s="3038"/>
      <c r="BT450" s="3038"/>
      <c r="BU450" s="3038"/>
    </row>
    <row r="451" spans="3:73">
      <c r="C451" s="3038"/>
      <c r="D451" s="3038"/>
      <c r="E451" s="3038"/>
      <c r="H451" s="3038"/>
      <c r="I451" s="3038"/>
      <c r="J451" s="3038"/>
      <c r="K451" s="3038"/>
      <c r="M451" s="3038"/>
      <c r="N451" s="3038"/>
      <c r="O451" s="3038"/>
      <c r="P451" s="3038"/>
      <c r="Q451" s="3038"/>
      <c r="R451" s="3038"/>
      <c r="S451" s="3038"/>
      <c r="T451" s="3038"/>
      <c r="W451" s="3038"/>
      <c r="X451" s="3038"/>
      <c r="Y451" s="3038"/>
      <c r="Z451" s="3038"/>
      <c r="AA451" s="3113"/>
      <c r="AB451" s="3038"/>
      <c r="AC451" s="3038"/>
      <c r="AD451" s="3038"/>
      <c r="AE451" s="3132"/>
      <c r="AF451" s="3038"/>
      <c r="AG451" s="3038"/>
      <c r="AH451" s="3038"/>
      <c r="AK451" s="3038"/>
      <c r="AL451" s="3038"/>
      <c r="AM451" s="3038"/>
      <c r="AN451" s="3038"/>
      <c r="AO451" s="3038"/>
      <c r="AP451" s="3038"/>
      <c r="AQ451" s="3038"/>
      <c r="AR451" s="3038"/>
      <c r="AS451" s="3038"/>
      <c r="AT451" s="3038"/>
      <c r="AU451" s="3038"/>
      <c r="AV451" s="3038"/>
      <c r="AW451" s="3038"/>
      <c r="AX451" s="3038"/>
      <c r="AY451" s="3038"/>
      <c r="AZ451" s="3038"/>
      <c r="BA451" s="3038"/>
      <c r="BB451" s="3038"/>
      <c r="BC451" s="3038"/>
      <c r="BD451" s="3038"/>
      <c r="BE451" s="3038"/>
      <c r="BF451" s="3038"/>
      <c r="BG451" s="3038"/>
      <c r="BH451" s="3038"/>
      <c r="BI451" s="3038"/>
      <c r="BJ451" s="3038"/>
      <c r="BK451" s="3038"/>
      <c r="BL451" s="3038"/>
      <c r="BM451" s="3038"/>
      <c r="BN451" s="3038"/>
      <c r="BO451" s="3038"/>
      <c r="BP451" s="3038"/>
      <c r="BQ451" s="3038"/>
      <c r="BR451" s="3038"/>
      <c r="BS451" s="3038"/>
      <c r="BT451" s="3038"/>
      <c r="BU451" s="3038"/>
    </row>
    <row r="452" spans="3:73">
      <c r="C452" s="3038"/>
      <c r="D452" s="3038"/>
      <c r="E452" s="3038"/>
      <c r="H452" s="3038"/>
      <c r="I452" s="3038"/>
      <c r="J452" s="3038"/>
      <c r="K452" s="3038"/>
      <c r="M452" s="3038"/>
      <c r="N452" s="3038"/>
      <c r="O452" s="3038"/>
      <c r="P452" s="3038"/>
      <c r="Q452" s="3038"/>
      <c r="R452" s="3038"/>
      <c r="S452" s="3038"/>
      <c r="T452" s="3038"/>
      <c r="W452" s="3038"/>
      <c r="X452" s="3038"/>
      <c r="Y452" s="3038"/>
      <c r="Z452" s="3038"/>
      <c r="AA452" s="3113"/>
      <c r="AB452" s="3038"/>
      <c r="AC452" s="3038"/>
      <c r="AD452" s="3038"/>
      <c r="AE452" s="3132"/>
      <c r="AF452" s="3038"/>
      <c r="AG452" s="3038"/>
      <c r="AH452" s="3038"/>
      <c r="AK452" s="3038"/>
      <c r="AL452" s="3038"/>
      <c r="AM452" s="3038"/>
      <c r="AN452" s="3038"/>
      <c r="AO452" s="3038"/>
      <c r="AP452" s="3038"/>
      <c r="AQ452" s="3038"/>
      <c r="AR452" s="3038"/>
      <c r="AS452" s="3038"/>
      <c r="AT452" s="3038"/>
      <c r="AU452" s="3038"/>
      <c r="AV452" s="3038"/>
      <c r="AW452" s="3038"/>
      <c r="AX452" s="3038"/>
      <c r="AY452" s="3038"/>
      <c r="AZ452" s="3038"/>
      <c r="BA452" s="3038"/>
      <c r="BB452" s="3038"/>
      <c r="BC452" s="3038"/>
      <c r="BD452" s="3038"/>
      <c r="BE452" s="3038"/>
      <c r="BF452" s="3038"/>
      <c r="BG452" s="3038"/>
      <c r="BH452" s="3038"/>
      <c r="BI452" s="3038"/>
      <c r="BJ452" s="3038"/>
      <c r="BK452" s="3038"/>
      <c r="BL452" s="3038"/>
      <c r="BM452" s="3038"/>
      <c r="BN452" s="3038"/>
      <c r="BO452" s="3038"/>
      <c r="BP452" s="3038"/>
      <c r="BQ452" s="3038"/>
      <c r="BR452" s="3038"/>
      <c r="BS452" s="3038"/>
      <c r="BT452" s="3038"/>
      <c r="BU452" s="3038"/>
    </row>
    <row r="453" spans="3:73">
      <c r="C453" s="3038"/>
      <c r="D453" s="3038"/>
      <c r="E453" s="3038"/>
      <c r="H453" s="3038"/>
      <c r="I453" s="3038"/>
      <c r="J453" s="3038"/>
      <c r="K453" s="3038"/>
      <c r="M453" s="3038"/>
      <c r="N453" s="3038"/>
      <c r="O453" s="3038"/>
      <c r="P453" s="3038"/>
      <c r="Q453" s="3038"/>
      <c r="R453" s="3038"/>
      <c r="S453" s="3038"/>
      <c r="T453" s="3038"/>
      <c r="W453" s="3038"/>
      <c r="X453" s="3038"/>
      <c r="Y453" s="3038"/>
      <c r="Z453" s="3038"/>
      <c r="AA453" s="3113"/>
      <c r="AB453" s="3038"/>
      <c r="AC453" s="3038"/>
      <c r="AD453" s="3038"/>
      <c r="AE453" s="3132"/>
      <c r="AF453" s="3038"/>
      <c r="AG453" s="3038"/>
      <c r="AH453" s="3038"/>
      <c r="AK453" s="3038"/>
      <c r="AL453" s="3038"/>
      <c r="AM453" s="3038"/>
      <c r="AN453" s="3038"/>
      <c r="AO453" s="3038"/>
      <c r="AP453" s="3038"/>
      <c r="AQ453" s="3038"/>
      <c r="AR453" s="3038"/>
      <c r="AS453" s="3038"/>
      <c r="AT453" s="3038"/>
      <c r="AU453" s="3038"/>
      <c r="AV453" s="3038"/>
      <c r="AW453" s="3038"/>
      <c r="AX453" s="3038"/>
      <c r="AY453" s="3038"/>
      <c r="AZ453" s="3038"/>
      <c r="BA453" s="3038"/>
      <c r="BB453" s="3038"/>
      <c r="BC453" s="3038"/>
      <c r="BD453" s="3038"/>
      <c r="BE453" s="3038"/>
      <c r="BF453" s="3038"/>
      <c r="BG453" s="3038"/>
      <c r="BH453" s="3038"/>
      <c r="BI453" s="3038"/>
      <c r="BJ453" s="3038"/>
      <c r="BK453" s="3038"/>
      <c r="BL453" s="3038"/>
      <c r="BM453" s="3038"/>
      <c r="BN453" s="3038"/>
      <c r="BO453" s="3038"/>
      <c r="BP453" s="3038"/>
      <c r="BQ453" s="3038"/>
      <c r="BR453" s="3038"/>
      <c r="BS453" s="3038"/>
      <c r="BT453" s="3038"/>
      <c r="BU453" s="3038"/>
    </row>
    <row r="454" spans="3:73">
      <c r="C454" s="3038"/>
      <c r="D454" s="3038"/>
      <c r="E454" s="3038"/>
      <c r="H454" s="3038"/>
      <c r="I454" s="3038"/>
      <c r="J454" s="3038"/>
      <c r="K454" s="3038"/>
      <c r="M454" s="3038"/>
      <c r="N454" s="3038"/>
      <c r="O454" s="3038"/>
      <c r="P454" s="3038"/>
      <c r="Q454" s="3038"/>
      <c r="R454" s="3038"/>
      <c r="S454" s="3038"/>
      <c r="T454" s="3038"/>
      <c r="W454" s="3038"/>
      <c r="X454" s="3038"/>
      <c r="Y454" s="3038"/>
      <c r="Z454" s="3038"/>
      <c r="AA454" s="3113"/>
      <c r="AB454" s="3038"/>
      <c r="AC454" s="3038"/>
      <c r="AD454" s="3038"/>
      <c r="AE454" s="3132"/>
      <c r="AF454" s="3038"/>
      <c r="AG454" s="3038"/>
      <c r="AH454" s="3038"/>
      <c r="AK454" s="3038"/>
      <c r="AL454" s="3038"/>
      <c r="AM454" s="3038"/>
      <c r="AN454" s="3038"/>
      <c r="AO454" s="3038"/>
      <c r="AP454" s="3038"/>
      <c r="AQ454" s="3038"/>
      <c r="AR454" s="3038"/>
      <c r="AS454" s="3038"/>
      <c r="AT454" s="3038"/>
      <c r="AU454" s="3038"/>
      <c r="AV454" s="3038"/>
      <c r="AW454" s="3038"/>
      <c r="AX454" s="3038"/>
      <c r="AY454" s="3038"/>
      <c r="AZ454" s="3038"/>
      <c r="BA454" s="3038"/>
      <c r="BB454" s="3038"/>
      <c r="BC454" s="3038"/>
      <c r="BD454" s="3038"/>
      <c r="BE454" s="3038"/>
      <c r="BF454" s="3038"/>
      <c r="BG454" s="3038"/>
      <c r="BH454" s="3038"/>
      <c r="BI454" s="3038"/>
      <c r="BJ454" s="3038"/>
      <c r="BK454" s="3038"/>
      <c r="BL454" s="3038"/>
      <c r="BM454" s="3038"/>
      <c r="BN454" s="3038"/>
      <c r="BO454" s="3038"/>
      <c r="BP454" s="3038"/>
      <c r="BQ454" s="3038"/>
      <c r="BR454" s="3038"/>
      <c r="BS454" s="3038"/>
      <c r="BT454" s="3038"/>
      <c r="BU454" s="3038"/>
    </row>
    <row r="455" spans="3:73">
      <c r="C455" s="3038"/>
      <c r="D455" s="3038"/>
      <c r="E455" s="3038"/>
      <c r="H455" s="3038"/>
      <c r="I455" s="3038"/>
      <c r="J455" s="3038"/>
      <c r="K455" s="3038"/>
      <c r="M455" s="3038"/>
      <c r="N455" s="3038"/>
      <c r="O455" s="3038"/>
      <c r="P455" s="3038"/>
      <c r="Q455" s="3038"/>
      <c r="R455" s="3038"/>
      <c r="S455" s="3038"/>
      <c r="T455" s="3038"/>
      <c r="W455" s="3038"/>
      <c r="X455" s="3038"/>
      <c r="Y455" s="3038"/>
      <c r="Z455" s="3038"/>
      <c r="AA455" s="3113"/>
      <c r="AB455" s="3038"/>
      <c r="AC455" s="3038"/>
      <c r="AD455" s="3038"/>
      <c r="AE455" s="3132"/>
      <c r="AF455" s="3038"/>
      <c r="AG455" s="3038"/>
      <c r="AH455" s="3038"/>
      <c r="AK455" s="3038"/>
      <c r="AL455" s="3038"/>
      <c r="AM455" s="3038"/>
      <c r="AN455" s="3038"/>
      <c r="AO455" s="3038"/>
      <c r="AP455" s="3038"/>
      <c r="AQ455" s="3038"/>
      <c r="AR455" s="3038"/>
      <c r="AS455" s="3038"/>
      <c r="AT455" s="3038"/>
      <c r="AU455" s="3038"/>
      <c r="AV455" s="3038"/>
      <c r="AW455" s="3038"/>
      <c r="AX455" s="3038"/>
      <c r="AY455" s="3038"/>
      <c r="AZ455" s="3038"/>
      <c r="BA455" s="3038"/>
      <c r="BB455" s="3038"/>
      <c r="BC455" s="3038"/>
      <c r="BD455" s="3038"/>
      <c r="BE455" s="3038"/>
      <c r="BF455" s="3038"/>
      <c r="BG455" s="3038"/>
      <c r="BH455" s="3038"/>
      <c r="BI455" s="3038"/>
      <c r="BJ455" s="3038"/>
      <c r="BK455" s="3038"/>
      <c r="BL455" s="3038"/>
      <c r="BM455" s="3038"/>
      <c r="BN455" s="3038"/>
      <c r="BO455" s="3038"/>
      <c r="BP455" s="3038"/>
      <c r="BQ455" s="3038"/>
      <c r="BR455" s="3038"/>
      <c r="BS455" s="3038"/>
      <c r="BT455" s="3038"/>
      <c r="BU455" s="3038"/>
    </row>
    <row r="456" spans="3:73">
      <c r="C456" s="3038"/>
      <c r="D456" s="3038"/>
      <c r="E456" s="3038"/>
      <c r="H456" s="3038"/>
      <c r="I456" s="3038"/>
      <c r="J456" s="3038"/>
      <c r="K456" s="3038"/>
      <c r="M456" s="3038"/>
      <c r="N456" s="3038"/>
      <c r="O456" s="3038"/>
      <c r="P456" s="3038"/>
      <c r="Q456" s="3038"/>
      <c r="R456" s="3038"/>
      <c r="S456" s="3038"/>
      <c r="T456" s="3038"/>
      <c r="W456" s="3038"/>
      <c r="X456" s="3038"/>
      <c r="Y456" s="3038"/>
      <c r="Z456" s="3038"/>
      <c r="AA456" s="3113"/>
      <c r="AB456" s="3038"/>
      <c r="AC456" s="3038"/>
      <c r="AD456" s="3038"/>
      <c r="AE456" s="3132"/>
      <c r="AF456" s="3038"/>
      <c r="AG456" s="3038"/>
      <c r="AH456" s="3038"/>
      <c r="AK456" s="3038"/>
      <c r="AL456" s="3038"/>
      <c r="AM456" s="3038"/>
      <c r="AN456" s="3038"/>
      <c r="AO456" s="3038"/>
      <c r="AP456" s="3038"/>
      <c r="AQ456" s="3038"/>
      <c r="AR456" s="3038"/>
      <c r="AS456" s="3038"/>
      <c r="AT456" s="3038"/>
      <c r="AU456" s="3038"/>
      <c r="AV456" s="3038"/>
      <c r="AW456" s="3038"/>
      <c r="AX456" s="3038"/>
      <c r="AY456" s="3038"/>
      <c r="AZ456" s="3038"/>
      <c r="BA456" s="3038"/>
      <c r="BB456" s="3038"/>
      <c r="BC456" s="3038"/>
      <c r="BD456" s="3038"/>
      <c r="BE456" s="3038"/>
      <c r="BF456" s="3038"/>
      <c r="BG456" s="3038"/>
      <c r="BH456" s="3038"/>
      <c r="BI456" s="3038"/>
      <c r="BJ456" s="3038"/>
      <c r="BK456" s="3038"/>
      <c r="BL456" s="3038"/>
      <c r="BM456" s="3038"/>
      <c r="BN456" s="3038"/>
      <c r="BO456" s="3038"/>
      <c r="BP456" s="3038"/>
      <c r="BQ456" s="3038"/>
      <c r="BR456" s="3038"/>
      <c r="BS456" s="3038"/>
      <c r="BT456" s="3038"/>
      <c r="BU456" s="3038"/>
    </row>
    <row r="457" spans="3:73">
      <c r="C457" s="3038"/>
      <c r="D457" s="3038"/>
      <c r="E457" s="3038"/>
      <c r="H457" s="3038"/>
      <c r="I457" s="3038"/>
      <c r="J457" s="3038"/>
      <c r="K457" s="3038"/>
      <c r="M457" s="3038"/>
      <c r="N457" s="3038"/>
      <c r="O457" s="3038"/>
      <c r="P457" s="3038"/>
      <c r="Q457" s="3038"/>
      <c r="R457" s="3038"/>
      <c r="S457" s="3038"/>
      <c r="T457" s="3038"/>
      <c r="W457" s="3038"/>
      <c r="X457" s="3038"/>
      <c r="Y457" s="3038"/>
      <c r="Z457" s="3038"/>
      <c r="AA457" s="3113"/>
      <c r="AB457" s="3038"/>
      <c r="AC457" s="3038"/>
      <c r="AD457" s="3038"/>
      <c r="AE457" s="3132"/>
      <c r="AF457" s="3038"/>
      <c r="AG457" s="3038"/>
      <c r="AH457" s="3038"/>
      <c r="AK457" s="3038"/>
      <c r="AL457" s="3038"/>
      <c r="AM457" s="3038"/>
      <c r="AN457" s="3038"/>
      <c r="AO457" s="3038"/>
      <c r="AP457" s="3038"/>
      <c r="AQ457" s="3038"/>
      <c r="AR457" s="3038"/>
      <c r="AS457" s="3038"/>
      <c r="AT457" s="3038"/>
      <c r="AU457" s="3038"/>
      <c r="AV457" s="3038"/>
      <c r="AW457" s="3038"/>
      <c r="AX457" s="3038"/>
      <c r="AY457" s="3038"/>
      <c r="AZ457" s="3038"/>
      <c r="BA457" s="3038"/>
      <c r="BB457" s="3038"/>
      <c r="BC457" s="3038"/>
      <c r="BD457" s="3038"/>
      <c r="BE457" s="3038"/>
      <c r="BF457" s="3038"/>
      <c r="BG457" s="3038"/>
      <c r="BH457" s="3038"/>
      <c r="BI457" s="3038"/>
      <c r="BJ457" s="3038"/>
      <c r="BK457" s="3038"/>
      <c r="BL457" s="3038"/>
      <c r="BM457" s="3038"/>
      <c r="BN457" s="3038"/>
      <c r="BO457" s="3038"/>
      <c r="BP457" s="3038"/>
      <c r="BQ457" s="3038"/>
      <c r="BR457" s="3038"/>
      <c r="BS457" s="3038"/>
      <c r="BT457" s="3038"/>
      <c r="BU457" s="3038"/>
    </row>
    <row r="458" spans="3:73">
      <c r="C458" s="3038"/>
      <c r="D458" s="3038"/>
      <c r="E458" s="3038"/>
      <c r="H458" s="3038"/>
      <c r="I458" s="3038"/>
      <c r="J458" s="3038"/>
      <c r="K458" s="3038"/>
      <c r="M458" s="3038"/>
      <c r="N458" s="3038"/>
      <c r="O458" s="3038"/>
      <c r="P458" s="3038"/>
      <c r="Q458" s="3038"/>
      <c r="R458" s="3038"/>
      <c r="S458" s="3038"/>
      <c r="T458" s="3038"/>
      <c r="W458" s="3038"/>
      <c r="X458" s="3038"/>
      <c r="Y458" s="3038"/>
      <c r="Z458" s="3038"/>
      <c r="AA458" s="3113"/>
      <c r="AB458" s="3038"/>
      <c r="AC458" s="3038"/>
      <c r="AD458" s="3038"/>
      <c r="AE458" s="3132"/>
      <c r="AF458" s="3038"/>
      <c r="AG458" s="3038"/>
      <c r="AH458" s="3038"/>
      <c r="AK458" s="3038"/>
      <c r="AL458" s="3038"/>
      <c r="AM458" s="3038"/>
      <c r="AN458" s="3038"/>
      <c r="AO458" s="3038"/>
      <c r="AP458" s="3038"/>
      <c r="AQ458" s="3038"/>
      <c r="AR458" s="3038"/>
      <c r="AS458" s="3038"/>
      <c r="AT458" s="3038"/>
      <c r="AU458" s="3038"/>
      <c r="AV458" s="3038"/>
      <c r="AW458" s="3038"/>
      <c r="AX458" s="3038"/>
      <c r="AY458" s="3038"/>
      <c r="AZ458" s="3038"/>
      <c r="BA458" s="3038"/>
      <c r="BB458" s="3038"/>
      <c r="BC458" s="3038"/>
      <c r="BD458" s="3038"/>
      <c r="BE458" s="3038"/>
      <c r="BF458" s="3038"/>
      <c r="BG458" s="3038"/>
      <c r="BH458" s="3038"/>
      <c r="BI458" s="3038"/>
      <c r="BJ458" s="3038"/>
      <c r="BK458" s="3038"/>
      <c r="BL458" s="3038"/>
      <c r="BM458" s="3038"/>
      <c r="BN458" s="3038"/>
      <c r="BO458" s="3038"/>
      <c r="BP458" s="3038"/>
      <c r="BQ458" s="3038"/>
      <c r="BR458" s="3038"/>
      <c r="BS458" s="3038"/>
      <c r="BT458" s="3038"/>
      <c r="BU458" s="3038"/>
    </row>
    <row r="459" spans="3:73">
      <c r="C459" s="3038"/>
      <c r="D459" s="3038"/>
      <c r="E459" s="3038"/>
      <c r="H459" s="3038"/>
      <c r="I459" s="3038"/>
      <c r="J459" s="3038"/>
      <c r="K459" s="3038"/>
      <c r="M459" s="3038"/>
      <c r="N459" s="3038"/>
      <c r="O459" s="3038"/>
      <c r="P459" s="3038"/>
      <c r="Q459" s="3038"/>
      <c r="R459" s="3038"/>
      <c r="S459" s="3038"/>
      <c r="T459" s="3038"/>
      <c r="W459" s="3038"/>
      <c r="X459" s="3038"/>
      <c r="Y459" s="3038"/>
      <c r="Z459" s="3038"/>
      <c r="AA459" s="3113"/>
      <c r="AB459" s="3038"/>
      <c r="AC459" s="3038"/>
      <c r="AD459" s="3038"/>
      <c r="AE459" s="3132"/>
      <c r="AF459" s="3038"/>
      <c r="AG459" s="3038"/>
      <c r="AH459" s="3038"/>
      <c r="AK459" s="3038"/>
      <c r="AL459" s="3038"/>
      <c r="AM459" s="3038"/>
      <c r="AN459" s="3038"/>
      <c r="AO459" s="3038"/>
      <c r="AP459" s="3038"/>
      <c r="AQ459" s="3038"/>
      <c r="AR459" s="3038"/>
      <c r="AS459" s="3038"/>
      <c r="AT459" s="3038"/>
      <c r="AU459" s="3038"/>
      <c r="AV459" s="3038"/>
      <c r="AW459" s="3038"/>
      <c r="AX459" s="3038"/>
      <c r="AY459" s="3038"/>
      <c r="AZ459" s="3038"/>
      <c r="BA459" s="3038"/>
      <c r="BB459" s="3038"/>
      <c r="BC459" s="3038"/>
      <c r="BD459" s="3038"/>
      <c r="BE459" s="3038"/>
      <c r="BF459" s="3038"/>
      <c r="BG459" s="3038"/>
      <c r="BH459" s="3038"/>
      <c r="BI459" s="3038"/>
      <c r="BJ459" s="3038"/>
      <c r="BK459" s="3038"/>
      <c r="BL459" s="3038"/>
      <c r="BM459" s="3038"/>
      <c r="BN459" s="3038"/>
      <c r="BO459" s="3038"/>
      <c r="BP459" s="3038"/>
      <c r="BQ459" s="3038"/>
      <c r="BR459" s="3038"/>
      <c r="BS459" s="3038"/>
      <c r="BT459" s="3038"/>
      <c r="BU459" s="3038"/>
    </row>
    <row r="460" spans="3:73">
      <c r="C460" s="3038"/>
      <c r="D460" s="3038"/>
      <c r="E460" s="3038"/>
      <c r="H460" s="3038"/>
      <c r="I460" s="3038"/>
      <c r="J460" s="3038"/>
      <c r="K460" s="3038"/>
      <c r="M460" s="3038"/>
      <c r="N460" s="3038"/>
      <c r="O460" s="3038"/>
      <c r="P460" s="3038"/>
      <c r="Q460" s="3038"/>
      <c r="R460" s="3038"/>
      <c r="S460" s="3038"/>
      <c r="T460" s="3038"/>
      <c r="W460" s="3038"/>
      <c r="X460" s="3038"/>
      <c r="Y460" s="3038"/>
      <c r="Z460" s="3038"/>
      <c r="AA460" s="3113"/>
      <c r="AB460" s="3038"/>
      <c r="AC460" s="3038"/>
      <c r="AD460" s="3038"/>
      <c r="AE460" s="3132"/>
      <c r="AF460" s="3038"/>
      <c r="AG460" s="3038"/>
      <c r="AH460" s="3038"/>
      <c r="AK460" s="3038"/>
      <c r="AL460" s="3038"/>
      <c r="AM460" s="3038"/>
      <c r="AN460" s="3038"/>
      <c r="AO460" s="3038"/>
      <c r="AP460" s="3038"/>
      <c r="AQ460" s="3038"/>
      <c r="AR460" s="3038"/>
      <c r="AS460" s="3038"/>
      <c r="AT460" s="3038"/>
      <c r="AU460" s="3038"/>
      <c r="AV460" s="3038"/>
      <c r="AW460" s="3038"/>
      <c r="AX460" s="3038"/>
      <c r="AY460" s="3038"/>
      <c r="AZ460" s="3038"/>
      <c r="BA460" s="3038"/>
      <c r="BB460" s="3038"/>
      <c r="BC460" s="3038"/>
      <c r="BD460" s="3038"/>
      <c r="BE460" s="3038"/>
      <c r="BF460" s="3038"/>
      <c r="BG460" s="3038"/>
      <c r="BH460" s="3038"/>
      <c r="BI460" s="3038"/>
      <c r="BJ460" s="3038"/>
      <c r="BK460" s="3038"/>
      <c r="BL460" s="3038"/>
      <c r="BM460" s="3038"/>
      <c r="BN460" s="3038"/>
      <c r="BO460" s="3038"/>
      <c r="BP460" s="3038"/>
      <c r="BQ460" s="3038"/>
      <c r="BR460" s="3038"/>
      <c r="BS460" s="3038"/>
      <c r="BT460" s="3038"/>
      <c r="BU460" s="3038"/>
    </row>
    <row r="461" spans="3:73">
      <c r="C461" s="3038"/>
      <c r="D461" s="3038"/>
      <c r="E461" s="3038"/>
      <c r="H461" s="3038"/>
      <c r="I461" s="3038"/>
      <c r="J461" s="3038"/>
      <c r="K461" s="3038"/>
      <c r="M461" s="3038"/>
      <c r="N461" s="3038"/>
      <c r="O461" s="3038"/>
      <c r="P461" s="3038"/>
      <c r="Q461" s="3038"/>
      <c r="R461" s="3038"/>
      <c r="S461" s="3038"/>
      <c r="T461" s="3038"/>
      <c r="W461" s="3038"/>
      <c r="X461" s="3038"/>
      <c r="Y461" s="3038"/>
      <c r="Z461" s="3038"/>
      <c r="AA461" s="3113"/>
      <c r="AB461" s="3038"/>
      <c r="AC461" s="3038"/>
      <c r="AD461" s="3038"/>
      <c r="AE461" s="3132"/>
      <c r="AF461" s="3038"/>
      <c r="AG461" s="3038"/>
      <c r="AH461" s="3038"/>
      <c r="AK461" s="3038"/>
      <c r="AL461" s="3038"/>
      <c r="AM461" s="3038"/>
      <c r="AN461" s="3038"/>
      <c r="AO461" s="3038"/>
      <c r="AP461" s="3038"/>
      <c r="AQ461" s="3038"/>
      <c r="AR461" s="3038"/>
      <c r="AS461" s="3038"/>
      <c r="AT461" s="3038"/>
      <c r="AU461" s="3038"/>
      <c r="AV461" s="3038"/>
      <c r="AW461" s="3038"/>
      <c r="AX461" s="3038"/>
      <c r="AY461" s="3038"/>
      <c r="AZ461" s="3038"/>
      <c r="BA461" s="3038"/>
      <c r="BB461" s="3038"/>
      <c r="BC461" s="3038"/>
      <c r="BD461" s="3038"/>
      <c r="BE461" s="3038"/>
      <c r="BF461" s="3038"/>
      <c r="BG461" s="3038"/>
      <c r="BH461" s="3038"/>
      <c r="BI461" s="3038"/>
      <c r="BJ461" s="3038"/>
      <c r="BK461" s="3038"/>
      <c r="BL461" s="3038"/>
      <c r="BM461" s="3038"/>
      <c r="BN461" s="3038"/>
      <c r="BO461" s="3038"/>
      <c r="BP461" s="3038"/>
      <c r="BQ461" s="3038"/>
      <c r="BR461" s="3038"/>
      <c r="BS461" s="3038"/>
      <c r="BT461" s="3038"/>
      <c r="BU461" s="3038"/>
    </row>
    <row r="462" spans="3:73">
      <c r="C462" s="3038"/>
      <c r="D462" s="3038"/>
      <c r="E462" s="3038"/>
      <c r="H462" s="3038"/>
      <c r="I462" s="3038"/>
      <c r="J462" s="3038"/>
      <c r="K462" s="3038"/>
      <c r="M462" s="3038"/>
      <c r="N462" s="3038"/>
      <c r="O462" s="3038"/>
      <c r="P462" s="3038"/>
      <c r="Q462" s="3038"/>
      <c r="R462" s="3038"/>
      <c r="S462" s="3038"/>
      <c r="T462" s="3038"/>
      <c r="W462" s="3038"/>
      <c r="X462" s="3038"/>
      <c r="Y462" s="3038"/>
      <c r="Z462" s="3038"/>
      <c r="AA462" s="3113"/>
      <c r="AB462" s="3038"/>
      <c r="AC462" s="3038"/>
      <c r="AD462" s="3038"/>
      <c r="AE462" s="3132"/>
      <c r="AF462" s="3038"/>
      <c r="AG462" s="3038"/>
      <c r="AH462" s="3038"/>
      <c r="AK462" s="3038"/>
      <c r="AL462" s="3038"/>
      <c r="AM462" s="3038"/>
      <c r="AN462" s="3038"/>
      <c r="AO462" s="3038"/>
      <c r="AP462" s="3038"/>
      <c r="AQ462" s="3038"/>
      <c r="AR462" s="3038"/>
      <c r="AS462" s="3038"/>
      <c r="AT462" s="3038"/>
      <c r="AU462" s="3038"/>
      <c r="AV462" s="3038"/>
      <c r="AW462" s="3038"/>
      <c r="AX462" s="3038"/>
      <c r="AY462" s="3038"/>
      <c r="AZ462" s="3038"/>
      <c r="BA462" s="3038"/>
      <c r="BB462" s="3038"/>
      <c r="BC462" s="3038"/>
      <c r="BD462" s="3038"/>
      <c r="BE462" s="3038"/>
      <c r="BF462" s="3038"/>
      <c r="BG462" s="3038"/>
      <c r="BH462" s="3038"/>
      <c r="BI462" s="3038"/>
      <c r="BJ462" s="3038"/>
      <c r="BK462" s="3038"/>
      <c r="BL462" s="3038"/>
      <c r="BM462" s="3038"/>
      <c r="BN462" s="3038"/>
      <c r="BO462" s="3038"/>
      <c r="BP462" s="3038"/>
      <c r="BQ462" s="3038"/>
      <c r="BR462" s="3038"/>
      <c r="BS462" s="3038"/>
      <c r="BT462" s="3038"/>
      <c r="BU462" s="3038"/>
    </row>
    <row r="463" spans="3:73">
      <c r="C463" s="3038"/>
      <c r="D463" s="3038"/>
      <c r="E463" s="3038"/>
      <c r="H463" s="3038"/>
      <c r="I463" s="3038"/>
      <c r="J463" s="3038"/>
      <c r="K463" s="3038"/>
      <c r="M463" s="3038"/>
      <c r="N463" s="3038"/>
      <c r="O463" s="3038"/>
      <c r="P463" s="3038"/>
      <c r="Q463" s="3038"/>
      <c r="R463" s="3038"/>
      <c r="S463" s="3038"/>
      <c r="T463" s="3038"/>
      <c r="W463" s="3038"/>
      <c r="X463" s="3038"/>
      <c r="Y463" s="3038"/>
      <c r="Z463" s="3038"/>
      <c r="AA463" s="3113"/>
      <c r="AB463" s="3038"/>
      <c r="AC463" s="3038"/>
      <c r="AD463" s="3038"/>
      <c r="AE463" s="3132"/>
      <c r="AF463" s="3038"/>
      <c r="AG463" s="3038"/>
      <c r="AH463" s="3038"/>
      <c r="AK463" s="3038"/>
      <c r="AL463" s="3038"/>
      <c r="AM463" s="3038"/>
      <c r="AN463" s="3038"/>
      <c r="AO463" s="3038"/>
      <c r="AP463" s="3038"/>
      <c r="AQ463" s="3038"/>
      <c r="AR463" s="3038"/>
      <c r="AS463" s="3038"/>
      <c r="AT463" s="3038"/>
      <c r="AU463" s="3038"/>
      <c r="AV463" s="3038"/>
      <c r="AW463" s="3038"/>
      <c r="AX463" s="3038"/>
      <c r="AY463" s="3038"/>
      <c r="AZ463" s="3038"/>
      <c r="BA463" s="3038"/>
      <c r="BB463" s="3038"/>
      <c r="BC463" s="3038"/>
      <c r="BD463" s="3038"/>
      <c r="BE463" s="3038"/>
      <c r="BF463" s="3038"/>
      <c r="BG463" s="3038"/>
      <c r="BH463" s="3038"/>
      <c r="BI463" s="3038"/>
      <c r="BJ463" s="3038"/>
      <c r="BK463" s="3038"/>
      <c r="BL463" s="3038"/>
      <c r="BM463" s="3038"/>
      <c r="BN463" s="3038"/>
      <c r="BO463" s="3038"/>
      <c r="BP463" s="3038"/>
      <c r="BQ463" s="3038"/>
      <c r="BR463" s="3038"/>
      <c r="BS463" s="3038"/>
      <c r="BT463" s="3038"/>
      <c r="BU463" s="3038"/>
    </row>
    <row r="464" spans="3:73">
      <c r="C464" s="3038"/>
      <c r="D464" s="3038"/>
      <c r="E464" s="3038"/>
      <c r="H464" s="3038"/>
      <c r="I464" s="3038"/>
      <c r="J464" s="3038"/>
      <c r="K464" s="3038"/>
      <c r="M464" s="3038"/>
      <c r="N464" s="3038"/>
      <c r="O464" s="3038"/>
      <c r="P464" s="3038"/>
      <c r="Q464" s="3038"/>
      <c r="R464" s="3038"/>
      <c r="S464" s="3038"/>
      <c r="T464" s="3038"/>
      <c r="W464" s="3038"/>
      <c r="X464" s="3038"/>
      <c r="Y464" s="3038"/>
      <c r="Z464" s="3038"/>
      <c r="AA464" s="3113"/>
      <c r="AB464" s="3038"/>
      <c r="AC464" s="3038"/>
      <c r="AD464" s="3038"/>
      <c r="AE464" s="3132"/>
      <c r="AF464" s="3038"/>
      <c r="AG464" s="3038"/>
      <c r="AH464" s="3038"/>
      <c r="AK464" s="3038"/>
      <c r="AL464" s="3038"/>
      <c r="AM464" s="3038"/>
      <c r="AN464" s="3038"/>
      <c r="AO464" s="3038"/>
      <c r="AP464" s="3038"/>
      <c r="AQ464" s="3038"/>
      <c r="AR464" s="3038"/>
      <c r="AS464" s="3038"/>
      <c r="AT464" s="3038"/>
      <c r="AU464" s="3038"/>
      <c r="AV464" s="3038"/>
      <c r="AW464" s="3038"/>
      <c r="AX464" s="3038"/>
      <c r="AY464" s="3038"/>
      <c r="AZ464" s="3038"/>
      <c r="BA464" s="3038"/>
      <c r="BB464" s="3038"/>
      <c r="BC464" s="3038"/>
      <c r="BD464" s="3038"/>
      <c r="BE464" s="3038"/>
      <c r="BF464" s="3038"/>
      <c r="BG464" s="3038"/>
      <c r="BH464" s="3038"/>
      <c r="BI464" s="3038"/>
      <c r="BJ464" s="3038"/>
      <c r="BK464" s="3038"/>
      <c r="BL464" s="3038"/>
      <c r="BM464" s="3038"/>
      <c r="BN464" s="3038"/>
      <c r="BO464" s="3038"/>
      <c r="BP464" s="3038"/>
      <c r="BQ464" s="3038"/>
      <c r="BR464" s="3038"/>
      <c r="BS464" s="3038"/>
      <c r="BT464" s="3038"/>
      <c r="BU464" s="3038"/>
    </row>
    <row r="465" spans="3:73">
      <c r="C465" s="3038"/>
      <c r="D465" s="3038"/>
      <c r="E465" s="3038"/>
      <c r="H465" s="3038"/>
      <c r="I465" s="3038"/>
      <c r="J465" s="3038"/>
      <c r="K465" s="3038"/>
      <c r="M465" s="3038"/>
      <c r="N465" s="3038"/>
      <c r="O465" s="3038"/>
      <c r="P465" s="3038"/>
      <c r="Q465" s="3038"/>
      <c r="R465" s="3038"/>
      <c r="S465" s="3038"/>
      <c r="T465" s="3038"/>
      <c r="W465" s="3038"/>
      <c r="X465" s="3038"/>
      <c r="Y465" s="3038"/>
      <c r="Z465" s="3038"/>
      <c r="AA465" s="3113"/>
      <c r="AB465" s="3038"/>
      <c r="AC465" s="3038"/>
      <c r="AD465" s="3038"/>
      <c r="AE465" s="3132"/>
      <c r="AF465" s="3038"/>
      <c r="AG465" s="3038"/>
      <c r="AH465" s="3038"/>
      <c r="AK465" s="3038"/>
      <c r="AL465" s="3038"/>
      <c r="AM465" s="3038"/>
      <c r="AN465" s="3038"/>
      <c r="AO465" s="3038"/>
      <c r="AP465" s="3038"/>
      <c r="AQ465" s="3038"/>
      <c r="AR465" s="3038"/>
      <c r="AS465" s="3038"/>
      <c r="AT465" s="3038"/>
      <c r="AU465" s="3038"/>
      <c r="AV465" s="3038"/>
      <c r="AW465" s="3038"/>
      <c r="AX465" s="3038"/>
      <c r="AY465" s="3038"/>
      <c r="AZ465" s="3038"/>
      <c r="BA465" s="3038"/>
      <c r="BB465" s="3038"/>
      <c r="BC465" s="3038"/>
      <c r="BD465" s="3038"/>
      <c r="BE465" s="3038"/>
      <c r="BF465" s="3038"/>
      <c r="BG465" s="3038"/>
      <c r="BH465" s="3038"/>
      <c r="BI465" s="3038"/>
      <c r="BJ465" s="3038"/>
      <c r="BK465" s="3038"/>
      <c r="BL465" s="3038"/>
      <c r="BM465" s="3038"/>
      <c r="BN465" s="3038"/>
      <c r="BO465" s="3038"/>
      <c r="BP465" s="3038"/>
      <c r="BQ465" s="3038"/>
      <c r="BR465" s="3038"/>
      <c r="BS465" s="3038"/>
      <c r="BT465" s="3038"/>
      <c r="BU465" s="3038"/>
    </row>
    <row r="466" spans="3:73">
      <c r="C466" s="3038"/>
      <c r="D466" s="3038"/>
      <c r="E466" s="3038"/>
      <c r="H466" s="3038"/>
      <c r="I466" s="3038"/>
      <c r="J466" s="3038"/>
      <c r="K466" s="3038"/>
      <c r="M466" s="3038"/>
      <c r="N466" s="3038"/>
      <c r="O466" s="3038"/>
      <c r="P466" s="3038"/>
      <c r="Q466" s="3038"/>
      <c r="R466" s="3038"/>
      <c r="S466" s="3038"/>
      <c r="T466" s="3038"/>
      <c r="W466" s="3038"/>
      <c r="X466" s="3038"/>
      <c r="Y466" s="3038"/>
      <c r="Z466" s="3038"/>
      <c r="AA466" s="3113"/>
      <c r="AB466" s="3038"/>
      <c r="AC466" s="3038"/>
      <c r="AD466" s="3038"/>
      <c r="AE466" s="3132"/>
      <c r="AF466" s="3038"/>
      <c r="AG466" s="3038"/>
      <c r="AH466" s="3038"/>
      <c r="AK466" s="3038"/>
      <c r="AL466" s="3038"/>
      <c r="AM466" s="3038"/>
      <c r="AN466" s="3038"/>
      <c r="AO466" s="3038"/>
      <c r="AP466" s="3038"/>
      <c r="AQ466" s="3038"/>
      <c r="AR466" s="3038"/>
      <c r="AS466" s="3038"/>
      <c r="AT466" s="3038"/>
      <c r="AU466" s="3038"/>
      <c r="AV466" s="3038"/>
      <c r="AW466" s="3038"/>
      <c r="AX466" s="3038"/>
      <c r="AY466" s="3038"/>
      <c r="AZ466" s="3038"/>
      <c r="BA466" s="3038"/>
      <c r="BB466" s="3038"/>
      <c r="BC466" s="3038"/>
      <c r="BD466" s="3038"/>
      <c r="BE466" s="3038"/>
      <c r="BF466" s="3038"/>
      <c r="BG466" s="3038"/>
      <c r="BH466" s="3038"/>
      <c r="BI466" s="3038"/>
      <c r="BJ466" s="3038"/>
      <c r="BK466" s="3038"/>
      <c r="BL466" s="3038"/>
      <c r="BM466" s="3038"/>
      <c r="BN466" s="3038"/>
      <c r="BO466" s="3038"/>
      <c r="BP466" s="3038"/>
      <c r="BQ466" s="3038"/>
      <c r="BR466" s="3038"/>
      <c r="BS466" s="3038"/>
      <c r="BT466" s="3038"/>
      <c r="BU466" s="3038"/>
    </row>
    <row r="467" spans="3:73">
      <c r="C467" s="3038"/>
      <c r="D467" s="3038"/>
      <c r="E467" s="3038"/>
      <c r="H467" s="3038"/>
      <c r="I467" s="3038"/>
      <c r="J467" s="3038"/>
      <c r="K467" s="3038"/>
      <c r="M467" s="3038"/>
      <c r="N467" s="3038"/>
      <c r="O467" s="3038"/>
      <c r="P467" s="3038"/>
      <c r="Q467" s="3038"/>
      <c r="R467" s="3038"/>
      <c r="S467" s="3038"/>
      <c r="T467" s="3038"/>
      <c r="W467" s="3038"/>
      <c r="X467" s="3038"/>
      <c r="Y467" s="3038"/>
      <c r="Z467" s="3038"/>
      <c r="AA467" s="3113"/>
      <c r="AB467" s="3038"/>
      <c r="AC467" s="3038"/>
      <c r="AD467" s="3038"/>
      <c r="AE467" s="3132"/>
      <c r="AF467" s="3038"/>
      <c r="AG467" s="3038"/>
      <c r="AH467" s="3038"/>
      <c r="AK467" s="3038"/>
      <c r="AL467" s="3038"/>
      <c r="AM467" s="3038"/>
      <c r="AN467" s="3038"/>
      <c r="AO467" s="3038"/>
      <c r="AP467" s="3038"/>
      <c r="AQ467" s="3038"/>
      <c r="AR467" s="3038"/>
      <c r="AS467" s="3038"/>
      <c r="AT467" s="3038"/>
      <c r="AU467" s="3038"/>
      <c r="AV467" s="3038"/>
      <c r="AW467" s="3038"/>
      <c r="AX467" s="3038"/>
      <c r="AY467" s="3038"/>
      <c r="AZ467" s="3038"/>
      <c r="BA467" s="3038"/>
      <c r="BB467" s="3038"/>
      <c r="BC467" s="3038"/>
      <c r="BD467" s="3038"/>
      <c r="BE467" s="3038"/>
      <c r="BF467" s="3038"/>
      <c r="BG467" s="3038"/>
      <c r="BH467" s="3038"/>
      <c r="BI467" s="3038"/>
      <c r="BJ467" s="3038"/>
      <c r="BK467" s="3038"/>
      <c r="BL467" s="3038"/>
      <c r="BM467" s="3038"/>
      <c r="BN467" s="3038"/>
      <c r="BO467" s="3038"/>
      <c r="BP467" s="3038"/>
      <c r="BQ467" s="3038"/>
      <c r="BR467" s="3038"/>
      <c r="BS467" s="3038"/>
      <c r="BT467" s="3038"/>
      <c r="BU467" s="3038"/>
    </row>
    <row r="468" spans="3:73">
      <c r="C468" s="3038"/>
      <c r="D468" s="3038"/>
      <c r="E468" s="3038"/>
      <c r="H468" s="3038"/>
      <c r="I468" s="3038"/>
      <c r="J468" s="3038"/>
      <c r="K468" s="3038"/>
      <c r="M468" s="3038"/>
      <c r="N468" s="3038"/>
      <c r="O468" s="3038"/>
      <c r="P468" s="3038"/>
      <c r="Q468" s="3038"/>
      <c r="R468" s="3038"/>
      <c r="S468" s="3038"/>
      <c r="T468" s="3038"/>
      <c r="W468" s="3038"/>
      <c r="X468" s="3038"/>
      <c r="Y468" s="3038"/>
      <c r="Z468" s="3038"/>
      <c r="AA468" s="3113"/>
      <c r="AB468" s="3038"/>
      <c r="AC468" s="3038"/>
      <c r="AD468" s="3038"/>
      <c r="AE468" s="3132"/>
      <c r="AF468" s="3038"/>
      <c r="AG468" s="3038"/>
      <c r="AH468" s="3038"/>
      <c r="AK468" s="3038"/>
      <c r="AL468" s="3038"/>
      <c r="AM468" s="3038"/>
      <c r="AN468" s="3038"/>
      <c r="AO468" s="3038"/>
      <c r="AP468" s="3038"/>
      <c r="AQ468" s="3038"/>
      <c r="AR468" s="3038"/>
      <c r="AS468" s="3038"/>
      <c r="AT468" s="3038"/>
      <c r="AU468" s="3038"/>
      <c r="AV468" s="3038"/>
      <c r="AW468" s="3038"/>
      <c r="AX468" s="3038"/>
      <c r="AY468" s="3038"/>
      <c r="AZ468" s="3038"/>
      <c r="BA468" s="3038"/>
      <c r="BB468" s="3038"/>
      <c r="BC468" s="3038"/>
      <c r="BD468" s="3038"/>
      <c r="BE468" s="3038"/>
      <c r="BF468" s="3038"/>
      <c r="BG468" s="3038"/>
      <c r="BH468" s="3038"/>
      <c r="BI468" s="3038"/>
      <c r="BJ468" s="3038"/>
      <c r="BK468" s="3038"/>
      <c r="BL468" s="3038"/>
      <c r="BM468" s="3038"/>
      <c r="BN468" s="3038"/>
      <c r="BO468" s="3038"/>
      <c r="BP468" s="3038"/>
      <c r="BQ468" s="3038"/>
      <c r="BR468" s="3038"/>
      <c r="BS468" s="3038"/>
      <c r="BT468" s="3038"/>
      <c r="BU468" s="3038"/>
    </row>
    <row r="469" spans="3:73">
      <c r="C469" s="3038"/>
      <c r="D469" s="3038"/>
      <c r="E469" s="3038"/>
      <c r="H469" s="3038"/>
      <c r="I469" s="3038"/>
      <c r="J469" s="3038"/>
      <c r="K469" s="3038"/>
      <c r="M469" s="3038"/>
      <c r="N469" s="3038"/>
      <c r="O469" s="3038"/>
      <c r="P469" s="3038"/>
      <c r="Q469" s="3038"/>
      <c r="R469" s="3038"/>
      <c r="S469" s="3038"/>
      <c r="T469" s="3038"/>
      <c r="W469" s="3038"/>
      <c r="X469" s="3038"/>
      <c r="Y469" s="3038"/>
      <c r="Z469" s="3038"/>
      <c r="AA469" s="3113"/>
      <c r="AB469" s="3038"/>
      <c r="AC469" s="3038"/>
      <c r="AD469" s="3038"/>
      <c r="AE469" s="3132"/>
      <c r="AF469" s="3038"/>
      <c r="AG469" s="3038"/>
      <c r="AH469" s="3038"/>
      <c r="AK469" s="3038"/>
      <c r="AL469" s="3038"/>
      <c r="AM469" s="3038"/>
      <c r="AN469" s="3038"/>
      <c r="AO469" s="3038"/>
      <c r="AP469" s="3038"/>
      <c r="AQ469" s="3038"/>
      <c r="AR469" s="3038"/>
      <c r="AS469" s="3038"/>
      <c r="AT469" s="3038"/>
      <c r="AU469" s="3038"/>
      <c r="AV469" s="3038"/>
      <c r="AW469" s="3038"/>
      <c r="AX469" s="3038"/>
      <c r="AY469" s="3038"/>
      <c r="AZ469" s="3038"/>
      <c r="BA469" s="3038"/>
      <c r="BB469" s="3038"/>
      <c r="BC469" s="3038"/>
      <c r="BD469" s="3038"/>
      <c r="BE469" s="3038"/>
      <c r="BF469" s="3038"/>
      <c r="BG469" s="3038"/>
      <c r="BH469" s="3038"/>
      <c r="BI469" s="3038"/>
      <c r="BJ469" s="3038"/>
      <c r="BK469" s="3038"/>
      <c r="BL469" s="3038"/>
      <c r="BM469" s="3038"/>
      <c r="BN469" s="3038"/>
      <c r="BO469" s="3038"/>
      <c r="BP469" s="3038"/>
      <c r="BQ469" s="3038"/>
      <c r="BR469" s="3038"/>
      <c r="BS469" s="3038"/>
      <c r="BT469" s="3038"/>
      <c r="BU469" s="3038"/>
    </row>
    <row r="470" spans="3:73">
      <c r="C470" s="3038"/>
      <c r="D470" s="3038"/>
      <c r="E470" s="3038"/>
      <c r="H470" s="3038"/>
      <c r="I470" s="3038"/>
      <c r="J470" s="3038"/>
      <c r="K470" s="3038"/>
      <c r="M470" s="3038"/>
      <c r="N470" s="3038"/>
      <c r="O470" s="3038"/>
      <c r="P470" s="3038"/>
      <c r="Q470" s="3038"/>
      <c r="R470" s="3038"/>
      <c r="S470" s="3038"/>
      <c r="T470" s="3038"/>
      <c r="W470" s="3038"/>
      <c r="X470" s="3038"/>
      <c r="Y470" s="3038"/>
      <c r="Z470" s="3038"/>
      <c r="AA470" s="3113"/>
      <c r="AB470" s="3038"/>
      <c r="AC470" s="3038"/>
      <c r="AD470" s="3038"/>
      <c r="AE470" s="3132"/>
      <c r="AF470" s="3038"/>
      <c r="AG470" s="3038"/>
      <c r="AH470" s="3038"/>
      <c r="AK470" s="3038"/>
      <c r="AL470" s="3038"/>
      <c r="AM470" s="3038"/>
      <c r="AN470" s="3038"/>
      <c r="AO470" s="3038"/>
      <c r="AP470" s="3038"/>
      <c r="AQ470" s="3038"/>
      <c r="AR470" s="3038"/>
      <c r="AS470" s="3038"/>
      <c r="AT470" s="3038"/>
      <c r="AU470" s="3038"/>
      <c r="AV470" s="3038"/>
      <c r="AW470" s="3038"/>
      <c r="AX470" s="3038"/>
      <c r="AY470" s="3038"/>
      <c r="AZ470" s="3038"/>
      <c r="BA470" s="3038"/>
      <c r="BB470" s="3038"/>
      <c r="BC470" s="3038"/>
      <c r="BD470" s="3038"/>
      <c r="BE470" s="3038"/>
      <c r="BF470" s="3038"/>
      <c r="BG470" s="3038"/>
      <c r="BH470" s="3038"/>
      <c r="BI470" s="3038"/>
      <c r="BJ470" s="3038"/>
      <c r="BK470" s="3038"/>
      <c r="BL470" s="3038"/>
      <c r="BM470" s="3038"/>
      <c r="BN470" s="3038"/>
      <c r="BO470" s="3038"/>
      <c r="BP470" s="3038"/>
      <c r="BQ470" s="3038"/>
      <c r="BR470" s="3038"/>
      <c r="BS470" s="3038"/>
      <c r="BT470" s="3038"/>
      <c r="BU470" s="3038"/>
    </row>
    <row r="471" spans="3:73">
      <c r="C471" s="3038"/>
      <c r="D471" s="3038"/>
      <c r="E471" s="3038"/>
      <c r="H471" s="3038"/>
      <c r="I471" s="3038"/>
      <c r="J471" s="3038"/>
      <c r="K471" s="3038"/>
      <c r="M471" s="3038"/>
      <c r="N471" s="3038"/>
      <c r="O471" s="3038"/>
      <c r="P471" s="3038"/>
      <c r="Q471" s="3038"/>
      <c r="R471" s="3038"/>
      <c r="S471" s="3038"/>
      <c r="T471" s="3038"/>
      <c r="W471" s="3038"/>
      <c r="X471" s="3038"/>
      <c r="Y471" s="3038"/>
      <c r="Z471" s="3038"/>
      <c r="AA471" s="3113"/>
      <c r="AB471" s="3038"/>
      <c r="AC471" s="3038"/>
      <c r="AD471" s="3038"/>
      <c r="AE471" s="3132"/>
      <c r="AF471" s="3038"/>
      <c r="AG471" s="3038"/>
      <c r="AH471" s="3038"/>
      <c r="AK471" s="3038"/>
      <c r="AL471" s="3038"/>
      <c r="AM471" s="3038"/>
      <c r="AN471" s="3038"/>
      <c r="AO471" s="3038"/>
      <c r="AP471" s="3038"/>
      <c r="AQ471" s="3038"/>
      <c r="AR471" s="3038"/>
      <c r="AS471" s="3038"/>
      <c r="AT471" s="3038"/>
      <c r="AU471" s="3038"/>
      <c r="AV471" s="3038"/>
      <c r="AW471" s="3038"/>
      <c r="AX471" s="3038"/>
      <c r="AY471" s="3038"/>
      <c r="AZ471" s="3038"/>
      <c r="BA471" s="3038"/>
      <c r="BB471" s="3038"/>
      <c r="BC471" s="3038"/>
      <c r="BD471" s="3038"/>
      <c r="BE471" s="3038"/>
      <c r="BF471" s="3038"/>
      <c r="BG471" s="3038"/>
      <c r="BH471" s="3038"/>
      <c r="BI471" s="3038"/>
      <c r="BJ471" s="3038"/>
      <c r="BK471" s="3038"/>
      <c r="BL471" s="3038"/>
      <c r="BM471" s="3038"/>
      <c r="BN471" s="3038"/>
      <c r="BO471" s="3038"/>
      <c r="BP471" s="3038"/>
      <c r="BQ471" s="3038"/>
      <c r="BR471" s="3038"/>
      <c r="BS471" s="3038"/>
      <c r="BT471" s="3038"/>
      <c r="BU471" s="3038"/>
    </row>
    <row r="472" spans="3:73">
      <c r="C472" s="3038"/>
      <c r="D472" s="3038"/>
      <c r="E472" s="3038"/>
      <c r="H472" s="3038"/>
      <c r="I472" s="3038"/>
      <c r="J472" s="3038"/>
      <c r="K472" s="3038"/>
      <c r="M472" s="3038"/>
      <c r="N472" s="3038"/>
      <c r="O472" s="3038"/>
      <c r="P472" s="3038"/>
      <c r="Q472" s="3038"/>
      <c r="R472" s="3038"/>
      <c r="S472" s="3038"/>
      <c r="T472" s="3038"/>
      <c r="W472" s="3038"/>
      <c r="X472" s="3038"/>
      <c r="Y472" s="3038"/>
      <c r="Z472" s="3038"/>
      <c r="AA472" s="3113"/>
      <c r="AB472" s="3038"/>
      <c r="AC472" s="3038"/>
      <c r="AD472" s="3038"/>
      <c r="AE472" s="3132"/>
      <c r="AF472" s="3038"/>
      <c r="AG472" s="3038"/>
      <c r="AH472" s="3038"/>
      <c r="AK472" s="3038"/>
      <c r="AL472" s="3038"/>
      <c r="AM472" s="3038"/>
      <c r="AN472" s="3038"/>
      <c r="AO472" s="3038"/>
      <c r="AP472" s="3038"/>
      <c r="AQ472" s="3038"/>
      <c r="AR472" s="3038"/>
      <c r="AS472" s="3038"/>
      <c r="AT472" s="3038"/>
      <c r="AU472" s="3038"/>
      <c r="AV472" s="3038"/>
      <c r="AW472" s="3038"/>
      <c r="AX472" s="3038"/>
      <c r="AY472" s="3038"/>
      <c r="AZ472" s="3038"/>
      <c r="BA472" s="3038"/>
      <c r="BB472" s="3038"/>
      <c r="BC472" s="3038"/>
      <c r="BD472" s="3038"/>
      <c r="BE472" s="3038"/>
      <c r="BF472" s="3038"/>
      <c r="BG472" s="3038"/>
      <c r="BH472" s="3038"/>
      <c r="BI472" s="3038"/>
      <c r="BJ472" s="3038"/>
      <c r="BK472" s="3038"/>
      <c r="BL472" s="3038"/>
      <c r="BM472" s="3038"/>
      <c r="BN472" s="3038"/>
      <c r="BO472" s="3038"/>
      <c r="BP472" s="3038"/>
      <c r="BQ472" s="3038"/>
      <c r="BR472" s="3038"/>
      <c r="BS472" s="3038"/>
      <c r="BT472" s="3038"/>
      <c r="BU472" s="3038"/>
    </row>
    <row r="473" spans="3:73">
      <c r="C473" s="3038"/>
      <c r="D473" s="3038"/>
      <c r="E473" s="3038"/>
      <c r="H473" s="3038"/>
      <c r="I473" s="3038"/>
      <c r="J473" s="3038"/>
      <c r="K473" s="3038"/>
      <c r="M473" s="3038"/>
      <c r="N473" s="3038"/>
      <c r="O473" s="3038"/>
      <c r="P473" s="3038"/>
      <c r="Q473" s="3038"/>
      <c r="R473" s="3038"/>
      <c r="S473" s="3038"/>
      <c r="T473" s="3038"/>
      <c r="W473" s="3038"/>
      <c r="X473" s="3038"/>
      <c r="Y473" s="3038"/>
      <c r="Z473" s="3038"/>
      <c r="AA473" s="3113"/>
      <c r="AB473" s="3038"/>
      <c r="AC473" s="3038"/>
      <c r="AD473" s="3038"/>
      <c r="AE473" s="3132"/>
      <c r="AF473" s="3038"/>
      <c r="AG473" s="3038"/>
      <c r="AH473" s="3038"/>
      <c r="AK473" s="3038"/>
      <c r="AL473" s="3038"/>
      <c r="AM473" s="3038"/>
      <c r="AN473" s="3038"/>
      <c r="AO473" s="3038"/>
      <c r="AP473" s="3038"/>
      <c r="AQ473" s="3038"/>
      <c r="AR473" s="3038"/>
      <c r="AS473" s="3038"/>
      <c r="AT473" s="3038"/>
      <c r="AU473" s="3038"/>
      <c r="AV473" s="3038"/>
      <c r="AW473" s="3038"/>
      <c r="AX473" s="3038"/>
      <c r="AY473" s="3038"/>
      <c r="AZ473" s="3038"/>
      <c r="BA473" s="3038"/>
      <c r="BB473" s="3038"/>
      <c r="BC473" s="3038"/>
      <c r="BD473" s="3038"/>
      <c r="BE473" s="3038"/>
      <c r="BF473" s="3038"/>
      <c r="BG473" s="3038"/>
      <c r="BH473" s="3038"/>
      <c r="BI473" s="3038"/>
      <c r="BJ473" s="3038"/>
      <c r="BK473" s="3038"/>
      <c r="BL473" s="3038"/>
      <c r="BM473" s="3038"/>
      <c r="BN473" s="3038"/>
      <c r="BO473" s="3038"/>
      <c r="BP473" s="3038"/>
      <c r="BQ473" s="3038"/>
      <c r="BR473" s="3038"/>
      <c r="BS473" s="3038"/>
      <c r="BT473" s="3038"/>
      <c r="BU473" s="3038"/>
    </row>
    <row r="474" spans="3:73">
      <c r="C474" s="3038"/>
      <c r="D474" s="3038"/>
      <c r="E474" s="3038"/>
      <c r="H474" s="3038"/>
      <c r="I474" s="3038"/>
      <c r="J474" s="3038"/>
      <c r="K474" s="3038"/>
      <c r="M474" s="3038"/>
      <c r="N474" s="3038"/>
      <c r="O474" s="3038"/>
      <c r="P474" s="3038"/>
      <c r="Q474" s="3038"/>
      <c r="R474" s="3038"/>
      <c r="S474" s="3038"/>
      <c r="T474" s="3038"/>
      <c r="W474" s="3038"/>
      <c r="X474" s="3038"/>
      <c r="Y474" s="3038"/>
      <c r="Z474" s="3038"/>
      <c r="AA474" s="3113"/>
      <c r="AB474" s="3038"/>
      <c r="AC474" s="3038"/>
      <c r="AD474" s="3038"/>
      <c r="AE474" s="3132"/>
      <c r="AF474" s="3038"/>
      <c r="AG474" s="3038"/>
      <c r="AH474" s="3038"/>
      <c r="AK474" s="3038"/>
      <c r="AL474" s="3038"/>
      <c r="AM474" s="3038"/>
      <c r="AN474" s="3038"/>
      <c r="AO474" s="3038"/>
      <c r="AP474" s="3038"/>
      <c r="AQ474" s="3038"/>
      <c r="AR474" s="3038"/>
      <c r="AS474" s="3038"/>
      <c r="AT474" s="3038"/>
      <c r="AU474" s="3038"/>
      <c r="AV474" s="3038"/>
      <c r="AW474" s="3038"/>
      <c r="AX474" s="3038"/>
      <c r="AY474" s="3038"/>
      <c r="AZ474" s="3038"/>
      <c r="BA474" s="3038"/>
      <c r="BB474" s="3038"/>
      <c r="BC474" s="3038"/>
      <c r="BD474" s="3038"/>
      <c r="BE474" s="3038"/>
      <c r="BF474" s="3038"/>
      <c r="BG474" s="3038"/>
      <c r="BH474" s="3038"/>
      <c r="BI474" s="3038"/>
      <c r="BJ474" s="3038"/>
      <c r="BK474" s="3038"/>
      <c r="BL474" s="3038"/>
      <c r="BM474" s="3038"/>
      <c r="BN474" s="3038"/>
      <c r="BO474" s="3038"/>
      <c r="BP474" s="3038"/>
      <c r="BQ474" s="3038"/>
      <c r="BR474" s="3038"/>
      <c r="BS474" s="3038"/>
      <c r="BT474" s="3038"/>
      <c r="BU474" s="3038"/>
    </row>
    <row r="475" spans="3:73">
      <c r="C475" s="3038"/>
      <c r="D475" s="3038"/>
      <c r="E475" s="3038"/>
      <c r="H475" s="3038"/>
      <c r="I475" s="3038"/>
      <c r="J475" s="3038"/>
      <c r="K475" s="3038"/>
      <c r="M475" s="3038"/>
      <c r="N475" s="3038"/>
      <c r="O475" s="3038"/>
      <c r="P475" s="3038"/>
      <c r="Q475" s="3038"/>
      <c r="R475" s="3038"/>
      <c r="S475" s="3038"/>
      <c r="T475" s="3038"/>
      <c r="W475" s="3038"/>
      <c r="X475" s="3038"/>
      <c r="Y475" s="3038"/>
      <c r="Z475" s="3038"/>
      <c r="AA475" s="3113"/>
      <c r="AB475" s="3038"/>
      <c r="AC475" s="3038"/>
      <c r="AD475" s="3038"/>
      <c r="AE475" s="3132"/>
      <c r="AF475" s="3038"/>
      <c r="AG475" s="3038"/>
      <c r="AH475" s="3038"/>
      <c r="AK475" s="3038"/>
      <c r="AL475" s="3038"/>
      <c r="AM475" s="3038"/>
      <c r="AN475" s="3038"/>
      <c r="AO475" s="3038"/>
      <c r="AP475" s="3038"/>
      <c r="AQ475" s="3038"/>
      <c r="AR475" s="3038"/>
      <c r="AS475" s="3038"/>
      <c r="AT475" s="3038"/>
      <c r="AU475" s="3038"/>
      <c r="AV475" s="3038"/>
      <c r="AW475" s="3038"/>
      <c r="AX475" s="3038"/>
      <c r="AY475" s="3038"/>
      <c r="AZ475" s="3038"/>
      <c r="BA475" s="3038"/>
      <c r="BB475" s="3038"/>
      <c r="BC475" s="3038"/>
      <c r="BD475" s="3038"/>
      <c r="BE475" s="3038"/>
      <c r="BF475" s="3038"/>
      <c r="BG475" s="3038"/>
      <c r="BH475" s="3038"/>
      <c r="BI475" s="3038"/>
      <c r="BJ475" s="3038"/>
      <c r="BK475" s="3038"/>
      <c r="BL475" s="3038"/>
      <c r="BM475" s="3038"/>
      <c r="BN475" s="3038"/>
      <c r="BO475" s="3038"/>
      <c r="BP475" s="3038"/>
      <c r="BQ475" s="3038"/>
      <c r="BR475" s="3038"/>
      <c r="BS475" s="3038"/>
      <c r="BT475" s="3038"/>
      <c r="BU475" s="3038"/>
    </row>
    <row r="476" spans="3:73">
      <c r="C476" s="3038"/>
      <c r="D476" s="3038"/>
      <c r="E476" s="3038"/>
      <c r="H476" s="3038"/>
      <c r="I476" s="3038"/>
      <c r="J476" s="3038"/>
      <c r="K476" s="3038"/>
      <c r="M476" s="3038"/>
      <c r="N476" s="3038"/>
      <c r="O476" s="3038"/>
      <c r="P476" s="3038"/>
      <c r="Q476" s="3038"/>
      <c r="R476" s="3038"/>
      <c r="S476" s="3038"/>
      <c r="T476" s="3038"/>
      <c r="W476" s="3038"/>
      <c r="X476" s="3038"/>
      <c r="Y476" s="3038"/>
      <c r="Z476" s="3038"/>
      <c r="AA476" s="3113"/>
      <c r="AB476" s="3038"/>
      <c r="AC476" s="3038"/>
      <c r="AD476" s="3038"/>
      <c r="AE476" s="3132"/>
      <c r="AF476" s="3038"/>
      <c r="AG476" s="3038"/>
      <c r="AH476" s="3038"/>
      <c r="AK476" s="3038"/>
      <c r="AL476" s="3038"/>
      <c r="AM476" s="3038"/>
      <c r="AN476" s="3038"/>
      <c r="AO476" s="3038"/>
      <c r="AP476" s="3038"/>
      <c r="AQ476" s="3038"/>
      <c r="AR476" s="3038"/>
      <c r="AS476" s="3038"/>
      <c r="AT476" s="3038"/>
      <c r="AU476" s="3038"/>
      <c r="AV476" s="3038"/>
      <c r="AW476" s="3038"/>
      <c r="AX476" s="3038"/>
      <c r="AY476" s="3038"/>
      <c r="AZ476" s="3038"/>
      <c r="BA476" s="3038"/>
      <c r="BB476" s="3038"/>
      <c r="BC476" s="3038"/>
      <c r="BD476" s="3038"/>
      <c r="BE476" s="3038"/>
      <c r="BF476" s="3038"/>
      <c r="BG476" s="3038"/>
      <c r="BH476" s="3038"/>
      <c r="BI476" s="3038"/>
      <c r="BJ476" s="3038"/>
      <c r="BK476" s="3038"/>
      <c r="BL476" s="3038"/>
      <c r="BM476" s="3038"/>
      <c r="BN476" s="3038"/>
      <c r="BO476" s="3038"/>
      <c r="BP476" s="3038"/>
      <c r="BQ476" s="3038"/>
      <c r="BR476" s="3038"/>
      <c r="BS476" s="3038"/>
      <c r="BT476" s="3038"/>
      <c r="BU476" s="3038"/>
    </row>
    <row r="477" spans="3:73">
      <c r="C477" s="3038"/>
      <c r="D477" s="3038"/>
      <c r="E477" s="3038"/>
      <c r="H477" s="3038"/>
      <c r="I477" s="3038"/>
      <c r="J477" s="3038"/>
      <c r="K477" s="3038"/>
      <c r="M477" s="3038"/>
      <c r="N477" s="3038"/>
      <c r="O477" s="3038"/>
      <c r="P477" s="3038"/>
      <c r="Q477" s="3038"/>
      <c r="R477" s="3038"/>
      <c r="S477" s="3038"/>
      <c r="T477" s="3038"/>
      <c r="W477" s="3038"/>
      <c r="X477" s="3038"/>
      <c r="Y477" s="3038"/>
      <c r="Z477" s="3038"/>
      <c r="AA477" s="3113"/>
      <c r="AB477" s="3038"/>
      <c r="AC477" s="3038"/>
      <c r="AD477" s="3038"/>
      <c r="AE477" s="3132"/>
      <c r="AF477" s="3038"/>
      <c r="AG477" s="3038"/>
      <c r="AH477" s="3038"/>
      <c r="AK477" s="3038"/>
      <c r="AL477" s="3038"/>
      <c r="AM477" s="3038"/>
      <c r="AN477" s="3038"/>
      <c r="AO477" s="3038"/>
      <c r="AP477" s="3038"/>
      <c r="AQ477" s="3038"/>
      <c r="AR477" s="3038"/>
      <c r="AS477" s="3038"/>
      <c r="AT477" s="3038"/>
      <c r="AU477" s="3038"/>
      <c r="AV477" s="3038"/>
      <c r="AW477" s="3038"/>
      <c r="AX477" s="3038"/>
      <c r="AY477" s="3038"/>
      <c r="AZ477" s="3038"/>
      <c r="BA477" s="3038"/>
      <c r="BB477" s="3038"/>
      <c r="BC477" s="3038"/>
      <c r="BD477" s="3038"/>
      <c r="BE477" s="3038"/>
      <c r="BF477" s="3038"/>
      <c r="BG477" s="3038"/>
      <c r="BH477" s="3038"/>
      <c r="BI477" s="3038"/>
      <c r="BJ477" s="3038"/>
      <c r="BK477" s="3038"/>
      <c r="BL477" s="3038"/>
      <c r="BM477" s="3038"/>
      <c r="BN477" s="3038"/>
      <c r="BO477" s="3038"/>
      <c r="BP477" s="3038"/>
      <c r="BQ477" s="3038"/>
      <c r="BR477" s="3038"/>
      <c r="BS477" s="3038"/>
      <c r="BT477" s="3038"/>
      <c r="BU477" s="3038"/>
    </row>
    <row r="478" spans="3:73">
      <c r="C478" s="3038"/>
      <c r="D478" s="3038"/>
      <c r="E478" s="3038"/>
      <c r="H478" s="3038"/>
      <c r="I478" s="3038"/>
      <c r="J478" s="3038"/>
      <c r="K478" s="3038"/>
      <c r="M478" s="3038"/>
      <c r="N478" s="3038"/>
      <c r="O478" s="3038"/>
      <c r="P478" s="3038"/>
      <c r="Q478" s="3038"/>
      <c r="R478" s="3038"/>
      <c r="S478" s="3038"/>
      <c r="T478" s="3038"/>
      <c r="W478" s="3038"/>
      <c r="X478" s="3038"/>
      <c r="Y478" s="3038"/>
      <c r="Z478" s="3038"/>
      <c r="AA478" s="3113"/>
      <c r="AB478" s="3038"/>
      <c r="AC478" s="3038"/>
      <c r="AD478" s="3038"/>
      <c r="AE478" s="3132"/>
      <c r="AF478" s="3038"/>
      <c r="AG478" s="3038"/>
      <c r="AH478" s="3038"/>
      <c r="AK478" s="3038"/>
      <c r="AL478" s="3038"/>
      <c r="AM478" s="3038"/>
      <c r="AN478" s="3038"/>
      <c r="AO478" s="3038"/>
      <c r="AP478" s="3038"/>
      <c r="AQ478" s="3038"/>
      <c r="AR478" s="3038"/>
      <c r="AS478" s="3038"/>
      <c r="AT478" s="3038"/>
      <c r="AU478" s="3038"/>
      <c r="AV478" s="3038"/>
      <c r="AW478" s="3038"/>
      <c r="AX478" s="3038"/>
      <c r="AY478" s="3038"/>
      <c r="AZ478" s="3038"/>
      <c r="BA478" s="3038"/>
      <c r="BB478" s="3038"/>
      <c r="BC478" s="3038"/>
      <c r="BD478" s="3038"/>
      <c r="BE478" s="3038"/>
      <c r="BF478" s="3038"/>
      <c r="BG478" s="3038"/>
      <c r="BH478" s="3038"/>
      <c r="BI478" s="3038"/>
      <c r="BJ478" s="3038"/>
      <c r="BK478" s="3038"/>
      <c r="BL478" s="3038"/>
      <c r="BM478" s="3038"/>
      <c r="BN478" s="3038"/>
      <c r="BO478" s="3038"/>
      <c r="BP478" s="3038"/>
      <c r="BQ478" s="3038"/>
      <c r="BR478" s="3038"/>
      <c r="BS478" s="3038"/>
      <c r="BT478" s="3038"/>
      <c r="BU478" s="3038"/>
    </row>
    <row r="479" spans="3:73">
      <c r="C479" s="3038"/>
      <c r="D479" s="3038"/>
      <c r="E479" s="3038"/>
      <c r="H479" s="3038"/>
      <c r="I479" s="3038"/>
      <c r="J479" s="3038"/>
      <c r="K479" s="3038"/>
      <c r="M479" s="3038"/>
      <c r="N479" s="3038"/>
      <c r="O479" s="3038"/>
      <c r="P479" s="3038"/>
      <c r="Q479" s="3038"/>
      <c r="R479" s="3038"/>
      <c r="S479" s="3038"/>
      <c r="T479" s="3038"/>
      <c r="W479" s="3038"/>
      <c r="X479" s="3038"/>
      <c r="Y479" s="3038"/>
      <c r="Z479" s="3038"/>
      <c r="AA479" s="3113"/>
      <c r="AB479" s="3038"/>
      <c r="AC479" s="3038"/>
      <c r="AD479" s="3038"/>
      <c r="AE479" s="3132"/>
      <c r="AF479" s="3038"/>
      <c r="AG479" s="3038"/>
      <c r="AH479" s="3038"/>
      <c r="AK479" s="3038"/>
      <c r="AL479" s="3038"/>
      <c r="AM479" s="3038"/>
      <c r="AN479" s="3038"/>
      <c r="AO479" s="3038"/>
      <c r="AP479" s="3038"/>
      <c r="AQ479" s="3038"/>
      <c r="AR479" s="3038"/>
      <c r="AS479" s="3038"/>
      <c r="AT479" s="3038"/>
      <c r="AU479" s="3038"/>
      <c r="AV479" s="3038"/>
      <c r="AW479" s="3038"/>
      <c r="AX479" s="3038"/>
      <c r="AY479" s="3038"/>
      <c r="AZ479" s="3038"/>
      <c r="BA479" s="3038"/>
      <c r="BB479" s="3038"/>
      <c r="BC479" s="3038"/>
      <c r="BD479" s="3038"/>
      <c r="BE479" s="3038"/>
      <c r="BF479" s="3038"/>
      <c r="BG479" s="3038"/>
      <c r="BH479" s="3038"/>
      <c r="BI479" s="3038"/>
      <c r="BJ479" s="3038"/>
      <c r="BK479" s="3038"/>
      <c r="BL479" s="3038"/>
      <c r="BM479" s="3038"/>
      <c r="BN479" s="3038"/>
      <c r="BO479" s="3038"/>
      <c r="BP479" s="3038"/>
      <c r="BQ479" s="3038"/>
      <c r="BR479" s="3038"/>
      <c r="BS479" s="3038"/>
      <c r="BT479" s="3038"/>
      <c r="BU479" s="3038"/>
    </row>
    <row r="480" spans="3:73">
      <c r="C480" s="3038"/>
      <c r="D480" s="3038"/>
      <c r="E480" s="3038"/>
      <c r="H480" s="3038"/>
      <c r="I480" s="3038"/>
      <c r="J480" s="3038"/>
      <c r="K480" s="3038"/>
      <c r="M480" s="3038"/>
      <c r="N480" s="3038"/>
      <c r="O480" s="3038"/>
      <c r="P480" s="3038"/>
      <c r="Q480" s="3038"/>
      <c r="R480" s="3038"/>
      <c r="S480" s="3038"/>
      <c r="T480" s="3038"/>
      <c r="W480" s="3038"/>
      <c r="X480" s="3038"/>
      <c r="Y480" s="3038"/>
      <c r="Z480" s="3038"/>
      <c r="AA480" s="3113"/>
      <c r="AB480" s="3038"/>
      <c r="AC480" s="3038"/>
      <c r="AD480" s="3038"/>
      <c r="AE480" s="3132"/>
      <c r="AF480" s="3038"/>
      <c r="AG480" s="3038"/>
      <c r="AH480" s="3038"/>
      <c r="AK480" s="3038"/>
      <c r="AL480" s="3038"/>
      <c r="AM480" s="3038"/>
      <c r="AN480" s="3038"/>
      <c r="AO480" s="3038"/>
      <c r="AP480" s="3038"/>
      <c r="AQ480" s="3038"/>
      <c r="AR480" s="3038"/>
      <c r="AS480" s="3038"/>
      <c r="AT480" s="3038"/>
      <c r="AU480" s="3038"/>
      <c r="AV480" s="3038"/>
      <c r="AW480" s="3038"/>
      <c r="AX480" s="3038"/>
      <c r="AY480" s="3038"/>
      <c r="AZ480" s="3038"/>
      <c r="BA480" s="3038"/>
      <c r="BB480" s="3038"/>
      <c r="BC480" s="3038"/>
      <c r="BD480" s="3038"/>
      <c r="BE480" s="3038"/>
      <c r="BF480" s="3038"/>
      <c r="BG480" s="3038"/>
      <c r="BH480" s="3038"/>
      <c r="BI480" s="3038"/>
      <c r="BJ480" s="3038"/>
      <c r="BK480" s="3038"/>
      <c r="BL480" s="3038"/>
      <c r="BM480" s="3038"/>
      <c r="BN480" s="3038"/>
      <c r="BO480" s="3038"/>
      <c r="BP480" s="3038"/>
      <c r="BQ480" s="3038"/>
      <c r="BR480" s="3038"/>
      <c r="BS480" s="3038"/>
      <c r="BT480" s="3038"/>
      <c r="BU480" s="3038"/>
    </row>
    <row r="481" spans="3:73">
      <c r="C481" s="3038"/>
      <c r="D481" s="3038"/>
      <c r="E481" s="3038"/>
      <c r="H481" s="3038"/>
      <c r="I481" s="3038"/>
      <c r="J481" s="3038"/>
      <c r="K481" s="3038"/>
      <c r="M481" s="3038"/>
      <c r="N481" s="3038"/>
      <c r="O481" s="3038"/>
      <c r="P481" s="3038"/>
      <c r="Q481" s="3038"/>
      <c r="R481" s="3038"/>
      <c r="S481" s="3038"/>
      <c r="T481" s="3038"/>
      <c r="W481" s="3038"/>
      <c r="X481" s="3038"/>
      <c r="Y481" s="3038"/>
      <c r="Z481" s="3038"/>
      <c r="AA481" s="3113"/>
      <c r="AB481" s="3038"/>
      <c r="AC481" s="3038"/>
      <c r="AD481" s="3038"/>
      <c r="AE481" s="3132"/>
      <c r="AF481" s="3038"/>
      <c r="AG481" s="3038"/>
      <c r="AH481" s="3038"/>
      <c r="AK481" s="3038"/>
      <c r="AL481" s="3038"/>
      <c r="AM481" s="3038"/>
      <c r="AN481" s="3038"/>
      <c r="AO481" s="3038"/>
      <c r="AP481" s="3038"/>
      <c r="AQ481" s="3038"/>
      <c r="AR481" s="3038"/>
      <c r="AS481" s="3038"/>
      <c r="AT481" s="3038"/>
      <c r="AU481" s="3038"/>
      <c r="AV481" s="3038"/>
      <c r="AW481" s="3038"/>
      <c r="AX481" s="3038"/>
      <c r="AY481" s="3038"/>
      <c r="AZ481" s="3038"/>
      <c r="BA481" s="3038"/>
      <c r="BB481" s="3038"/>
      <c r="BC481" s="3038"/>
      <c r="BD481" s="3038"/>
      <c r="BE481" s="3038"/>
      <c r="BF481" s="3038"/>
      <c r="BG481" s="3038"/>
      <c r="BH481" s="3038"/>
      <c r="BI481" s="3038"/>
      <c r="BJ481" s="3038"/>
      <c r="BK481" s="3038"/>
      <c r="BL481" s="3038"/>
      <c r="BM481" s="3038"/>
      <c r="BN481" s="3038"/>
      <c r="BO481" s="3038"/>
      <c r="BP481" s="3038"/>
      <c r="BQ481" s="3038"/>
      <c r="BR481" s="3038"/>
      <c r="BS481" s="3038"/>
      <c r="BT481" s="3038"/>
      <c r="BU481" s="3038"/>
    </row>
    <row r="482" spans="3:73">
      <c r="C482" s="3038"/>
      <c r="D482" s="3038"/>
      <c r="E482" s="3038"/>
      <c r="H482" s="3038"/>
      <c r="I482" s="3038"/>
      <c r="J482" s="3038"/>
      <c r="K482" s="3038"/>
      <c r="M482" s="3038"/>
      <c r="N482" s="3038"/>
      <c r="O482" s="3038"/>
      <c r="P482" s="3038"/>
      <c r="Q482" s="3038"/>
      <c r="R482" s="3038"/>
      <c r="S482" s="3038"/>
      <c r="T482" s="3038"/>
      <c r="W482" s="3038"/>
      <c r="X482" s="3038"/>
      <c r="Y482" s="3038"/>
      <c r="Z482" s="3038"/>
      <c r="AA482" s="3113"/>
      <c r="AB482" s="3038"/>
      <c r="AC482" s="3038"/>
      <c r="AD482" s="3038"/>
      <c r="AE482" s="3132"/>
      <c r="AF482" s="3038"/>
      <c r="AG482" s="3038"/>
      <c r="AH482" s="3038"/>
      <c r="AK482" s="3038"/>
      <c r="AL482" s="3038"/>
      <c r="AM482" s="3038"/>
      <c r="AN482" s="3038"/>
      <c r="AO482" s="3038"/>
      <c r="AP482" s="3038"/>
      <c r="AQ482" s="3038"/>
      <c r="AR482" s="3038"/>
      <c r="AS482" s="3038"/>
      <c r="AT482" s="3038"/>
      <c r="AU482" s="3038"/>
      <c r="AV482" s="3038"/>
      <c r="AW482" s="3038"/>
      <c r="AX482" s="3038"/>
      <c r="AY482" s="3038"/>
      <c r="AZ482" s="3038"/>
      <c r="BA482" s="3038"/>
      <c r="BB482" s="3038"/>
      <c r="BC482" s="3038"/>
      <c r="BD482" s="3038"/>
      <c r="BE482" s="3038"/>
      <c r="BF482" s="3038"/>
      <c r="BG482" s="3038"/>
      <c r="BH482" s="3038"/>
      <c r="BI482" s="3038"/>
      <c r="BJ482" s="3038"/>
      <c r="BK482" s="3038"/>
      <c r="BL482" s="3038"/>
      <c r="BM482" s="3038"/>
      <c r="BN482" s="3038"/>
      <c r="BO482" s="3038"/>
      <c r="BP482" s="3038"/>
      <c r="BQ482" s="3038"/>
      <c r="BR482" s="3038"/>
      <c r="BS482" s="3038"/>
      <c r="BT482" s="3038"/>
      <c r="BU482" s="3038"/>
    </row>
    <row r="483" spans="3:73">
      <c r="C483" s="3038"/>
      <c r="D483" s="3038"/>
      <c r="E483" s="3038"/>
      <c r="H483" s="3038"/>
      <c r="I483" s="3038"/>
      <c r="J483" s="3038"/>
      <c r="K483" s="3038"/>
      <c r="M483" s="3038"/>
      <c r="N483" s="3038"/>
      <c r="O483" s="3038"/>
      <c r="P483" s="3038"/>
      <c r="Q483" s="3038"/>
      <c r="R483" s="3038"/>
      <c r="S483" s="3038"/>
      <c r="T483" s="3038"/>
      <c r="W483" s="3038"/>
      <c r="X483" s="3038"/>
      <c r="Y483" s="3038"/>
      <c r="Z483" s="3038"/>
      <c r="AA483" s="3113"/>
      <c r="AB483" s="3038"/>
      <c r="AC483" s="3038"/>
      <c r="AD483" s="3038"/>
      <c r="AE483" s="3132"/>
      <c r="AF483" s="3038"/>
      <c r="AG483" s="3038"/>
      <c r="AH483" s="3038"/>
      <c r="AK483" s="3038"/>
      <c r="AL483" s="3038"/>
      <c r="AM483" s="3038"/>
      <c r="AN483" s="3038"/>
      <c r="AO483" s="3038"/>
      <c r="AP483" s="3038"/>
      <c r="AQ483" s="3038"/>
      <c r="AR483" s="3038"/>
      <c r="AS483" s="3038"/>
      <c r="AT483" s="3038"/>
      <c r="AU483" s="3038"/>
      <c r="AV483" s="3038"/>
      <c r="AW483" s="3038"/>
      <c r="AX483" s="3038"/>
      <c r="AY483" s="3038"/>
      <c r="AZ483" s="3038"/>
      <c r="BA483" s="3038"/>
      <c r="BB483" s="3038"/>
      <c r="BC483" s="3038"/>
      <c r="BD483" s="3038"/>
      <c r="BE483" s="3038"/>
      <c r="BF483" s="3038"/>
      <c r="BG483" s="3038"/>
      <c r="BH483" s="3038"/>
      <c r="BI483" s="3038"/>
      <c r="BJ483" s="3038"/>
      <c r="BK483" s="3038"/>
      <c r="BL483" s="3038"/>
      <c r="BM483" s="3038"/>
      <c r="BN483" s="3038"/>
      <c r="BO483" s="3038"/>
      <c r="BP483" s="3038"/>
      <c r="BQ483" s="3038"/>
      <c r="BR483" s="3038"/>
      <c r="BS483" s="3038"/>
      <c r="BT483" s="3038"/>
      <c r="BU483" s="3038"/>
    </row>
    <row r="484" spans="3:73">
      <c r="C484" s="3038"/>
      <c r="D484" s="3038"/>
      <c r="E484" s="3038"/>
      <c r="H484" s="3038"/>
      <c r="I484" s="3038"/>
      <c r="J484" s="3038"/>
      <c r="K484" s="3038"/>
      <c r="M484" s="3038"/>
      <c r="N484" s="3038"/>
      <c r="O484" s="3038"/>
      <c r="P484" s="3038"/>
      <c r="Q484" s="3038"/>
      <c r="R484" s="3038"/>
      <c r="S484" s="3038"/>
      <c r="T484" s="3038"/>
      <c r="W484" s="3038"/>
      <c r="X484" s="3038"/>
      <c r="Y484" s="3038"/>
      <c r="Z484" s="3038"/>
      <c r="AA484" s="3113"/>
      <c r="AB484" s="3038"/>
      <c r="AC484" s="3038"/>
      <c r="AD484" s="3038"/>
      <c r="AE484" s="3132"/>
      <c r="AF484" s="3038"/>
      <c r="AG484" s="3038"/>
      <c r="AH484" s="3038"/>
      <c r="AK484" s="3038"/>
      <c r="AL484" s="3038"/>
      <c r="AM484" s="3038"/>
      <c r="AN484" s="3038"/>
      <c r="AO484" s="3038"/>
      <c r="AP484" s="3038"/>
      <c r="AQ484" s="3038"/>
      <c r="AR484" s="3038"/>
      <c r="AS484" s="3038"/>
      <c r="AT484" s="3038"/>
      <c r="AU484" s="3038"/>
      <c r="AV484" s="3038"/>
      <c r="AW484" s="3038"/>
      <c r="AX484" s="3038"/>
      <c r="AY484" s="3038"/>
      <c r="AZ484" s="3038"/>
      <c r="BA484" s="3038"/>
      <c r="BB484" s="3038"/>
      <c r="BC484" s="3038"/>
      <c r="BD484" s="3038"/>
      <c r="BE484" s="3038"/>
      <c r="BF484" s="3038"/>
      <c r="BG484" s="3038"/>
      <c r="BH484" s="3038"/>
      <c r="BI484" s="3038"/>
      <c r="BJ484" s="3038"/>
      <c r="BK484" s="3038"/>
      <c r="BL484" s="3038"/>
      <c r="BM484" s="3038"/>
      <c r="BN484" s="3038"/>
      <c r="BO484" s="3038"/>
      <c r="BP484" s="3038"/>
      <c r="BQ484" s="3038"/>
      <c r="BR484" s="3038"/>
      <c r="BS484" s="3038"/>
      <c r="BT484" s="3038"/>
      <c r="BU484" s="3038"/>
    </row>
    <row r="485" spans="3:73">
      <c r="C485" s="3038"/>
      <c r="D485" s="3038"/>
      <c r="E485" s="3038"/>
      <c r="H485" s="3038"/>
      <c r="I485" s="3038"/>
      <c r="J485" s="3038"/>
      <c r="K485" s="3038"/>
      <c r="M485" s="3038"/>
      <c r="N485" s="3038"/>
      <c r="O485" s="3038"/>
      <c r="P485" s="3038"/>
      <c r="Q485" s="3038"/>
      <c r="R485" s="3038"/>
      <c r="S485" s="3038"/>
      <c r="T485" s="3038"/>
      <c r="W485" s="3038"/>
      <c r="X485" s="3038"/>
      <c r="Y485" s="3038"/>
      <c r="Z485" s="3038"/>
      <c r="AA485" s="3113"/>
      <c r="AB485" s="3038"/>
      <c r="AC485" s="3038"/>
      <c r="AD485" s="3038"/>
      <c r="AE485" s="3132"/>
      <c r="AF485" s="3038"/>
      <c r="AG485" s="3038"/>
      <c r="AH485" s="3038"/>
      <c r="AK485" s="3038"/>
      <c r="AL485" s="3038"/>
      <c r="AM485" s="3038"/>
      <c r="AN485" s="3038"/>
      <c r="AO485" s="3038"/>
      <c r="AP485" s="3038"/>
      <c r="AQ485" s="3038"/>
      <c r="AR485" s="3038"/>
      <c r="AS485" s="3038"/>
      <c r="AT485" s="3038"/>
      <c r="AU485" s="3038"/>
      <c r="AV485" s="3038"/>
      <c r="AW485" s="3038"/>
      <c r="AX485" s="3038"/>
      <c r="AY485" s="3038"/>
      <c r="AZ485" s="3038"/>
      <c r="BA485" s="3038"/>
      <c r="BB485" s="3038"/>
      <c r="BC485" s="3038"/>
      <c r="BD485" s="3038"/>
      <c r="BE485" s="3038"/>
      <c r="BF485" s="3038"/>
      <c r="BG485" s="3038"/>
      <c r="BH485" s="3038"/>
      <c r="BI485" s="3038"/>
      <c r="BJ485" s="3038"/>
      <c r="BK485" s="3038"/>
      <c r="BL485" s="3038"/>
      <c r="BM485" s="3038"/>
      <c r="BN485" s="3038"/>
      <c r="BO485" s="3038"/>
      <c r="BP485" s="3038"/>
      <c r="BQ485" s="3038"/>
      <c r="BR485" s="3038"/>
      <c r="BS485" s="3038"/>
      <c r="BT485" s="3038"/>
      <c r="BU485" s="3038"/>
    </row>
    <row r="486" spans="3:73">
      <c r="C486" s="3038"/>
      <c r="D486" s="3038"/>
      <c r="E486" s="3038"/>
      <c r="H486" s="3038"/>
      <c r="I486" s="3038"/>
      <c r="J486" s="3038"/>
      <c r="K486" s="3038"/>
      <c r="M486" s="3038"/>
      <c r="N486" s="3038"/>
      <c r="O486" s="3038"/>
      <c r="P486" s="3038"/>
      <c r="Q486" s="3038"/>
      <c r="R486" s="3038"/>
      <c r="S486" s="3038"/>
      <c r="T486" s="3038"/>
      <c r="W486" s="3038"/>
      <c r="X486" s="3038"/>
      <c r="Y486" s="3038"/>
      <c r="Z486" s="3038"/>
      <c r="AA486" s="3113"/>
      <c r="AB486" s="3038"/>
      <c r="AC486" s="3038"/>
      <c r="AD486" s="3038"/>
      <c r="AE486" s="3132"/>
      <c r="AF486" s="3038"/>
      <c r="AG486" s="3038"/>
      <c r="AH486" s="3038"/>
      <c r="AK486" s="3038"/>
      <c r="AL486" s="3038"/>
      <c r="AM486" s="3038"/>
      <c r="AN486" s="3038"/>
      <c r="AO486" s="3038"/>
      <c r="AP486" s="3038"/>
      <c r="AQ486" s="3038"/>
      <c r="AR486" s="3038"/>
      <c r="AS486" s="3038"/>
      <c r="AT486" s="3038"/>
      <c r="AU486" s="3038"/>
      <c r="AV486" s="3038"/>
      <c r="AW486" s="3038"/>
      <c r="AX486" s="3038"/>
      <c r="AY486" s="3038"/>
      <c r="AZ486" s="3038"/>
      <c r="BA486" s="3038"/>
      <c r="BB486" s="3038"/>
      <c r="BC486" s="3038"/>
      <c r="BD486" s="3038"/>
      <c r="BE486" s="3038"/>
      <c r="BF486" s="3038"/>
      <c r="BG486" s="3038"/>
      <c r="BH486" s="3038"/>
      <c r="BI486" s="3038"/>
      <c r="BJ486" s="3038"/>
      <c r="BK486" s="3038"/>
      <c r="BL486" s="3038"/>
      <c r="BM486" s="3038"/>
      <c r="BN486" s="3038"/>
      <c r="BO486" s="3038"/>
      <c r="BP486" s="3038"/>
      <c r="BQ486" s="3038"/>
      <c r="BR486" s="3038"/>
      <c r="BS486" s="3038"/>
      <c r="BT486" s="3038"/>
      <c r="BU486" s="3038"/>
    </row>
    <row r="487" spans="3:73">
      <c r="C487" s="3038"/>
      <c r="D487" s="3038"/>
      <c r="E487" s="3038"/>
      <c r="H487" s="3038"/>
      <c r="I487" s="3038"/>
      <c r="J487" s="3038"/>
      <c r="K487" s="3038"/>
      <c r="M487" s="3038"/>
      <c r="N487" s="3038"/>
      <c r="O487" s="3038"/>
      <c r="P487" s="3038"/>
      <c r="Q487" s="3038"/>
      <c r="R487" s="3038"/>
      <c r="S487" s="3038"/>
      <c r="T487" s="3038"/>
      <c r="W487" s="3038"/>
      <c r="X487" s="3038"/>
      <c r="Y487" s="3038"/>
      <c r="Z487" s="3038"/>
      <c r="AA487" s="3113"/>
      <c r="AB487" s="3038"/>
      <c r="AC487" s="3038"/>
      <c r="AD487" s="3038"/>
      <c r="AE487" s="3132"/>
      <c r="AF487" s="3038"/>
      <c r="AG487" s="3038"/>
      <c r="AH487" s="3038"/>
      <c r="AK487" s="3038"/>
      <c r="AL487" s="3038"/>
      <c r="AM487" s="3038"/>
      <c r="AN487" s="3038"/>
      <c r="AO487" s="3038"/>
      <c r="AP487" s="3038"/>
      <c r="AQ487" s="3038"/>
      <c r="AR487" s="3038"/>
      <c r="AS487" s="3038"/>
      <c r="AT487" s="3038"/>
      <c r="AU487" s="3038"/>
      <c r="AV487" s="3038"/>
      <c r="AW487" s="3038"/>
      <c r="AX487" s="3038"/>
      <c r="AY487" s="3038"/>
      <c r="AZ487" s="3038"/>
      <c r="BA487" s="3038"/>
      <c r="BB487" s="3038"/>
      <c r="BC487" s="3038"/>
      <c r="BD487" s="3038"/>
      <c r="BE487" s="3038"/>
      <c r="BF487" s="3038"/>
      <c r="BG487" s="3038"/>
      <c r="BH487" s="3038"/>
      <c r="BI487" s="3038"/>
      <c r="BJ487" s="3038"/>
      <c r="BK487" s="3038"/>
      <c r="BL487" s="3038"/>
      <c r="BM487" s="3038"/>
      <c r="BN487" s="3038"/>
      <c r="BO487" s="3038"/>
      <c r="BP487" s="3038"/>
      <c r="BQ487" s="3038"/>
      <c r="BR487" s="3038"/>
      <c r="BS487" s="3038"/>
      <c r="BT487" s="3038"/>
      <c r="BU487" s="3038"/>
    </row>
    <row r="488" spans="3:73">
      <c r="C488" s="3038"/>
      <c r="D488" s="3038"/>
      <c r="E488" s="3038"/>
      <c r="H488" s="3038"/>
      <c r="I488" s="3038"/>
      <c r="J488" s="3038"/>
      <c r="K488" s="3038"/>
      <c r="M488" s="3038"/>
      <c r="N488" s="3038"/>
      <c r="O488" s="3038"/>
      <c r="P488" s="3038"/>
      <c r="Q488" s="3038"/>
      <c r="R488" s="3038"/>
      <c r="S488" s="3038"/>
      <c r="T488" s="3038"/>
      <c r="W488" s="3038"/>
      <c r="X488" s="3038"/>
      <c r="Y488" s="3038"/>
      <c r="Z488" s="3038"/>
      <c r="AA488" s="3113"/>
      <c r="AB488" s="3038"/>
      <c r="AC488" s="3038"/>
      <c r="AD488" s="3038"/>
      <c r="AE488" s="3132"/>
      <c r="AF488" s="3038"/>
      <c r="AG488" s="3038"/>
      <c r="AH488" s="3038"/>
      <c r="AK488" s="3038"/>
      <c r="AL488" s="3038"/>
      <c r="AM488" s="3038"/>
      <c r="AN488" s="3038"/>
      <c r="AO488" s="3038"/>
      <c r="AP488" s="3038"/>
      <c r="AQ488" s="3038"/>
      <c r="AR488" s="3038"/>
      <c r="AS488" s="3038"/>
      <c r="AT488" s="3038"/>
      <c r="AU488" s="3038"/>
      <c r="AV488" s="3038"/>
      <c r="AW488" s="3038"/>
      <c r="AX488" s="3038"/>
      <c r="AY488" s="3038"/>
      <c r="AZ488" s="3038"/>
      <c r="BA488" s="3038"/>
      <c r="BB488" s="3038"/>
      <c r="BC488" s="3038"/>
      <c r="BD488" s="3038"/>
      <c r="BE488" s="3038"/>
      <c r="BF488" s="3038"/>
      <c r="BG488" s="3038"/>
      <c r="BH488" s="3038"/>
      <c r="BI488" s="3038"/>
      <c r="BJ488" s="3038"/>
      <c r="BK488" s="3038"/>
      <c r="BL488" s="3038"/>
      <c r="BM488" s="3038"/>
      <c r="BN488" s="3038"/>
      <c r="BO488" s="3038"/>
      <c r="BP488" s="3038"/>
      <c r="BQ488" s="3038"/>
      <c r="BR488" s="3038"/>
      <c r="BS488" s="3038"/>
      <c r="BT488" s="3038"/>
      <c r="BU488" s="3038"/>
    </row>
    <row r="489" spans="3:73">
      <c r="C489" s="3038"/>
      <c r="D489" s="3038"/>
      <c r="E489" s="3038"/>
      <c r="H489" s="3038"/>
      <c r="I489" s="3038"/>
      <c r="J489" s="3038"/>
      <c r="K489" s="3038"/>
      <c r="M489" s="3038"/>
      <c r="N489" s="3038"/>
      <c r="O489" s="3038"/>
      <c r="P489" s="3038"/>
      <c r="Q489" s="3038"/>
      <c r="R489" s="3038"/>
      <c r="S489" s="3038"/>
      <c r="T489" s="3038"/>
      <c r="W489" s="3038"/>
      <c r="X489" s="3038"/>
      <c r="Y489" s="3038"/>
      <c r="Z489" s="3038"/>
      <c r="AA489" s="3113"/>
      <c r="AB489" s="3038"/>
      <c r="AC489" s="3038"/>
      <c r="AD489" s="3038"/>
      <c r="AE489" s="3132"/>
      <c r="AF489" s="3038"/>
      <c r="AG489" s="3038"/>
      <c r="AH489" s="3038"/>
      <c r="AK489" s="3038"/>
      <c r="AL489" s="3038"/>
      <c r="AM489" s="3038"/>
      <c r="AN489" s="3038"/>
      <c r="AO489" s="3038"/>
      <c r="AP489" s="3038"/>
      <c r="AQ489" s="3038"/>
      <c r="AR489" s="3038"/>
      <c r="AS489" s="3038"/>
      <c r="AT489" s="3038"/>
      <c r="AU489" s="3038"/>
      <c r="AV489" s="3038"/>
      <c r="AW489" s="3038"/>
      <c r="AX489" s="3038"/>
      <c r="AY489" s="3038"/>
      <c r="AZ489" s="3038"/>
      <c r="BA489" s="3038"/>
      <c r="BB489" s="3038"/>
      <c r="BC489" s="3038"/>
      <c r="BD489" s="3038"/>
      <c r="BE489" s="3038"/>
      <c r="BF489" s="3038"/>
      <c r="BG489" s="3038"/>
      <c r="BH489" s="3038"/>
      <c r="BI489" s="3038"/>
      <c r="BJ489" s="3038"/>
      <c r="BK489" s="3038"/>
      <c r="BL489" s="3038"/>
      <c r="BM489" s="3038"/>
      <c r="BN489" s="3038"/>
      <c r="BO489" s="3038"/>
      <c r="BP489" s="3038"/>
      <c r="BQ489" s="3038"/>
      <c r="BR489" s="3038"/>
      <c r="BS489" s="3038"/>
      <c r="BT489" s="3038"/>
      <c r="BU489" s="3038"/>
    </row>
    <row r="490" spans="3:73">
      <c r="C490" s="3038"/>
      <c r="D490" s="3038"/>
      <c r="E490" s="3038"/>
      <c r="H490" s="3038"/>
      <c r="I490" s="3038"/>
      <c r="J490" s="3038"/>
      <c r="K490" s="3038"/>
      <c r="M490" s="3038"/>
      <c r="N490" s="3038"/>
      <c r="O490" s="3038"/>
      <c r="P490" s="3038"/>
      <c r="Q490" s="3038"/>
      <c r="R490" s="3038"/>
      <c r="S490" s="3038"/>
      <c r="T490" s="3038"/>
      <c r="W490" s="3038"/>
      <c r="X490" s="3038"/>
      <c r="Y490" s="3038"/>
      <c r="Z490" s="3038"/>
      <c r="AA490" s="3113"/>
      <c r="AB490" s="3038"/>
      <c r="AC490" s="3038"/>
      <c r="AD490" s="3038"/>
      <c r="AE490" s="3132"/>
      <c r="AF490" s="3038"/>
      <c r="AG490" s="3038"/>
      <c r="AH490" s="3038"/>
      <c r="AK490" s="3038"/>
      <c r="AL490" s="3038"/>
      <c r="AM490" s="3038"/>
      <c r="AN490" s="3038"/>
      <c r="AO490" s="3038"/>
      <c r="AP490" s="3038"/>
      <c r="AQ490" s="3038"/>
      <c r="AR490" s="3038"/>
      <c r="AS490" s="3038"/>
      <c r="AT490" s="3038"/>
      <c r="AU490" s="3038"/>
      <c r="AV490" s="3038"/>
      <c r="AW490" s="3038"/>
      <c r="AX490" s="3038"/>
      <c r="AY490" s="3038"/>
      <c r="AZ490" s="3038"/>
      <c r="BA490" s="3038"/>
      <c r="BB490" s="3038"/>
      <c r="BC490" s="3038"/>
      <c r="BD490" s="3038"/>
      <c r="BE490" s="3038"/>
      <c r="BF490" s="3038"/>
      <c r="BG490" s="3038"/>
      <c r="BH490" s="3038"/>
      <c r="BI490" s="3038"/>
      <c r="BJ490" s="3038"/>
      <c r="BK490" s="3038"/>
      <c r="BL490" s="3038"/>
      <c r="BM490" s="3038"/>
      <c r="BN490" s="3038"/>
      <c r="BO490" s="3038"/>
      <c r="BP490" s="3038"/>
      <c r="BQ490" s="3038"/>
      <c r="BR490" s="3038"/>
      <c r="BS490" s="3038"/>
      <c r="BT490" s="3038"/>
      <c r="BU490" s="3038"/>
    </row>
    <row r="491" spans="3:73">
      <c r="C491" s="3038"/>
      <c r="D491" s="3038"/>
      <c r="E491" s="3038"/>
      <c r="H491" s="3038"/>
      <c r="I491" s="3038"/>
      <c r="J491" s="3038"/>
      <c r="K491" s="3038"/>
      <c r="M491" s="3038"/>
      <c r="N491" s="3038"/>
      <c r="O491" s="3038"/>
      <c r="P491" s="3038"/>
      <c r="Q491" s="3038"/>
      <c r="R491" s="3038"/>
      <c r="S491" s="3038"/>
      <c r="T491" s="3038"/>
      <c r="W491" s="3038"/>
      <c r="X491" s="3038"/>
      <c r="Y491" s="3038"/>
      <c r="Z491" s="3038"/>
      <c r="AA491" s="3113"/>
      <c r="AB491" s="3038"/>
      <c r="AC491" s="3038"/>
      <c r="AD491" s="3038"/>
      <c r="AE491" s="3132"/>
      <c r="AF491" s="3038"/>
      <c r="AG491" s="3038"/>
      <c r="AH491" s="3038"/>
      <c r="AK491" s="3038"/>
      <c r="AL491" s="3038"/>
      <c r="AM491" s="3038"/>
      <c r="AN491" s="3038"/>
      <c r="AO491" s="3038"/>
      <c r="AP491" s="3038"/>
      <c r="AQ491" s="3038"/>
      <c r="AR491" s="3038"/>
      <c r="AS491" s="3038"/>
      <c r="AT491" s="3038"/>
      <c r="AU491" s="3038"/>
      <c r="AV491" s="3038"/>
      <c r="AW491" s="3038"/>
      <c r="AX491" s="3038"/>
      <c r="AY491" s="3038"/>
      <c r="AZ491" s="3038"/>
      <c r="BA491" s="3038"/>
      <c r="BB491" s="3038"/>
      <c r="BC491" s="3038"/>
      <c r="BD491" s="3038"/>
      <c r="BE491" s="3038"/>
      <c r="BF491" s="3038"/>
      <c r="BG491" s="3038"/>
      <c r="BH491" s="3038"/>
      <c r="BI491" s="3038"/>
      <c r="BJ491" s="3038"/>
      <c r="BK491" s="3038"/>
      <c r="BL491" s="3038"/>
      <c r="BM491" s="3038"/>
      <c r="BN491" s="3038"/>
      <c r="BO491" s="3038"/>
      <c r="BP491" s="3038"/>
      <c r="BQ491" s="3038"/>
      <c r="BR491" s="3038"/>
      <c r="BS491" s="3038"/>
      <c r="BT491" s="3038"/>
      <c r="BU491" s="3038"/>
    </row>
    <row r="492" spans="3:73">
      <c r="C492" s="3038"/>
      <c r="D492" s="3038"/>
      <c r="E492" s="3038"/>
      <c r="H492" s="3038"/>
      <c r="I492" s="3038"/>
      <c r="J492" s="3038"/>
      <c r="K492" s="3038"/>
      <c r="M492" s="3038"/>
      <c r="N492" s="3038"/>
      <c r="O492" s="3038"/>
      <c r="P492" s="3038"/>
      <c r="Q492" s="3038"/>
      <c r="R492" s="3038"/>
      <c r="S492" s="3038"/>
      <c r="T492" s="3038"/>
      <c r="W492" s="3038"/>
      <c r="X492" s="3038"/>
      <c r="Y492" s="3038"/>
      <c r="Z492" s="3038"/>
      <c r="AA492" s="3113"/>
      <c r="AB492" s="3038"/>
      <c r="AC492" s="3038"/>
      <c r="AD492" s="3038"/>
      <c r="AE492" s="3132"/>
      <c r="AF492" s="3038"/>
      <c r="AG492" s="3038"/>
      <c r="AH492" s="3038"/>
      <c r="AK492" s="3038"/>
      <c r="AL492" s="3038"/>
      <c r="AM492" s="3038"/>
      <c r="AN492" s="3038"/>
      <c r="AO492" s="3038"/>
      <c r="AP492" s="3038"/>
      <c r="AQ492" s="3038"/>
      <c r="AR492" s="3038"/>
      <c r="AS492" s="3038"/>
      <c r="AT492" s="3038"/>
      <c r="AU492" s="3038"/>
      <c r="AV492" s="3038"/>
      <c r="AW492" s="3038"/>
      <c r="AX492" s="3038"/>
      <c r="AY492" s="3038"/>
      <c r="AZ492" s="3038"/>
      <c r="BA492" s="3038"/>
      <c r="BB492" s="3038"/>
      <c r="BC492" s="3038"/>
      <c r="BD492" s="3038"/>
      <c r="BE492" s="3038"/>
      <c r="BF492" s="3038"/>
      <c r="BG492" s="3038"/>
      <c r="BH492" s="3038"/>
      <c r="BI492" s="3038"/>
      <c r="BJ492" s="3038"/>
      <c r="BK492" s="3038"/>
      <c r="BL492" s="3038"/>
      <c r="BM492" s="3038"/>
      <c r="BN492" s="3038"/>
      <c r="BO492" s="3038"/>
      <c r="BP492" s="3038"/>
      <c r="BQ492" s="3038"/>
      <c r="BR492" s="3038"/>
      <c r="BS492" s="3038"/>
      <c r="BT492" s="3038"/>
      <c r="BU492" s="3038"/>
    </row>
    <row r="493" spans="3:73">
      <c r="C493" s="3038"/>
      <c r="D493" s="3038"/>
      <c r="E493" s="3038"/>
      <c r="H493" s="3038"/>
      <c r="I493" s="3038"/>
      <c r="J493" s="3038"/>
      <c r="K493" s="3038"/>
      <c r="M493" s="3038"/>
      <c r="N493" s="3038"/>
      <c r="O493" s="3038"/>
      <c r="P493" s="3038"/>
      <c r="Q493" s="3038"/>
      <c r="R493" s="3038"/>
      <c r="S493" s="3038"/>
      <c r="T493" s="3038"/>
      <c r="W493" s="3038"/>
      <c r="X493" s="3038"/>
      <c r="Y493" s="3038"/>
      <c r="Z493" s="3038"/>
      <c r="AA493" s="3113"/>
      <c r="AB493" s="3038"/>
      <c r="AC493" s="3038"/>
      <c r="AD493" s="3038"/>
      <c r="AE493" s="3132"/>
      <c r="AF493" s="3038"/>
      <c r="AG493" s="3038"/>
      <c r="AH493" s="3038"/>
      <c r="AK493" s="3038"/>
      <c r="AL493" s="3038"/>
      <c r="AM493" s="3038"/>
      <c r="AN493" s="3038"/>
      <c r="AO493" s="3038"/>
      <c r="AP493" s="3038"/>
      <c r="AQ493" s="3038"/>
      <c r="AR493" s="3038"/>
      <c r="AS493" s="3038"/>
      <c r="AT493" s="3038"/>
      <c r="AU493" s="3038"/>
      <c r="AV493" s="3038"/>
      <c r="AW493" s="3038"/>
      <c r="AX493" s="3038"/>
      <c r="AY493" s="3038"/>
      <c r="AZ493" s="3038"/>
      <c r="BA493" s="3038"/>
      <c r="BB493" s="3038"/>
      <c r="BC493" s="3038"/>
      <c r="BD493" s="3038"/>
      <c r="BE493" s="3038"/>
      <c r="BF493" s="3038"/>
      <c r="BG493" s="3038"/>
      <c r="BH493" s="3038"/>
      <c r="BI493" s="3038"/>
      <c r="BJ493" s="3038"/>
      <c r="BK493" s="3038"/>
      <c r="BL493" s="3038"/>
      <c r="BM493" s="3038"/>
      <c r="BN493" s="3038"/>
      <c r="BO493" s="3038"/>
      <c r="BP493" s="3038"/>
      <c r="BQ493" s="3038"/>
      <c r="BR493" s="3038"/>
      <c r="BS493" s="3038"/>
      <c r="BT493" s="3038"/>
      <c r="BU493" s="3038"/>
    </row>
    <row r="494" spans="3:73">
      <c r="C494" s="3038"/>
      <c r="D494" s="3038"/>
      <c r="E494" s="3038"/>
      <c r="H494" s="3038"/>
      <c r="I494" s="3038"/>
      <c r="J494" s="3038"/>
      <c r="K494" s="3038"/>
      <c r="M494" s="3038"/>
      <c r="N494" s="3038"/>
      <c r="O494" s="3038"/>
      <c r="P494" s="3038"/>
      <c r="Q494" s="3038"/>
      <c r="R494" s="3038"/>
      <c r="S494" s="3038"/>
      <c r="T494" s="3038"/>
      <c r="W494" s="3038"/>
      <c r="X494" s="3038"/>
      <c r="Y494" s="3038"/>
      <c r="Z494" s="3038"/>
      <c r="AA494" s="3113"/>
      <c r="AB494" s="3038"/>
      <c r="AC494" s="3038"/>
      <c r="AD494" s="3038"/>
      <c r="AE494" s="3132"/>
      <c r="AF494" s="3038"/>
      <c r="AG494" s="3038"/>
      <c r="AH494" s="3038"/>
      <c r="AK494" s="3038"/>
      <c r="AL494" s="3038"/>
      <c r="AM494" s="3038"/>
      <c r="AN494" s="3038"/>
      <c r="AO494" s="3038"/>
      <c r="AP494" s="3038"/>
      <c r="AQ494" s="3038"/>
      <c r="AR494" s="3038"/>
      <c r="AS494" s="3038"/>
      <c r="AT494" s="3038"/>
      <c r="AU494" s="3038"/>
      <c r="AV494" s="3038"/>
      <c r="AW494" s="3038"/>
      <c r="AX494" s="3038"/>
      <c r="AY494" s="3038"/>
      <c r="AZ494" s="3038"/>
      <c r="BA494" s="3038"/>
      <c r="BB494" s="3038"/>
      <c r="BC494" s="3038"/>
      <c r="BD494" s="3038"/>
      <c r="BE494" s="3038"/>
      <c r="BF494" s="3038"/>
      <c r="BG494" s="3038"/>
      <c r="BH494" s="3038"/>
      <c r="BI494" s="3038"/>
      <c r="BJ494" s="3038"/>
      <c r="BK494" s="3038"/>
      <c r="BL494" s="3038"/>
      <c r="BM494" s="3038"/>
      <c r="BN494" s="3038"/>
      <c r="BO494" s="3038"/>
      <c r="BP494" s="3038"/>
      <c r="BQ494" s="3038"/>
      <c r="BR494" s="3038"/>
      <c r="BS494" s="3038"/>
      <c r="BT494" s="3038"/>
      <c r="BU494" s="3038"/>
    </row>
    <row r="495" spans="3:73">
      <c r="C495" s="3038"/>
      <c r="D495" s="3038"/>
      <c r="E495" s="3038"/>
      <c r="H495" s="3038"/>
      <c r="I495" s="3038"/>
      <c r="J495" s="3038"/>
      <c r="K495" s="3038"/>
      <c r="M495" s="3038"/>
      <c r="N495" s="3038"/>
      <c r="O495" s="3038"/>
      <c r="P495" s="3038"/>
      <c r="Q495" s="3038"/>
      <c r="R495" s="3038"/>
      <c r="S495" s="3038"/>
      <c r="T495" s="3038"/>
      <c r="W495" s="3038"/>
      <c r="X495" s="3038"/>
      <c r="Y495" s="3038"/>
      <c r="Z495" s="3038"/>
      <c r="AA495" s="3113"/>
      <c r="AB495" s="3038"/>
      <c r="AC495" s="3038"/>
      <c r="AD495" s="3038"/>
      <c r="AE495" s="3132"/>
      <c r="AF495" s="3038"/>
      <c r="AG495" s="3038"/>
      <c r="AH495" s="3038"/>
      <c r="AK495" s="3038"/>
      <c r="AL495" s="3038"/>
      <c r="AM495" s="3038"/>
      <c r="AN495" s="3038"/>
      <c r="AO495" s="3038"/>
      <c r="AP495" s="3038"/>
      <c r="AQ495" s="3038"/>
      <c r="AR495" s="3038"/>
      <c r="AS495" s="3038"/>
      <c r="AT495" s="3038"/>
      <c r="AU495" s="3038"/>
      <c r="AV495" s="3038"/>
      <c r="AW495" s="3038"/>
      <c r="AX495" s="3038"/>
      <c r="AY495" s="3038"/>
      <c r="AZ495" s="3038"/>
      <c r="BA495" s="3038"/>
      <c r="BB495" s="3038"/>
      <c r="BC495" s="3038"/>
      <c r="BD495" s="3038"/>
      <c r="BE495" s="3038"/>
      <c r="BF495" s="3038"/>
      <c r="BG495" s="3038"/>
      <c r="BH495" s="3038"/>
      <c r="BI495" s="3038"/>
      <c r="BJ495" s="3038"/>
      <c r="BK495" s="3038"/>
      <c r="BL495" s="3038"/>
      <c r="BM495" s="3038"/>
      <c r="BN495" s="3038"/>
      <c r="BO495" s="3038"/>
      <c r="BP495" s="3038"/>
      <c r="BQ495" s="3038"/>
      <c r="BR495" s="3038"/>
      <c r="BS495" s="3038"/>
      <c r="BT495" s="3038"/>
      <c r="BU495" s="3038"/>
    </row>
    <row r="496" spans="3:73">
      <c r="C496" s="3038"/>
      <c r="D496" s="3038"/>
      <c r="E496" s="3038"/>
      <c r="H496" s="3038"/>
      <c r="I496" s="3038"/>
      <c r="J496" s="3038"/>
      <c r="K496" s="3038"/>
      <c r="M496" s="3038"/>
      <c r="N496" s="3038"/>
      <c r="O496" s="3038"/>
      <c r="P496" s="3038"/>
      <c r="Q496" s="3038"/>
      <c r="R496" s="3038"/>
      <c r="S496" s="3038"/>
      <c r="T496" s="3038"/>
      <c r="W496" s="3038"/>
      <c r="X496" s="3038"/>
      <c r="Y496" s="3038"/>
      <c r="Z496" s="3038"/>
      <c r="AA496" s="3113"/>
      <c r="AB496" s="3038"/>
      <c r="AC496" s="3038"/>
      <c r="AD496" s="3038"/>
      <c r="AE496" s="3132"/>
      <c r="AF496" s="3038"/>
      <c r="AG496" s="3038"/>
      <c r="AH496" s="3038"/>
      <c r="AK496" s="3038"/>
      <c r="AL496" s="3038"/>
      <c r="AM496" s="3038"/>
      <c r="AN496" s="3038"/>
      <c r="AO496" s="3038"/>
      <c r="AP496" s="3038"/>
      <c r="AQ496" s="3038"/>
      <c r="AR496" s="3038"/>
      <c r="AS496" s="3038"/>
      <c r="AT496" s="3038"/>
      <c r="AU496" s="3038"/>
      <c r="AV496" s="3038"/>
      <c r="AW496" s="3038"/>
      <c r="AX496" s="3038"/>
      <c r="AY496" s="3038"/>
      <c r="AZ496" s="3038"/>
      <c r="BA496" s="3038"/>
      <c r="BB496" s="3038"/>
      <c r="BC496" s="3038"/>
      <c r="BD496" s="3038"/>
      <c r="BE496" s="3038"/>
      <c r="BF496" s="3038"/>
      <c r="BG496" s="3038"/>
      <c r="BH496" s="3038"/>
      <c r="BI496" s="3038"/>
      <c r="BJ496" s="3038"/>
      <c r="BK496" s="3038"/>
      <c r="BL496" s="3038"/>
      <c r="BM496" s="3038"/>
      <c r="BN496" s="3038"/>
      <c r="BO496" s="3038"/>
      <c r="BP496" s="3038"/>
      <c r="BQ496" s="3038"/>
      <c r="BR496" s="3038"/>
      <c r="BS496" s="3038"/>
      <c r="BT496" s="3038"/>
      <c r="BU496" s="3038"/>
    </row>
    <row r="497" spans="3:73">
      <c r="C497" s="3038"/>
      <c r="D497" s="3038"/>
      <c r="E497" s="3038"/>
      <c r="H497" s="3038"/>
      <c r="I497" s="3038"/>
      <c r="J497" s="3038"/>
      <c r="K497" s="3038"/>
      <c r="M497" s="3038"/>
      <c r="N497" s="3038"/>
      <c r="O497" s="3038"/>
      <c r="P497" s="3038"/>
      <c r="Q497" s="3038"/>
      <c r="R497" s="3038"/>
      <c r="S497" s="3038"/>
      <c r="T497" s="3038"/>
      <c r="W497" s="3038"/>
      <c r="X497" s="3038"/>
      <c r="Y497" s="3038"/>
      <c r="Z497" s="3038"/>
      <c r="AA497" s="3113"/>
      <c r="AB497" s="3038"/>
      <c r="AC497" s="3038"/>
      <c r="AD497" s="3038"/>
      <c r="AE497" s="3132"/>
      <c r="AF497" s="3038"/>
      <c r="AG497" s="3038"/>
      <c r="AH497" s="3038"/>
      <c r="AK497" s="3038"/>
      <c r="AL497" s="3038"/>
      <c r="AM497" s="3038"/>
      <c r="AN497" s="3038"/>
      <c r="AO497" s="3038"/>
      <c r="AP497" s="3038"/>
      <c r="AQ497" s="3038"/>
      <c r="AR497" s="3038"/>
      <c r="AS497" s="3038"/>
      <c r="AT497" s="3038"/>
      <c r="AU497" s="3038"/>
      <c r="AV497" s="3038"/>
      <c r="AW497" s="3038"/>
      <c r="AX497" s="3038"/>
      <c r="AY497" s="3038"/>
      <c r="AZ497" s="3038"/>
      <c r="BA497" s="3038"/>
      <c r="BB497" s="3038"/>
      <c r="BC497" s="3038"/>
      <c r="BD497" s="3038"/>
      <c r="BE497" s="3038"/>
      <c r="BF497" s="3038"/>
      <c r="BG497" s="3038"/>
      <c r="BH497" s="3038"/>
      <c r="BI497" s="3038"/>
      <c r="BJ497" s="3038"/>
      <c r="BK497" s="3038"/>
      <c r="BL497" s="3038"/>
      <c r="BM497" s="3038"/>
      <c r="BN497" s="3038"/>
      <c r="BO497" s="3038"/>
      <c r="BP497" s="3038"/>
      <c r="BQ497" s="3038"/>
      <c r="BR497" s="3038"/>
      <c r="BS497" s="3038"/>
      <c r="BT497" s="3038"/>
      <c r="BU497" s="3038"/>
    </row>
    <row r="498" spans="3:73">
      <c r="C498" s="3038"/>
      <c r="D498" s="3038"/>
      <c r="E498" s="3038"/>
      <c r="H498" s="3038"/>
      <c r="I498" s="3038"/>
      <c r="J498" s="3038"/>
      <c r="K498" s="3038"/>
      <c r="M498" s="3038"/>
      <c r="N498" s="3038"/>
      <c r="O498" s="3038"/>
      <c r="P498" s="3038"/>
      <c r="Q498" s="3038"/>
      <c r="R498" s="3038"/>
      <c r="S498" s="3038"/>
      <c r="T498" s="3038"/>
      <c r="W498" s="3038"/>
      <c r="X498" s="3038"/>
      <c r="Y498" s="3038"/>
      <c r="Z498" s="3038"/>
      <c r="AA498" s="3113"/>
      <c r="AB498" s="3038"/>
      <c r="AC498" s="3038"/>
      <c r="AD498" s="3038"/>
      <c r="AE498" s="3132"/>
      <c r="AF498" s="3038"/>
      <c r="AG498" s="3038"/>
      <c r="AH498" s="3038"/>
      <c r="AK498" s="3038"/>
      <c r="AL498" s="3038"/>
      <c r="AM498" s="3038"/>
      <c r="AN498" s="3038"/>
      <c r="AO498" s="3038"/>
      <c r="AP498" s="3038"/>
      <c r="AQ498" s="3038"/>
      <c r="AR498" s="3038"/>
      <c r="AS498" s="3038"/>
      <c r="AT498" s="3038"/>
      <c r="AU498" s="3038"/>
      <c r="AV498" s="3038"/>
      <c r="AW498" s="3038"/>
      <c r="AX498" s="3038"/>
      <c r="AY498" s="3038"/>
      <c r="AZ498" s="3038"/>
      <c r="BA498" s="3038"/>
      <c r="BB498" s="3038"/>
      <c r="BC498" s="3038"/>
      <c r="BD498" s="3038"/>
      <c r="BE498" s="3038"/>
      <c r="BF498" s="3038"/>
      <c r="BG498" s="3038"/>
      <c r="BH498" s="3038"/>
      <c r="BI498" s="3038"/>
      <c r="BJ498" s="3038"/>
      <c r="BK498" s="3038"/>
      <c r="BL498" s="3038"/>
      <c r="BM498" s="3038"/>
      <c r="BN498" s="3038"/>
      <c r="BO498" s="3038"/>
      <c r="BP498" s="3038"/>
      <c r="BQ498" s="3038"/>
      <c r="BR498" s="3038"/>
      <c r="BS498" s="3038"/>
      <c r="BT498" s="3038"/>
      <c r="BU498" s="3038"/>
    </row>
    <row r="499" spans="3:73">
      <c r="C499" s="3038"/>
      <c r="D499" s="3038"/>
      <c r="E499" s="3038"/>
      <c r="H499" s="3038"/>
      <c r="I499" s="3038"/>
      <c r="J499" s="3038"/>
      <c r="K499" s="3038"/>
      <c r="M499" s="3038"/>
      <c r="N499" s="3038"/>
      <c r="O499" s="3038"/>
      <c r="P499" s="3038"/>
      <c r="Q499" s="3038"/>
      <c r="R499" s="3038"/>
      <c r="S499" s="3038"/>
      <c r="T499" s="3038"/>
      <c r="W499" s="3038"/>
      <c r="X499" s="3038"/>
      <c r="Y499" s="3038"/>
      <c r="Z499" s="3038"/>
      <c r="AA499" s="3113"/>
      <c r="AB499" s="3038"/>
      <c r="AC499" s="3038"/>
      <c r="AD499" s="3038"/>
      <c r="AE499" s="3132"/>
      <c r="AF499" s="3038"/>
      <c r="AG499" s="3038"/>
      <c r="AH499" s="3038"/>
      <c r="AK499" s="3038"/>
      <c r="AL499" s="3038"/>
      <c r="AM499" s="3038"/>
      <c r="AN499" s="3038"/>
      <c r="AO499" s="3038"/>
      <c r="AP499" s="3038"/>
      <c r="AQ499" s="3038"/>
      <c r="AR499" s="3038"/>
      <c r="AS499" s="3038"/>
      <c r="AT499" s="3038"/>
      <c r="AU499" s="3038"/>
      <c r="AV499" s="3038"/>
      <c r="AW499" s="3038"/>
      <c r="AX499" s="3038"/>
      <c r="AY499" s="3038"/>
      <c r="AZ499" s="3038"/>
      <c r="BA499" s="3038"/>
      <c r="BB499" s="3038"/>
      <c r="BC499" s="3038"/>
      <c r="BD499" s="3038"/>
      <c r="BE499" s="3038"/>
      <c r="BF499" s="3038"/>
      <c r="BG499" s="3038"/>
      <c r="BH499" s="3038"/>
      <c r="BI499" s="3038"/>
      <c r="BJ499" s="3038"/>
      <c r="BK499" s="3038"/>
      <c r="BL499" s="3038"/>
      <c r="BM499" s="3038"/>
      <c r="BN499" s="3038"/>
      <c r="BO499" s="3038"/>
      <c r="BP499" s="3038"/>
      <c r="BQ499" s="3038"/>
      <c r="BR499" s="3038"/>
      <c r="BS499" s="3038"/>
      <c r="BT499" s="3038"/>
      <c r="BU499" s="3038"/>
    </row>
    <row r="500" spans="3:73">
      <c r="C500" s="3038"/>
      <c r="D500" s="3038"/>
      <c r="E500" s="3038"/>
      <c r="H500" s="3038"/>
      <c r="I500" s="3038"/>
      <c r="J500" s="3038"/>
      <c r="K500" s="3038"/>
      <c r="M500" s="3038"/>
      <c r="N500" s="3038"/>
      <c r="O500" s="3038"/>
      <c r="P500" s="3038"/>
      <c r="Q500" s="3038"/>
      <c r="R500" s="3038"/>
      <c r="S500" s="3038"/>
      <c r="T500" s="3038"/>
      <c r="W500" s="3038"/>
      <c r="X500" s="3038"/>
      <c r="Y500" s="3038"/>
      <c r="Z500" s="3038"/>
      <c r="AA500" s="3113"/>
      <c r="AB500" s="3038"/>
      <c r="AC500" s="3038"/>
      <c r="AD500" s="3038"/>
      <c r="AE500" s="3132"/>
      <c r="AF500" s="3038"/>
      <c r="AG500" s="3038"/>
      <c r="AH500" s="3038"/>
      <c r="AK500" s="3038"/>
      <c r="AL500" s="3038"/>
      <c r="AM500" s="3038"/>
      <c r="AN500" s="3038"/>
      <c r="AO500" s="3038"/>
      <c r="AP500" s="3038"/>
      <c r="AQ500" s="3038"/>
      <c r="AR500" s="3038"/>
      <c r="AS500" s="3038"/>
      <c r="AT500" s="3038"/>
      <c r="AU500" s="3038"/>
      <c r="AV500" s="3038"/>
      <c r="AW500" s="3038"/>
      <c r="AX500" s="3038"/>
      <c r="AY500" s="3038"/>
      <c r="AZ500" s="3038"/>
      <c r="BA500" s="3038"/>
      <c r="BB500" s="3038"/>
      <c r="BC500" s="3038"/>
      <c r="BD500" s="3038"/>
      <c r="BE500" s="3038"/>
      <c r="BF500" s="3038"/>
      <c r="BG500" s="3038"/>
      <c r="BH500" s="3038"/>
      <c r="BI500" s="3038"/>
      <c r="BJ500" s="3038"/>
      <c r="BK500" s="3038"/>
      <c r="BL500" s="3038"/>
      <c r="BM500" s="3038"/>
      <c r="BN500" s="3038"/>
      <c r="BO500" s="3038"/>
      <c r="BP500" s="3038"/>
      <c r="BQ500" s="3038"/>
      <c r="BR500" s="3038"/>
      <c r="BS500" s="3038"/>
      <c r="BT500" s="3038"/>
      <c r="BU500" s="3038"/>
    </row>
    <row r="501" spans="3:73">
      <c r="C501" s="3038"/>
      <c r="D501" s="3038"/>
      <c r="E501" s="3038"/>
      <c r="H501" s="3038"/>
      <c r="I501" s="3038"/>
      <c r="J501" s="3038"/>
      <c r="K501" s="3038"/>
      <c r="M501" s="3038"/>
      <c r="N501" s="3038"/>
      <c r="O501" s="3038"/>
      <c r="P501" s="3038"/>
      <c r="Q501" s="3038"/>
      <c r="R501" s="3038"/>
      <c r="S501" s="3038"/>
      <c r="T501" s="3038"/>
      <c r="W501" s="3038"/>
      <c r="X501" s="3038"/>
      <c r="Y501" s="3038"/>
      <c r="Z501" s="3038"/>
      <c r="AA501" s="3113"/>
      <c r="AB501" s="3038"/>
      <c r="AC501" s="3038"/>
      <c r="AD501" s="3038"/>
      <c r="AE501" s="3132"/>
      <c r="AF501" s="3038"/>
      <c r="AG501" s="3038"/>
      <c r="AH501" s="3038"/>
      <c r="AK501" s="3038"/>
      <c r="AL501" s="3038"/>
      <c r="AM501" s="3038"/>
      <c r="AN501" s="3038"/>
      <c r="AO501" s="3038"/>
      <c r="AP501" s="3038"/>
      <c r="AQ501" s="3038"/>
      <c r="AR501" s="3038"/>
      <c r="AS501" s="3038"/>
      <c r="AT501" s="3038"/>
      <c r="AU501" s="3038"/>
      <c r="AV501" s="3038"/>
      <c r="AW501" s="3038"/>
      <c r="AX501" s="3038"/>
      <c r="AY501" s="3038"/>
      <c r="AZ501" s="3038"/>
      <c r="BA501" s="3038"/>
      <c r="BB501" s="3038"/>
      <c r="BC501" s="3038"/>
      <c r="BD501" s="3038"/>
      <c r="BE501" s="3038"/>
      <c r="BF501" s="3038"/>
      <c r="BG501" s="3038"/>
      <c r="BH501" s="3038"/>
      <c r="BI501" s="3038"/>
      <c r="BJ501" s="3038"/>
      <c r="BK501" s="3038"/>
      <c r="BL501" s="3038"/>
      <c r="BM501" s="3038"/>
      <c r="BN501" s="3038"/>
      <c r="BO501" s="3038"/>
      <c r="BP501" s="3038"/>
      <c r="BQ501" s="3038"/>
      <c r="BR501" s="3038"/>
      <c r="BS501" s="3038"/>
      <c r="BT501" s="3038"/>
      <c r="BU501" s="3038"/>
    </row>
    <row r="502" spans="3:73">
      <c r="C502" s="3038"/>
      <c r="D502" s="3038"/>
      <c r="E502" s="3038"/>
      <c r="H502" s="3038"/>
      <c r="I502" s="3038"/>
      <c r="J502" s="3038"/>
      <c r="K502" s="3038"/>
      <c r="M502" s="3038"/>
      <c r="N502" s="3038"/>
      <c r="O502" s="3038"/>
      <c r="P502" s="3038"/>
      <c r="Q502" s="3038"/>
      <c r="R502" s="3038"/>
      <c r="S502" s="3038"/>
      <c r="T502" s="3038"/>
      <c r="W502" s="3038"/>
      <c r="X502" s="3038"/>
      <c r="Y502" s="3038"/>
      <c r="Z502" s="3038"/>
      <c r="AA502" s="3113"/>
      <c r="AB502" s="3038"/>
      <c r="AC502" s="3038"/>
      <c r="AD502" s="3038"/>
      <c r="AE502" s="3132"/>
      <c r="AF502" s="3038"/>
      <c r="AG502" s="3038"/>
      <c r="AH502" s="3038"/>
      <c r="AK502" s="3038"/>
      <c r="AL502" s="3038"/>
      <c r="AM502" s="3038"/>
      <c r="AN502" s="3038"/>
      <c r="AO502" s="3038"/>
      <c r="AP502" s="3038"/>
      <c r="AQ502" s="3038"/>
      <c r="AR502" s="3038"/>
      <c r="AS502" s="3038"/>
      <c r="AT502" s="3038"/>
      <c r="AU502" s="3038"/>
      <c r="AV502" s="3038"/>
      <c r="AW502" s="3038"/>
      <c r="AX502" s="3038"/>
      <c r="AY502" s="3038"/>
      <c r="AZ502" s="3038"/>
      <c r="BA502" s="3038"/>
      <c r="BB502" s="3038"/>
      <c r="BC502" s="3038"/>
      <c r="BD502" s="3038"/>
      <c r="BE502" s="3038"/>
      <c r="BF502" s="3038"/>
      <c r="BG502" s="3038"/>
      <c r="BH502" s="3038"/>
      <c r="BI502" s="3038"/>
      <c r="BJ502" s="3038"/>
      <c r="BK502" s="3038"/>
      <c r="BL502" s="3038"/>
      <c r="BM502" s="3038"/>
      <c r="BN502" s="3038"/>
      <c r="BO502" s="3038"/>
      <c r="BP502" s="3038"/>
      <c r="BQ502" s="3038"/>
      <c r="BR502" s="3038"/>
      <c r="BS502" s="3038"/>
      <c r="BT502" s="3038"/>
      <c r="BU502" s="3038"/>
    </row>
    <row r="503" spans="3:73">
      <c r="C503" s="3038"/>
      <c r="D503" s="3038"/>
      <c r="E503" s="3038"/>
      <c r="H503" s="3038"/>
      <c r="I503" s="3038"/>
      <c r="J503" s="3038"/>
      <c r="K503" s="3038"/>
      <c r="M503" s="3038"/>
      <c r="N503" s="3038"/>
      <c r="O503" s="3038"/>
      <c r="P503" s="3038"/>
      <c r="Q503" s="3038"/>
      <c r="R503" s="3038"/>
      <c r="S503" s="3038"/>
      <c r="T503" s="3038"/>
      <c r="W503" s="3038"/>
      <c r="X503" s="3038"/>
      <c r="Y503" s="3038"/>
      <c r="Z503" s="3038"/>
      <c r="AA503" s="3113"/>
      <c r="AB503" s="3038"/>
      <c r="AC503" s="3038"/>
      <c r="AD503" s="3038"/>
      <c r="AE503" s="3132"/>
      <c r="AF503" s="3038"/>
      <c r="AG503" s="3038"/>
      <c r="AH503" s="3038"/>
      <c r="AK503" s="3038"/>
      <c r="AL503" s="3038"/>
      <c r="AM503" s="3038"/>
      <c r="AN503" s="3038"/>
      <c r="AO503" s="3038"/>
      <c r="AP503" s="3038"/>
      <c r="AQ503" s="3038"/>
      <c r="AR503" s="3038"/>
      <c r="AS503" s="3038"/>
      <c r="AT503" s="3038"/>
      <c r="AU503" s="3038"/>
      <c r="AV503" s="3038"/>
      <c r="AW503" s="3038"/>
      <c r="AX503" s="3038"/>
      <c r="AY503" s="3038"/>
      <c r="AZ503" s="3038"/>
      <c r="BA503" s="3038"/>
      <c r="BB503" s="3038"/>
      <c r="BC503" s="3038"/>
      <c r="BD503" s="3038"/>
      <c r="BE503" s="3038"/>
      <c r="BF503" s="3038"/>
      <c r="BG503" s="3038"/>
      <c r="BH503" s="3038"/>
      <c r="BI503" s="3038"/>
      <c r="BJ503" s="3038"/>
      <c r="BK503" s="3038"/>
      <c r="BL503" s="3038"/>
      <c r="BM503" s="3038"/>
      <c r="BN503" s="3038"/>
      <c r="BO503" s="3038"/>
      <c r="BP503" s="3038"/>
      <c r="BQ503" s="3038"/>
      <c r="BR503" s="3038"/>
      <c r="BS503" s="3038"/>
      <c r="BT503" s="3038"/>
      <c r="BU503" s="3038"/>
    </row>
    <row r="504" spans="3:73">
      <c r="C504" s="3038"/>
      <c r="D504" s="3038"/>
      <c r="E504" s="3038"/>
      <c r="H504" s="3038"/>
      <c r="I504" s="3038"/>
      <c r="J504" s="3038"/>
      <c r="K504" s="3038"/>
      <c r="M504" s="3038"/>
      <c r="N504" s="3038"/>
      <c r="O504" s="3038"/>
      <c r="P504" s="3038"/>
      <c r="Q504" s="3038"/>
      <c r="R504" s="3038"/>
      <c r="S504" s="3038"/>
      <c r="T504" s="3038"/>
      <c r="W504" s="3038"/>
      <c r="X504" s="3038"/>
      <c r="Y504" s="3038"/>
      <c r="Z504" s="3038"/>
      <c r="AA504" s="3113"/>
      <c r="AB504" s="3038"/>
      <c r="AC504" s="3038"/>
      <c r="AD504" s="3038"/>
      <c r="AE504" s="3132"/>
      <c r="AF504" s="3038"/>
      <c r="AG504" s="3038"/>
      <c r="AH504" s="3038"/>
      <c r="AK504" s="3038"/>
      <c r="AL504" s="3038"/>
      <c r="AM504" s="3038"/>
      <c r="AN504" s="3038"/>
      <c r="AO504" s="3038"/>
      <c r="AP504" s="3038"/>
      <c r="AQ504" s="3038"/>
      <c r="AR504" s="3038"/>
      <c r="AS504" s="3038"/>
      <c r="AT504" s="3038"/>
      <c r="AU504" s="3038"/>
      <c r="AV504" s="3038"/>
      <c r="AW504" s="3038"/>
      <c r="AX504" s="3038"/>
      <c r="AY504" s="3038"/>
      <c r="AZ504" s="3038"/>
      <c r="BA504" s="3038"/>
      <c r="BB504" s="3038"/>
      <c r="BC504" s="3038"/>
      <c r="BD504" s="3038"/>
      <c r="BE504" s="3038"/>
      <c r="BF504" s="3038"/>
      <c r="BG504" s="3038"/>
      <c r="BH504" s="3038"/>
      <c r="BI504" s="3038"/>
      <c r="BJ504" s="3038"/>
      <c r="BK504" s="3038"/>
      <c r="BL504" s="3038"/>
      <c r="BM504" s="3038"/>
      <c r="BN504" s="3038"/>
      <c r="BO504" s="3038"/>
      <c r="BP504" s="3038"/>
      <c r="BQ504" s="3038"/>
      <c r="BR504" s="3038"/>
      <c r="BS504" s="3038"/>
      <c r="BT504" s="3038"/>
      <c r="BU504" s="3038"/>
    </row>
    <row r="505" spans="3:73">
      <c r="C505" s="3038"/>
      <c r="D505" s="3038"/>
      <c r="E505" s="3038"/>
      <c r="H505" s="3038"/>
      <c r="I505" s="3038"/>
      <c r="J505" s="3038"/>
      <c r="K505" s="3038"/>
      <c r="M505" s="3038"/>
      <c r="N505" s="3038"/>
      <c r="O505" s="3038"/>
      <c r="P505" s="3038"/>
      <c r="Q505" s="3038"/>
      <c r="R505" s="3038"/>
      <c r="S505" s="3038"/>
      <c r="T505" s="3038"/>
      <c r="W505" s="3038"/>
      <c r="X505" s="3038"/>
      <c r="Y505" s="3038"/>
      <c r="Z505" s="3038"/>
      <c r="AA505" s="3113"/>
      <c r="AB505" s="3038"/>
      <c r="AC505" s="3038"/>
      <c r="AD505" s="3038"/>
      <c r="AE505" s="3132"/>
      <c r="AF505" s="3038"/>
      <c r="AG505" s="3038"/>
      <c r="AH505" s="3038"/>
      <c r="AK505" s="3038"/>
      <c r="AL505" s="3038"/>
      <c r="AM505" s="3038"/>
      <c r="AN505" s="3038"/>
      <c r="AO505" s="3038"/>
      <c r="AP505" s="3038"/>
      <c r="AQ505" s="3038"/>
      <c r="AR505" s="3038"/>
      <c r="AS505" s="3038"/>
      <c r="AT505" s="3038"/>
      <c r="AU505" s="3038"/>
      <c r="AV505" s="3038"/>
      <c r="AW505" s="3038"/>
      <c r="AX505" s="3038"/>
      <c r="AY505" s="3038"/>
      <c r="AZ505" s="3038"/>
      <c r="BA505" s="3038"/>
      <c r="BB505" s="3038"/>
      <c r="BC505" s="3038"/>
      <c r="BD505" s="3038"/>
      <c r="BE505" s="3038"/>
      <c r="BF505" s="3038"/>
      <c r="BG505" s="3038"/>
      <c r="BH505" s="3038"/>
      <c r="BI505" s="3038"/>
      <c r="BJ505" s="3038"/>
      <c r="BK505" s="3038"/>
      <c r="BL505" s="3038"/>
      <c r="BM505" s="3038"/>
      <c r="BN505" s="3038"/>
      <c r="BO505" s="3038"/>
      <c r="BP505" s="3038"/>
      <c r="BQ505" s="3038"/>
      <c r="BR505" s="3038"/>
      <c r="BS505" s="3038"/>
      <c r="BT505" s="3038"/>
      <c r="BU505" s="3038"/>
    </row>
    <row r="506" spans="3:73">
      <c r="C506" s="3038"/>
      <c r="D506" s="3038"/>
      <c r="E506" s="3038"/>
      <c r="H506" s="3038"/>
      <c r="I506" s="3038"/>
      <c r="J506" s="3038"/>
      <c r="K506" s="3038"/>
      <c r="M506" s="3038"/>
      <c r="N506" s="3038"/>
      <c r="O506" s="3038"/>
      <c r="P506" s="3038"/>
      <c r="Q506" s="3038"/>
      <c r="R506" s="3038"/>
      <c r="S506" s="3038"/>
      <c r="T506" s="3038"/>
      <c r="W506" s="3038"/>
      <c r="X506" s="3038"/>
      <c r="Y506" s="3038"/>
      <c r="Z506" s="3038"/>
      <c r="AA506" s="3113"/>
      <c r="AB506" s="3038"/>
      <c r="AC506" s="3038"/>
      <c r="AD506" s="3038"/>
      <c r="AE506" s="3132"/>
      <c r="AF506" s="3038"/>
      <c r="AG506" s="3038"/>
      <c r="AH506" s="3038"/>
      <c r="AK506" s="3038"/>
      <c r="AL506" s="3038"/>
      <c r="AM506" s="3038"/>
      <c r="AN506" s="3038"/>
      <c r="AO506" s="3038"/>
      <c r="AP506" s="3038"/>
      <c r="AQ506" s="3038"/>
      <c r="AR506" s="3038"/>
      <c r="AS506" s="3038"/>
      <c r="AT506" s="3038"/>
      <c r="AU506" s="3038"/>
      <c r="AV506" s="3038"/>
      <c r="AW506" s="3038"/>
      <c r="AX506" s="3038"/>
      <c r="AY506" s="3038"/>
      <c r="AZ506" s="3038"/>
      <c r="BA506" s="3038"/>
      <c r="BB506" s="3038"/>
      <c r="BC506" s="3038"/>
      <c r="BD506" s="3038"/>
      <c r="BE506" s="3038"/>
      <c r="BF506" s="3038"/>
      <c r="BG506" s="3038"/>
      <c r="BH506" s="3038"/>
      <c r="BI506" s="3038"/>
      <c r="BJ506" s="3038"/>
      <c r="BK506" s="3038"/>
      <c r="BL506" s="3038"/>
      <c r="BM506" s="3038"/>
      <c r="BN506" s="3038"/>
      <c r="BO506" s="3038"/>
      <c r="BP506" s="3038"/>
      <c r="BQ506" s="3038"/>
      <c r="BR506" s="3038"/>
      <c r="BS506" s="3038"/>
      <c r="BT506" s="3038"/>
      <c r="BU506" s="3038"/>
    </row>
    <row r="507" spans="3:73">
      <c r="C507" s="3038"/>
      <c r="D507" s="3038"/>
      <c r="E507" s="3038"/>
      <c r="H507" s="3038"/>
      <c r="I507" s="3038"/>
      <c r="J507" s="3038"/>
      <c r="K507" s="3038"/>
      <c r="M507" s="3038"/>
      <c r="N507" s="3038"/>
      <c r="O507" s="3038"/>
      <c r="P507" s="3038"/>
      <c r="Q507" s="3038"/>
      <c r="R507" s="3038"/>
      <c r="S507" s="3038"/>
      <c r="T507" s="3038"/>
      <c r="W507" s="3038"/>
      <c r="X507" s="3038"/>
      <c r="Y507" s="3038"/>
      <c r="Z507" s="3038"/>
      <c r="AA507" s="3113"/>
      <c r="AB507" s="3038"/>
      <c r="AC507" s="3038"/>
      <c r="AD507" s="3038"/>
      <c r="AE507" s="3132"/>
      <c r="AF507" s="3038"/>
      <c r="AG507" s="3038"/>
      <c r="AH507" s="3038"/>
      <c r="AK507" s="3038"/>
      <c r="AL507" s="3038"/>
      <c r="AM507" s="3038"/>
      <c r="AN507" s="3038"/>
      <c r="AO507" s="3038"/>
      <c r="AP507" s="3038"/>
      <c r="AQ507" s="3038"/>
      <c r="AR507" s="3038"/>
      <c r="AS507" s="3038"/>
      <c r="AT507" s="3038"/>
      <c r="AU507" s="3038"/>
      <c r="AV507" s="3038"/>
      <c r="AW507" s="3038"/>
      <c r="AX507" s="3038"/>
      <c r="AY507" s="3038"/>
      <c r="AZ507" s="3038"/>
      <c r="BA507" s="3038"/>
      <c r="BB507" s="3038"/>
      <c r="BC507" s="3038"/>
      <c r="BD507" s="3038"/>
      <c r="BE507" s="3038"/>
      <c r="BF507" s="3038"/>
      <c r="BG507" s="3038"/>
      <c r="BH507" s="3038"/>
      <c r="BI507" s="3038"/>
      <c r="BJ507" s="3038"/>
      <c r="BK507" s="3038"/>
      <c r="BL507" s="3038"/>
      <c r="BM507" s="3038"/>
      <c r="BN507" s="3038"/>
      <c r="BO507" s="3038"/>
      <c r="BP507" s="3038"/>
      <c r="BQ507" s="3038"/>
      <c r="BR507" s="3038"/>
      <c r="BS507" s="3038"/>
      <c r="BT507" s="3038"/>
      <c r="BU507" s="3038"/>
    </row>
    <row r="508" spans="3:73">
      <c r="C508" s="3038"/>
      <c r="D508" s="3038"/>
      <c r="E508" s="3038"/>
      <c r="H508" s="3038"/>
      <c r="I508" s="3038"/>
      <c r="J508" s="3038"/>
      <c r="K508" s="3038"/>
      <c r="M508" s="3038"/>
      <c r="N508" s="3038"/>
      <c r="O508" s="3038"/>
      <c r="P508" s="3038"/>
      <c r="Q508" s="3038"/>
      <c r="R508" s="3038"/>
      <c r="S508" s="3038"/>
      <c r="T508" s="3038"/>
      <c r="W508" s="3038"/>
      <c r="X508" s="3038"/>
      <c r="Y508" s="3038"/>
      <c r="Z508" s="3038"/>
      <c r="AA508" s="3113"/>
      <c r="AB508" s="3038"/>
      <c r="AC508" s="3038"/>
      <c r="AD508" s="3038"/>
      <c r="AE508" s="3132"/>
      <c r="AF508" s="3038"/>
      <c r="AG508" s="3038"/>
      <c r="AH508" s="3038"/>
      <c r="AK508" s="3038"/>
      <c r="AL508" s="3038"/>
      <c r="AM508" s="3038"/>
      <c r="AN508" s="3038"/>
      <c r="AO508" s="3038"/>
      <c r="AP508" s="3038"/>
      <c r="AQ508" s="3038"/>
      <c r="AR508" s="3038"/>
      <c r="AS508" s="3038"/>
      <c r="AT508" s="3038"/>
      <c r="AU508" s="3038"/>
      <c r="AV508" s="3038"/>
      <c r="AW508" s="3038"/>
      <c r="AX508" s="3038"/>
      <c r="AY508" s="3038"/>
      <c r="AZ508" s="3038"/>
      <c r="BA508" s="3038"/>
      <c r="BB508" s="3038"/>
      <c r="BC508" s="3038"/>
      <c r="BD508" s="3038"/>
      <c r="BE508" s="3038"/>
      <c r="BF508" s="3038"/>
      <c r="BG508" s="3038"/>
      <c r="BH508" s="3038"/>
      <c r="BI508" s="3038"/>
      <c r="BJ508" s="3038"/>
      <c r="BK508" s="3038"/>
      <c r="BL508" s="3038"/>
      <c r="BM508" s="3038"/>
      <c r="BN508" s="3038"/>
      <c r="BO508" s="3038"/>
      <c r="BP508" s="3038"/>
      <c r="BQ508" s="3038"/>
      <c r="BR508" s="3038"/>
      <c r="BS508" s="3038"/>
      <c r="BT508" s="3038"/>
      <c r="BU508" s="3038"/>
    </row>
    <row r="509" spans="3:73">
      <c r="C509" s="3038"/>
      <c r="D509" s="3038"/>
      <c r="E509" s="3038"/>
      <c r="H509" s="3038"/>
      <c r="I509" s="3038"/>
      <c r="J509" s="3038"/>
      <c r="K509" s="3038"/>
      <c r="M509" s="3038"/>
      <c r="N509" s="3038"/>
      <c r="O509" s="3038"/>
      <c r="P509" s="3038"/>
      <c r="Q509" s="3038"/>
      <c r="R509" s="3038"/>
      <c r="S509" s="3038"/>
      <c r="T509" s="3038"/>
      <c r="W509" s="3038"/>
      <c r="X509" s="3038"/>
      <c r="Y509" s="3038"/>
      <c r="Z509" s="3038"/>
      <c r="AA509" s="3113"/>
      <c r="AB509" s="3038"/>
      <c r="AC509" s="3038"/>
      <c r="AD509" s="3038"/>
      <c r="AE509" s="3132"/>
      <c r="AF509" s="3038"/>
      <c r="AG509" s="3038"/>
      <c r="AH509" s="3038"/>
      <c r="AK509" s="3038"/>
      <c r="AL509" s="3038"/>
      <c r="AM509" s="3038"/>
      <c r="AN509" s="3038"/>
      <c r="AO509" s="3038"/>
      <c r="AP509" s="3038"/>
      <c r="AQ509" s="3038"/>
      <c r="AR509" s="3038"/>
      <c r="AS509" s="3038"/>
      <c r="AT509" s="3038"/>
      <c r="AU509" s="3038"/>
      <c r="AV509" s="3038"/>
      <c r="AW509" s="3038"/>
      <c r="AX509" s="3038"/>
      <c r="AY509" s="3038"/>
      <c r="AZ509" s="3038"/>
      <c r="BA509" s="3038"/>
      <c r="BB509" s="3038"/>
      <c r="BC509" s="3038"/>
      <c r="BD509" s="3038"/>
      <c r="BE509" s="3038"/>
      <c r="BF509" s="3038"/>
      <c r="BG509" s="3038"/>
      <c r="BH509" s="3038"/>
      <c r="BI509" s="3038"/>
      <c r="BJ509" s="3038"/>
      <c r="BK509" s="3038"/>
      <c r="BL509" s="3038"/>
      <c r="BM509" s="3038"/>
      <c r="BN509" s="3038"/>
      <c r="BO509" s="3038"/>
      <c r="BP509" s="3038"/>
      <c r="BQ509" s="3038"/>
      <c r="BR509" s="3038"/>
      <c r="BS509" s="3038"/>
      <c r="BT509" s="3038"/>
      <c r="BU509" s="3038"/>
    </row>
    <row r="510" spans="3:73">
      <c r="C510" s="3038"/>
      <c r="D510" s="3038"/>
      <c r="E510" s="3038"/>
      <c r="H510" s="3038"/>
      <c r="I510" s="3038"/>
      <c r="J510" s="3038"/>
      <c r="K510" s="3038"/>
      <c r="M510" s="3038"/>
      <c r="N510" s="3038"/>
      <c r="O510" s="3038"/>
      <c r="P510" s="3038"/>
      <c r="Q510" s="3038"/>
      <c r="R510" s="3038"/>
      <c r="S510" s="3038"/>
      <c r="T510" s="3038"/>
      <c r="W510" s="3038"/>
      <c r="X510" s="3038"/>
      <c r="Y510" s="3038"/>
      <c r="Z510" s="3038"/>
      <c r="AA510" s="3113"/>
      <c r="AB510" s="3038"/>
      <c r="AC510" s="3038"/>
      <c r="AD510" s="3038"/>
      <c r="AE510" s="3132"/>
      <c r="AF510" s="3038"/>
      <c r="AG510" s="3038"/>
      <c r="AH510" s="3038"/>
      <c r="AK510" s="3038"/>
      <c r="AL510" s="3038"/>
      <c r="AM510" s="3038"/>
      <c r="AN510" s="3038"/>
      <c r="AO510" s="3038"/>
      <c r="AP510" s="3038"/>
      <c r="AQ510" s="3038"/>
      <c r="AR510" s="3038"/>
      <c r="AS510" s="3038"/>
      <c r="AT510" s="3038"/>
      <c r="AU510" s="3038"/>
      <c r="AV510" s="3038"/>
      <c r="AW510" s="3038"/>
      <c r="AX510" s="3038"/>
      <c r="AY510" s="3038"/>
      <c r="AZ510" s="3038"/>
      <c r="BA510" s="3038"/>
      <c r="BB510" s="3038"/>
      <c r="BC510" s="3038"/>
      <c r="BD510" s="3038"/>
      <c r="BE510" s="3038"/>
      <c r="BF510" s="3038"/>
      <c r="BG510" s="3038"/>
      <c r="BH510" s="3038"/>
      <c r="BI510" s="3038"/>
      <c r="BJ510" s="3038"/>
      <c r="BK510" s="3038"/>
      <c r="BL510" s="3038"/>
      <c r="BM510" s="3038"/>
      <c r="BN510" s="3038"/>
      <c r="BO510" s="3038"/>
      <c r="BP510" s="3038"/>
      <c r="BQ510" s="3038"/>
      <c r="BR510" s="3038"/>
      <c r="BS510" s="3038"/>
      <c r="BT510" s="3038"/>
      <c r="BU510" s="3038"/>
    </row>
    <row r="511" spans="3:73">
      <c r="C511" s="3038"/>
      <c r="D511" s="3038"/>
      <c r="E511" s="3038"/>
      <c r="H511" s="3038"/>
      <c r="I511" s="3038"/>
      <c r="J511" s="3038"/>
      <c r="K511" s="3038"/>
      <c r="M511" s="3038"/>
      <c r="N511" s="3038"/>
      <c r="O511" s="3038"/>
      <c r="P511" s="3038"/>
      <c r="Q511" s="3038"/>
      <c r="R511" s="3038"/>
      <c r="S511" s="3038"/>
      <c r="T511" s="3038"/>
      <c r="W511" s="3038"/>
      <c r="X511" s="3038"/>
      <c r="Y511" s="3038"/>
      <c r="Z511" s="3038"/>
      <c r="AA511" s="3113"/>
      <c r="AB511" s="3038"/>
      <c r="AC511" s="3038"/>
      <c r="AD511" s="3038"/>
      <c r="AE511" s="3132"/>
      <c r="AF511" s="3038"/>
      <c r="AG511" s="3038"/>
      <c r="AH511" s="3038"/>
      <c r="AK511" s="3038"/>
      <c r="AL511" s="3038"/>
      <c r="AM511" s="3038"/>
      <c r="AN511" s="3038"/>
      <c r="AO511" s="3038"/>
      <c r="AP511" s="3038"/>
      <c r="AQ511" s="3038"/>
      <c r="AR511" s="3038"/>
      <c r="AS511" s="3038"/>
      <c r="AT511" s="3038"/>
      <c r="AU511" s="3038"/>
      <c r="AV511" s="3038"/>
      <c r="AW511" s="3038"/>
      <c r="AX511" s="3038"/>
      <c r="AY511" s="3038"/>
      <c r="AZ511" s="3038"/>
      <c r="BA511" s="3038"/>
      <c r="BB511" s="3038"/>
      <c r="BC511" s="3038"/>
      <c r="BD511" s="3038"/>
      <c r="BE511" s="3038"/>
      <c r="BF511" s="3038"/>
      <c r="BG511" s="3038"/>
      <c r="BH511" s="3038"/>
      <c r="BI511" s="3038"/>
      <c r="BJ511" s="3038"/>
      <c r="BK511" s="3038"/>
      <c r="BL511" s="3038"/>
      <c r="BM511" s="3038"/>
      <c r="BN511" s="3038"/>
      <c r="BO511" s="3038"/>
      <c r="BP511" s="3038"/>
      <c r="BQ511" s="3038"/>
      <c r="BR511" s="3038"/>
      <c r="BS511" s="3038"/>
      <c r="BT511" s="3038"/>
      <c r="BU511" s="3038"/>
    </row>
    <row r="512" spans="3:73">
      <c r="C512" s="3038"/>
      <c r="D512" s="3038"/>
      <c r="E512" s="3038"/>
      <c r="H512" s="3038"/>
      <c r="I512" s="3038"/>
      <c r="J512" s="3038"/>
      <c r="K512" s="3038"/>
      <c r="M512" s="3038"/>
      <c r="N512" s="3038"/>
      <c r="O512" s="3038"/>
      <c r="P512" s="3038"/>
      <c r="Q512" s="3038"/>
      <c r="R512" s="3038"/>
      <c r="S512" s="3038"/>
      <c r="T512" s="3038"/>
      <c r="W512" s="3038"/>
      <c r="X512" s="3038"/>
      <c r="Y512" s="3038"/>
      <c r="Z512" s="3038"/>
      <c r="AA512" s="3113"/>
      <c r="AB512" s="3038"/>
      <c r="AC512" s="3038"/>
      <c r="AD512" s="3038"/>
      <c r="AE512" s="3132"/>
      <c r="AF512" s="3038"/>
      <c r="AG512" s="3038"/>
      <c r="AH512" s="3038"/>
      <c r="AK512" s="3038"/>
      <c r="AL512" s="3038"/>
      <c r="AM512" s="3038"/>
      <c r="AN512" s="3038"/>
      <c r="AO512" s="3038"/>
      <c r="AP512" s="3038"/>
      <c r="AQ512" s="3038"/>
      <c r="AR512" s="3038"/>
      <c r="AS512" s="3038"/>
      <c r="AT512" s="3038"/>
      <c r="AU512" s="3038"/>
      <c r="AV512" s="3038"/>
      <c r="AW512" s="3038"/>
      <c r="AX512" s="3038"/>
      <c r="AY512" s="3038"/>
      <c r="AZ512" s="3038"/>
      <c r="BA512" s="3038"/>
      <c r="BB512" s="3038"/>
      <c r="BC512" s="3038"/>
      <c r="BD512" s="3038"/>
      <c r="BE512" s="3038"/>
      <c r="BF512" s="3038"/>
      <c r="BG512" s="3038"/>
      <c r="BH512" s="3038"/>
      <c r="BI512" s="3038"/>
      <c r="BJ512" s="3038"/>
      <c r="BK512" s="3038"/>
      <c r="BL512" s="3038"/>
      <c r="BM512" s="3038"/>
      <c r="BN512" s="3038"/>
      <c r="BO512" s="3038"/>
      <c r="BP512" s="3038"/>
      <c r="BQ512" s="3038"/>
      <c r="BR512" s="3038"/>
      <c r="BS512" s="3038"/>
      <c r="BT512" s="3038"/>
      <c r="BU512" s="3038"/>
    </row>
    <row r="513" spans="3:73">
      <c r="C513" s="3038"/>
      <c r="D513" s="3038"/>
      <c r="E513" s="3038"/>
      <c r="H513" s="3038"/>
      <c r="I513" s="3038"/>
      <c r="J513" s="3038"/>
      <c r="K513" s="3038"/>
      <c r="M513" s="3038"/>
      <c r="N513" s="3038"/>
      <c r="O513" s="3038"/>
      <c r="P513" s="3038"/>
      <c r="Q513" s="3038"/>
      <c r="R513" s="3038"/>
      <c r="S513" s="3038"/>
      <c r="T513" s="3038"/>
      <c r="W513" s="3038"/>
      <c r="X513" s="3038"/>
      <c r="Y513" s="3038"/>
      <c r="Z513" s="3038"/>
      <c r="AA513" s="3113"/>
      <c r="AB513" s="3038"/>
      <c r="AC513" s="3038"/>
      <c r="AD513" s="3038"/>
      <c r="AE513" s="3132"/>
      <c r="AF513" s="3038"/>
      <c r="AG513" s="3038"/>
      <c r="AH513" s="3038"/>
      <c r="AK513" s="3038"/>
      <c r="AL513" s="3038"/>
      <c r="AM513" s="3038"/>
      <c r="AN513" s="3038"/>
      <c r="AO513" s="3038"/>
      <c r="AP513" s="3038"/>
      <c r="AQ513" s="3038"/>
      <c r="AR513" s="3038"/>
      <c r="AS513" s="3038"/>
      <c r="AT513" s="3038"/>
      <c r="AU513" s="3038"/>
      <c r="AV513" s="3038"/>
      <c r="AW513" s="3038"/>
      <c r="AX513" s="3038"/>
      <c r="AY513" s="3038"/>
      <c r="AZ513" s="3038"/>
      <c r="BA513" s="3038"/>
      <c r="BB513" s="3038"/>
      <c r="BC513" s="3038"/>
      <c r="BD513" s="3038"/>
      <c r="BE513" s="3038"/>
      <c r="BF513" s="3038"/>
      <c r="BG513" s="3038"/>
      <c r="BH513" s="3038"/>
      <c r="BI513" s="3038"/>
      <c r="BJ513" s="3038"/>
      <c r="BK513" s="3038"/>
      <c r="BL513" s="3038"/>
      <c r="BM513" s="3038"/>
      <c r="BN513" s="3038"/>
      <c r="BO513" s="3038"/>
      <c r="BP513" s="3038"/>
      <c r="BQ513" s="3038"/>
      <c r="BR513" s="3038"/>
      <c r="BS513" s="3038"/>
      <c r="BT513" s="3038"/>
      <c r="BU513" s="3038"/>
    </row>
    <row r="514" spans="3:73">
      <c r="C514" s="3038"/>
      <c r="D514" s="3038"/>
      <c r="E514" s="3038"/>
      <c r="H514" s="3038"/>
      <c r="I514" s="3038"/>
      <c r="J514" s="3038"/>
      <c r="K514" s="3038"/>
      <c r="M514" s="3038"/>
      <c r="N514" s="3038"/>
      <c r="O514" s="3038"/>
      <c r="P514" s="3038"/>
      <c r="Q514" s="3038"/>
      <c r="R514" s="3038"/>
      <c r="S514" s="3038"/>
      <c r="T514" s="3038"/>
      <c r="W514" s="3038"/>
      <c r="X514" s="3038"/>
      <c r="Y514" s="3038"/>
      <c r="Z514" s="3038"/>
      <c r="AA514" s="3113"/>
      <c r="AB514" s="3038"/>
      <c r="AC514" s="3038"/>
      <c r="AD514" s="3038"/>
      <c r="AE514" s="3132"/>
      <c r="AF514" s="3038"/>
      <c r="AG514" s="3038"/>
      <c r="AH514" s="3038"/>
      <c r="AK514" s="3038"/>
      <c r="AL514" s="3038"/>
      <c r="AM514" s="3038"/>
      <c r="AN514" s="3038"/>
      <c r="AO514" s="3038"/>
      <c r="AP514" s="3038"/>
      <c r="AQ514" s="3038"/>
      <c r="AR514" s="3038"/>
      <c r="AS514" s="3038"/>
      <c r="AT514" s="3038"/>
      <c r="AU514" s="3038"/>
      <c r="AV514" s="3038"/>
      <c r="AW514" s="3038"/>
      <c r="AX514" s="3038"/>
      <c r="AY514" s="3038"/>
      <c r="AZ514" s="3038"/>
      <c r="BA514" s="3038"/>
      <c r="BB514" s="3038"/>
      <c r="BC514" s="3038"/>
      <c r="BD514" s="3038"/>
      <c r="BE514" s="3038"/>
      <c r="BF514" s="3038"/>
      <c r="BG514" s="3038"/>
      <c r="BH514" s="3038"/>
      <c r="BI514" s="3038"/>
      <c r="BJ514" s="3038"/>
      <c r="BK514" s="3038"/>
      <c r="BL514" s="3038"/>
      <c r="BM514" s="3038"/>
      <c r="BN514" s="3038"/>
      <c r="BO514" s="3038"/>
      <c r="BP514" s="3038"/>
      <c r="BQ514" s="3038"/>
      <c r="BR514" s="3038"/>
      <c r="BS514" s="3038"/>
      <c r="BT514" s="3038"/>
      <c r="BU514" s="3038"/>
    </row>
    <row r="515" spans="3:73">
      <c r="C515" s="3038"/>
      <c r="D515" s="3038"/>
      <c r="E515" s="3038"/>
      <c r="H515" s="3038"/>
      <c r="I515" s="3038"/>
      <c r="J515" s="3038"/>
      <c r="K515" s="3038"/>
      <c r="M515" s="3038"/>
      <c r="N515" s="3038"/>
      <c r="O515" s="3038"/>
      <c r="P515" s="3038"/>
      <c r="Q515" s="3038"/>
      <c r="R515" s="3038"/>
      <c r="S515" s="3038"/>
      <c r="T515" s="3038"/>
      <c r="W515" s="3038"/>
      <c r="X515" s="3038"/>
      <c r="Y515" s="3038"/>
      <c r="Z515" s="3038"/>
      <c r="AA515" s="3113"/>
      <c r="AB515" s="3038"/>
      <c r="AC515" s="3038"/>
      <c r="AD515" s="3038"/>
      <c r="AE515" s="3132"/>
      <c r="AF515" s="3038"/>
      <c r="AG515" s="3038"/>
      <c r="AH515" s="3038"/>
      <c r="AK515" s="3038"/>
      <c r="AL515" s="3038"/>
      <c r="AM515" s="3038"/>
      <c r="AN515" s="3038"/>
      <c r="AO515" s="3038"/>
      <c r="AP515" s="3038"/>
      <c r="AQ515" s="3038"/>
      <c r="AR515" s="3038"/>
      <c r="AS515" s="3038"/>
      <c r="AT515" s="3038"/>
      <c r="AU515" s="3038"/>
      <c r="AV515" s="3038"/>
      <c r="AW515" s="3038"/>
      <c r="AX515" s="3038"/>
      <c r="AY515" s="3038"/>
      <c r="AZ515" s="3038"/>
      <c r="BA515" s="3038"/>
      <c r="BB515" s="3038"/>
      <c r="BC515" s="3038"/>
      <c r="BD515" s="3038"/>
      <c r="BE515" s="3038"/>
      <c r="BF515" s="3038"/>
      <c r="BG515" s="3038"/>
      <c r="BH515" s="3038"/>
      <c r="BI515" s="3038"/>
      <c r="BJ515" s="3038"/>
      <c r="BK515" s="3038"/>
      <c r="BL515" s="3038"/>
      <c r="BM515" s="3038"/>
      <c r="BN515" s="3038"/>
      <c r="BO515" s="3038"/>
      <c r="BP515" s="3038"/>
      <c r="BQ515" s="3038"/>
      <c r="BR515" s="3038"/>
      <c r="BS515" s="3038"/>
      <c r="BT515" s="3038"/>
      <c r="BU515" s="3038"/>
    </row>
    <row r="516" spans="3:73">
      <c r="C516" s="3038"/>
      <c r="D516" s="3038"/>
      <c r="E516" s="3038"/>
      <c r="H516" s="3038"/>
      <c r="I516" s="3038"/>
      <c r="J516" s="3038"/>
      <c r="K516" s="3038"/>
      <c r="M516" s="3038"/>
      <c r="N516" s="3038"/>
      <c r="O516" s="3038"/>
      <c r="P516" s="3038"/>
      <c r="Q516" s="3038"/>
      <c r="R516" s="3038"/>
      <c r="S516" s="3038"/>
      <c r="T516" s="3038"/>
      <c r="W516" s="3038"/>
      <c r="X516" s="3038"/>
      <c r="Y516" s="3038"/>
      <c r="Z516" s="3038"/>
      <c r="AA516" s="3113"/>
      <c r="AB516" s="3038"/>
      <c r="AC516" s="3038"/>
      <c r="AD516" s="3038"/>
      <c r="AE516" s="3132"/>
      <c r="AF516" s="3038"/>
      <c r="AG516" s="3038"/>
      <c r="AH516" s="3038"/>
      <c r="AK516" s="3038"/>
      <c r="AL516" s="3038"/>
      <c r="AM516" s="3038"/>
      <c r="AN516" s="3038"/>
      <c r="AO516" s="3038"/>
      <c r="AP516" s="3038"/>
      <c r="AQ516" s="3038"/>
      <c r="AR516" s="3038"/>
      <c r="AS516" s="3038"/>
      <c r="AT516" s="3038"/>
      <c r="AU516" s="3038"/>
      <c r="AV516" s="3038"/>
      <c r="AW516" s="3038"/>
      <c r="AX516" s="3038"/>
      <c r="AY516" s="3038"/>
      <c r="AZ516" s="3038"/>
      <c r="BA516" s="3038"/>
      <c r="BB516" s="3038"/>
      <c r="BC516" s="3038"/>
      <c r="BD516" s="3038"/>
      <c r="BE516" s="3038"/>
      <c r="BF516" s="3038"/>
      <c r="BG516" s="3038"/>
      <c r="BH516" s="3038"/>
      <c r="BI516" s="3038"/>
      <c r="BJ516" s="3038"/>
      <c r="BK516" s="3038"/>
      <c r="BL516" s="3038"/>
      <c r="BM516" s="3038"/>
      <c r="BN516" s="3038"/>
      <c r="BO516" s="3038"/>
      <c r="BP516" s="3038"/>
      <c r="BQ516" s="3038"/>
      <c r="BR516" s="3038"/>
      <c r="BS516" s="3038"/>
      <c r="BT516" s="3038"/>
      <c r="BU516" s="3038"/>
    </row>
    <row r="517" spans="3:73">
      <c r="C517" s="3038"/>
      <c r="D517" s="3038"/>
      <c r="E517" s="3038"/>
      <c r="H517" s="3038"/>
      <c r="I517" s="3038"/>
      <c r="J517" s="3038"/>
      <c r="K517" s="3038"/>
      <c r="M517" s="3038"/>
      <c r="N517" s="3038"/>
      <c r="O517" s="3038"/>
      <c r="P517" s="3038"/>
      <c r="Q517" s="3038"/>
      <c r="R517" s="3038"/>
      <c r="S517" s="3038"/>
      <c r="T517" s="3038"/>
      <c r="W517" s="3038"/>
      <c r="X517" s="3038"/>
      <c r="Y517" s="3038"/>
      <c r="Z517" s="3038"/>
      <c r="AA517" s="3113"/>
      <c r="AB517" s="3038"/>
      <c r="AC517" s="3038"/>
      <c r="AD517" s="3038"/>
      <c r="AE517" s="3132"/>
      <c r="AF517" s="3038"/>
      <c r="AG517" s="3038"/>
      <c r="AH517" s="3038"/>
      <c r="AK517" s="3038"/>
      <c r="AL517" s="3038"/>
      <c r="AM517" s="3038"/>
      <c r="AN517" s="3038"/>
      <c r="AO517" s="3038"/>
      <c r="AP517" s="3038"/>
      <c r="AQ517" s="3038"/>
      <c r="AR517" s="3038"/>
      <c r="AS517" s="3038"/>
      <c r="AT517" s="3038"/>
      <c r="AU517" s="3038"/>
      <c r="AV517" s="3038"/>
      <c r="AW517" s="3038"/>
      <c r="AX517" s="3038"/>
      <c r="AY517" s="3038"/>
      <c r="AZ517" s="3038"/>
      <c r="BA517" s="3038"/>
      <c r="BB517" s="3038"/>
      <c r="BC517" s="3038"/>
      <c r="BD517" s="3038"/>
      <c r="BE517" s="3038"/>
      <c r="BF517" s="3038"/>
      <c r="BG517" s="3038"/>
      <c r="BH517" s="3038"/>
      <c r="BI517" s="3038"/>
      <c r="BJ517" s="3038"/>
      <c r="BK517" s="3038"/>
      <c r="BL517" s="3038"/>
      <c r="BM517" s="3038"/>
      <c r="BN517" s="3038"/>
      <c r="BO517" s="3038"/>
      <c r="BP517" s="3038"/>
      <c r="BQ517" s="3038"/>
      <c r="BR517" s="3038"/>
      <c r="BS517" s="3038"/>
      <c r="BT517" s="3038"/>
      <c r="BU517" s="3038"/>
    </row>
    <row r="518" spans="3:73">
      <c r="C518" s="3038"/>
      <c r="D518" s="3038"/>
      <c r="E518" s="3038"/>
      <c r="H518" s="3038"/>
      <c r="I518" s="3038"/>
      <c r="J518" s="3038"/>
      <c r="K518" s="3038"/>
      <c r="M518" s="3038"/>
      <c r="N518" s="3038"/>
      <c r="O518" s="3038"/>
      <c r="P518" s="3038"/>
      <c r="Q518" s="3038"/>
      <c r="R518" s="3038"/>
      <c r="S518" s="3038"/>
      <c r="T518" s="3038"/>
      <c r="W518" s="3038"/>
      <c r="X518" s="3038"/>
      <c r="Y518" s="3038"/>
      <c r="Z518" s="3038"/>
      <c r="AA518" s="3113"/>
      <c r="AB518" s="3038"/>
      <c r="AC518" s="3038"/>
      <c r="AD518" s="3038"/>
      <c r="AE518" s="3132"/>
      <c r="AF518" s="3038"/>
      <c r="AG518" s="3038"/>
      <c r="AH518" s="3038"/>
      <c r="AK518" s="3038"/>
      <c r="AL518" s="3038"/>
      <c r="AM518" s="3038"/>
      <c r="AN518" s="3038"/>
      <c r="AO518" s="3038"/>
      <c r="AP518" s="3038"/>
      <c r="AQ518" s="3038"/>
      <c r="AR518" s="3038"/>
      <c r="AS518" s="3038"/>
      <c r="AT518" s="3038"/>
      <c r="AU518" s="3038"/>
      <c r="AV518" s="3038"/>
      <c r="AW518" s="3038"/>
      <c r="AX518" s="3038"/>
      <c r="AY518" s="3038"/>
      <c r="AZ518" s="3038"/>
      <c r="BA518" s="3038"/>
      <c r="BB518" s="3038"/>
      <c r="BC518" s="3038"/>
      <c r="BD518" s="3038"/>
      <c r="BE518" s="3038"/>
      <c r="BF518" s="3038"/>
      <c r="BG518" s="3038"/>
      <c r="BH518" s="3038"/>
      <c r="BI518" s="3038"/>
      <c r="BJ518" s="3038"/>
      <c r="BK518" s="3038"/>
      <c r="BL518" s="3038"/>
      <c r="BM518" s="3038"/>
      <c r="BN518" s="3038"/>
      <c r="BO518" s="3038"/>
      <c r="BP518" s="3038"/>
      <c r="BQ518" s="3038"/>
      <c r="BR518" s="3038"/>
      <c r="BS518" s="3038"/>
      <c r="BT518" s="3038"/>
      <c r="BU518" s="3038"/>
    </row>
    <row r="519" spans="3:73">
      <c r="C519" s="3038"/>
      <c r="D519" s="3038"/>
      <c r="E519" s="3038"/>
      <c r="H519" s="3038"/>
      <c r="I519" s="3038"/>
      <c r="J519" s="3038"/>
      <c r="K519" s="3038"/>
      <c r="M519" s="3038"/>
      <c r="N519" s="3038"/>
      <c r="O519" s="3038"/>
      <c r="P519" s="3038"/>
      <c r="Q519" s="3038"/>
      <c r="R519" s="3038"/>
      <c r="S519" s="3038"/>
      <c r="T519" s="3038"/>
      <c r="W519" s="3038"/>
      <c r="X519" s="3038"/>
      <c r="Y519" s="3038"/>
      <c r="Z519" s="3038"/>
      <c r="AA519" s="3113"/>
      <c r="AB519" s="3038"/>
      <c r="AC519" s="3038"/>
      <c r="AD519" s="3038"/>
      <c r="AE519" s="3132"/>
      <c r="AF519" s="3038"/>
      <c r="AG519" s="3038"/>
      <c r="AH519" s="3038"/>
      <c r="AK519" s="3038"/>
      <c r="AL519" s="3038"/>
      <c r="AM519" s="3038"/>
      <c r="AN519" s="3038"/>
      <c r="AO519" s="3038"/>
      <c r="AP519" s="3038"/>
      <c r="AQ519" s="3038"/>
      <c r="AR519" s="3038"/>
      <c r="AS519" s="3038"/>
      <c r="AT519" s="3038"/>
      <c r="AU519" s="3038"/>
      <c r="AV519" s="3038"/>
      <c r="AW519" s="3038"/>
      <c r="AX519" s="3038"/>
      <c r="AY519" s="3038"/>
      <c r="AZ519" s="3038"/>
      <c r="BA519" s="3038"/>
      <c r="BB519" s="3038"/>
      <c r="BC519" s="3038"/>
      <c r="BD519" s="3038"/>
      <c r="BE519" s="3038"/>
      <c r="BF519" s="3038"/>
      <c r="BG519" s="3038"/>
      <c r="BH519" s="3038"/>
      <c r="BI519" s="3038"/>
      <c r="BJ519" s="3038"/>
      <c r="BK519" s="3038"/>
      <c r="BL519" s="3038"/>
      <c r="BM519" s="3038"/>
      <c r="BN519" s="3038"/>
      <c r="BO519" s="3038"/>
      <c r="BP519" s="3038"/>
      <c r="BQ519" s="3038"/>
      <c r="BR519" s="3038"/>
      <c r="BS519" s="3038"/>
      <c r="BT519" s="3038"/>
      <c r="BU519" s="3038"/>
    </row>
    <row r="520" spans="3:73">
      <c r="C520" s="3038"/>
      <c r="D520" s="3038"/>
      <c r="E520" s="3038"/>
      <c r="H520" s="3038"/>
      <c r="I520" s="3038"/>
      <c r="J520" s="3038"/>
      <c r="K520" s="3038"/>
      <c r="M520" s="3038"/>
      <c r="N520" s="3038"/>
      <c r="O520" s="3038"/>
      <c r="P520" s="3038"/>
      <c r="Q520" s="3038"/>
      <c r="R520" s="3038"/>
      <c r="S520" s="3038"/>
      <c r="T520" s="3038"/>
      <c r="W520" s="3038"/>
      <c r="X520" s="3038"/>
      <c r="Y520" s="3038"/>
      <c r="Z520" s="3038"/>
      <c r="AA520" s="3113"/>
      <c r="AB520" s="3038"/>
      <c r="AC520" s="3038"/>
      <c r="AD520" s="3038"/>
      <c r="AE520" s="3132"/>
      <c r="AF520" s="3038"/>
      <c r="AG520" s="3038"/>
      <c r="AH520" s="3038"/>
      <c r="AK520" s="3038"/>
      <c r="AL520" s="3038"/>
      <c r="AM520" s="3038"/>
      <c r="AN520" s="3038"/>
      <c r="AO520" s="3038"/>
      <c r="AP520" s="3038"/>
      <c r="AQ520" s="3038"/>
      <c r="AR520" s="3038"/>
      <c r="AS520" s="3038"/>
      <c r="AT520" s="3038"/>
      <c r="AU520" s="3038"/>
      <c r="AV520" s="3038"/>
      <c r="AW520" s="3038"/>
      <c r="AX520" s="3038"/>
      <c r="AY520" s="3038"/>
      <c r="AZ520" s="3038"/>
      <c r="BA520" s="3038"/>
      <c r="BB520" s="3038"/>
      <c r="BC520" s="3038"/>
      <c r="BD520" s="3038"/>
      <c r="BE520" s="3038"/>
      <c r="BF520" s="3038"/>
      <c r="BG520" s="3038"/>
      <c r="BH520" s="3038"/>
      <c r="BI520" s="3038"/>
      <c r="BJ520" s="3038"/>
      <c r="BK520" s="3038"/>
      <c r="BL520" s="3038"/>
      <c r="BM520" s="3038"/>
      <c r="BN520" s="3038"/>
      <c r="BO520" s="3038"/>
      <c r="BP520" s="3038"/>
      <c r="BQ520" s="3038"/>
      <c r="BR520" s="3038"/>
      <c r="BS520" s="3038"/>
      <c r="BT520" s="3038"/>
      <c r="BU520" s="3038"/>
    </row>
    <row r="521" spans="3:73">
      <c r="C521" s="3038"/>
      <c r="D521" s="3038"/>
      <c r="E521" s="3038"/>
      <c r="H521" s="3038"/>
      <c r="I521" s="3038"/>
      <c r="J521" s="3038"/>
      <c r="K521" s="3038"/>
      <c r="M521" s="3038"/>
      <c r="N521" s="3038"/>
      <c r="O521" s="3038"/>
      <c r="P521" s="3038"/>
      <c r="Q521" s="3038"/>
      <c r="R521" s="3038"/>
      <c r="S521" s="3038"/>
      <c r="T521" s="3038"/>
      <c r="W521" s="3038"/>
      <c r="X521" s="3038"/>
      <c r="Y521" s="3038"/>
      <c r="Z521" s="3038"/>
      <c r="AA521" s="3113"/>
      <c r="AB521" s="3038"/>
      <c r="AC521" s="3038"/>
      <c r="AD521" s="3038"/>
      <c r="AE521" s="3132"/>
      <c r="AF521" s="3038"/>
      <c r="AG521" s="3038"/>
      <c r="AH521" s="3038"/>
      <c r="AK521" s="3038"/>
      <c r="AL521" s="3038"/>
      <c r="AM521" s="3038"/>
      <c r="AN521" s="3038"/>
      <c r="AO521" s="3038"/>
      <c r="AP521" s="3038"/>
      <c r="AQ521" s="3038"/>
      <c r="AR521" s="3038"/>
      <c r="AS521" s="3038"/>
      <c r="AT521" s="3038"/>
      <c r="AU521" s="3038"/>
      <c r="AV521" s="3038"/>
      <c r="AW521" s="3038"/>
      <c r="AX521" s="3038"/>
      <c r="AY521" s="3038"/>
      <c r="AZ521" s="3038"/>
      <c r="BA521" s="3038"/>
      <c r="BB521" s="3038"/>
      <c r="BC521" s="3038"/>
      <c r="BD521" s="3038"/>
      <c r="BE521" s="3038"/>
      <c r="BF521" s="3038"/>
      <c r="BG521" s="3038"/>
      <c r="BH521" s="3038"/>
      <c r="BI521" s="3038"/>
      <c r="BJ521" s="3038"/>
      <c r="BK521" s="3038"/>
      <c r="BL521" s="3038"/>
      <c r="BM521" s="3038"/>
      <c r="BN521" s="3038"/>
      <c r="BO521" s="3038"/>
      <c r="BP521" s="3038"/>
      <c r="BQ521" s="3038"/>
      <c r="BR521" s="3038"/>
      <c r="BS521" s="3038"/>
      <c r="BT521" s="3038"/>
      <c r="BU521" s="3038"/>
    </row>
    <row r="522" spans="3:73">
      <c r="C522" s="3038"/>
      <c r="D522" s="3038"/>
      <c r="E522" s="3038"/>
      <c r="H522" s="3038"/>
      <c r="I522" s="3038"/>
      <c r="J522" s="3038"/>
      <c r="K522" s="3038"/>
      <c r="M522" s="3038"/>
      <c r="N522" s="3038"/>
      <c r="O522" s="3038"/>
      <c r="P522" s="3038"/>
      <c r="Q522" s="3038"/>
      <c r="R522" s="3038"/>
      <c r="S522" s="3038"/>
      <c r="T522" s="3038"/>
      <c r="W522" s="3038"/>
      <c r="X522" s="3038"/>
      <c r="Y522" s="3038"/>
      <c r="Z522" s="3038"/>
      <c r="AA522" s="3113"/>
      <c r="AB522" s="3038"/>
      <c r="AC522" s="3038"/>
      <c r="AD522" s="3038"/>
      <c r="AE522" s="3132"/>
      <c r="AF522" s="3038"/>
      <c r="AG522" s="3038"/>
      <c r="AH522" s="3038"/>
      <c r="AK522" s="3038"/>
      <c r="AL522" s="3038"/>
      <c r="AM522" s="3038"/>
      <c r="AN522" s="3038"/>
      <c r="AO522" s="3038"/>
      <c r="AP522" s="3038"/>
      <c r="AQ522" s="3038"/>
      <c r="AR522" s="3038"/>
      <c r="AS522" s="3038"/>
      <c r="AT522" s="3038"/>
      <c r="AU522" s="3038"/>
      <c r="AV522" s="3038"/>
      <c r="AW522" s="3038"/>
      <c r="AX522" s="3038"/>
      <c r="AY522" s="3038"/>
      <c r="AZ522" s="3038"/>
      <c r="BA522" s="3038"/>
      <c r="BB522" s="3038"/>
      <c r="BC522" s="3038"/>
      <c r="BD522" s="3038"/>
      <c r="BE522" s="3038"/>
      <c r="BF522" s="3038"/>
      <c r="BG522" s="3038"/>
      <c r="BH522" s="3038"/>
      <c r="BI522" s="3038"/>
      <c r="BJ522" s="3038"/>
      <c r="BK522" s="3038"/>
      <c r="BL522" s="3038"/>
      <c r="BM522" s="3038"/>
      <c r="BN522" s="3038"/>
      <c r="BO522" s="3038"/>
      <c r="BP522" s="3038"/>
      <c r="BQ522" s="3038"/>
      <c r="BR522" s="3038"/>
      <c r="BS522" s="3038"/>
      <c r="BT522" s="3038"/>
      <c r="BU522" s="3038"/>
    </row>
    <row r="523" spans="3:73">
      <c r="C523" s="3038"/>
      <c r="D523" s="3038"/>
      <c r="E523" s="3038"/>
      <c r="H523" s="3038"/>
      <c r="I523" s="3038"/>
      <c r="J523" s="3038"/>
      <c r="K523" s="3038"/>
      <c r="M523" s="3038"/>
      <c r="N523" s="3038"/>
      <c r="O523" s="3038"/>
      <c r="P523" s="3038"/>
      <c r="Q523" s="3038"/>
      <c r="R523" s="3038"/>
      <c r="S523" s="3038"/>
      <c r="T523" s="3038"/>
      <c r="W523" s="3038"/>
      <c r="X523" s="3038"/>
      <c r="Y523" s="3038"/>
      <c r="Z523" s="3038"/>
      <c r="AA523" s="3113"/>
      <c r="AB523" s="3038"/>
      <c r="AC523" s="3038"/>
      <c r="AD523" s="3038"/>
      <c r="AE523" s="3132"/>
      <c r="AF523" s="3038"/>
      <c r="AG523" s="3038"/>
      <c r="AH523" s="3038"/>
      <c r="AK523" s="3038"/>
      <c r="AL523" s="3038"/>
      <c r="AM523" s="3038"/>
      <c r="AN523" s="3038"/>
      <c r="AO523" s="3038"/>
      <c r="AP523" s="3038"/>
      <c r="AQ523" s="3038"/>
      <c r="AR523" s="3038"/>
      <c r="AS523" s="3038"/>
      <c r="AT523" s="3038"/>
      <c r="AU523" s="3038"/>
      <c r="AV523" s="3038"/>
      <c r="AW523" s="3038"/>
      <c r="AX523" s="3038"/>
      <c r="AY523" s="3038"/>
      <c r="AZ523" s="3038"/>
      <c r="BA523" s="3038"/>
      <c r="BB523" s="3038"/>
      <c r="BC523" s="3038"/>
      <c r="BD523" s="3038"/>
      <c r="BE523" s="3038"/>
      <c r="BF523" s="3038"/>
      <c r="BG523" s="3038"/>
      <c r="BH523" s="3038"/>
      <c r="BI523" s="3038"/>
      <c r="BJ523" s="3038"/>
      <c r="BK523" s="3038"/>
      <c r="BL523" s="3038"/>
      <c r="BM523" s="3038"/>
      <c r="BN523" s="3038"/>
      <c r="BO523" s="3038"/>
      <c r="BP523" s="3038"/>
      <c r="BQ523" s="3038"/>
      <c r="BR523" s="3038"/>
      <c r="BS523" s="3038"/>
      <c r="BT523" s="3038"/>
      <c r="BU523" s="3038"/>
    </row>
    <row r="524" spans="3:73">
      <c r="C524" s="3038"/>
      <c r="D524" s="3038"/>
      <c r="E524" s="3038"/>
      <c r="H524" s="3038"/>
      <c r="I524" s="3038"/>
      <c r="J524" s="3038"/>
      <c r="K524" s="3038"/>
      <c r="M524" s="3038"/>
      <c r="N524" s="3038"/>
      <c r="O524" s="3038"/>
      <c r="P524" s="3038"/>
      <c r="Q524" s="3038"/>
      <c r="R524" s="3038"/>
      <c r="S524" s="3038"/>
      <c r="T524" s="3038"/>
      <c r="W524" s="3038"/>
      <c r="X524" s="3038"/>
      <c r="Y524" s="3038"/>
      <c r="Z524" s="3038"/>
      <c r="AA524" s="3113"/>
      <c r="AB524" s="3038"/>
      <c r="AC524" s="3038"/>
      <c r="AD524" s="3038"/>
      <c r="AE524" s="3132"/>
      <c r="AF524" s="3038"/>
      <c r="AG524" s="3038"/>
      <c r="AH524" s="3038"/>
      <c r="AK524" s="3038"/>
      <c r="AL524" s="3038"/>
      <c r="AM524" s="3038"/>
      <c r="AN524" s="3038"/>
      <c r="AO524" s="3038"/>
      <c r="AP524" s="3038"/>
      <c r="AQ524" s="3038"/>
      <c r="AR524" s="3038"/>
      <c r="AS524" s="3038"/>
      <c r="AT524" s="3038"/>
      <c r="AU524" s="3038"/>
      <c r="AV524" s="3038"/>
      <c r="AW524" s="3038"/>
      <c r="AX524" s="3038"/>
      <c r="AY524" s="3038"/>
      <c r="AZ524" s="3038"/>
      <c r="BA524" s="3038"/>
      <c r="BB524" s="3038"/>
      <c r="BC524" s="3038"/>
      <c r="BD524" s="3038"/>
      <c r="BE524" s="3038"/>
      <c r="BF524" s="3038"/>
      <c r="BG524" s="3038"/>
      <c r="BH524" s="3038"/>
      <c r="BI524" s="3038"/>
      <c r="BJ524" s="3038"/>
      <c r="BK524" s="3038"/>
      <c r="BL524" s="3038"/>
      <c r="BM524" s="3038"/>
      <c r="BN524" s="3038"/>
      <c r="BO524" s="3038"/>
      <c r="BP524" s="3038"/>
      <c r="BQ524" s="3038"/>
      <c r="BR524" s="3038"/>
      <c r="BS524" s="3038"/>
      <c r="BT524" s="3038"/>
      <c r="BU524" s="3038"/>
    </row>
    <row r="525" spans="3:73">
      <c r="C525" s="3038"/>
      <c r="D525" s="3038"/>
      <c r="E525" s="3038"/>
      <c r="H525" s="3038"/>
      <c r="I525" s="3038"/>
      <c r="J525" s="3038"/>
      <c r="K525" s="3038"/>
      <c r="M525" s="3038"/>
      <c r="N525" s="3038"/>
      <c r="O525" s="3038"/>
      <c r="P525" s="3038"/>
      <c r="Q525" s="3038"/>
      <c r="R525" s="3038"/>
      <c r="S525" s="3038"/>
      <c r="T525" s="3038"/>
      <c r="W525" s="3038"/>
      <c r="X525" s="3038"/>
      <c r="Y525" s="3038"/>
      <c r="Z525" s="3038"/>
      <c r="AA525" s="3113"/>
      <c r="AB525" s="3038"/>
      <c r="AC525" s="3038"/>
      <c r="AD525" s="3038"/>
      <c r="AE525" s="3132"/>
      <c r="AF525" s="3038"/>
      <c r="AG525" s="3038"/>
      <c r="AH525" s="3038"/>
      <c r="AK525" s="3038"/>
      <c r="AL525" s="3038"/>
      <c r="AM525" s="3038"/>
      <c r="AN525" s="3038"/>
      <c r="AO525" s="3038"/>
      <c r="AP525" s="3038"/>
      <c r="AQ525" s="3038"/>
      <c r="AR525" s="3038"/>
      <c r="AS525" s="3038"/>
      <c r="AT525" s="3038"/>
      <c r="AU525" s="3038"/>
      <c r="AV525" s="3038"/>
      <c r="AW525" s="3038"/>
      <c r="AX525" s="3038"/>
      <c r="AY525" s="3038"/>
      <c r="AZ525" s="3038"/>
      <c r="BA525" s="3038"/>
      <c r="BB525" s="3038"/>
      <c r="BC525" s="3038"/>
      <c r="BD525" s="3038"/>
      <c r="BE525" s="3038"/>
      <c r="BF525" s="3038"/>
      <c r="BG525" s="3038"/>
      <c r="BH525" s="3038"/>
      <c r="BI525" s="3038"/>
      <c r="BJ525" s="3038"/>
      <c r="BK525" s="3038"/>
      <c r="BL525" s="3038"/>
      <c r="BM525" s="3038"/>
      <c r="BN525" s="3038"/>
      <c r="BO525" s="3038"/>
      <c r="BP525" s="3038"/>
      <c r="BQ525" s="3038"/>
      <c r="BR525" s="3038"/>
      <c r="BS525" s="3038"/>
      <c r="BT525" s="3038"/>
      <c r="BU525" s="3038"/>
    </row>
    <row r="526" spans="3:73">
      <c r="C526" s="3038"/>
      <c r="D526" s="3038"/>
      <c r="E526" s="3038"/>
      <c r="H526" s="3038"/>
      <c r="I526" s="3038"/>
      <c r="J526" s="3038"/>
      <c r="K526" s="3038"/>
      <c r="M526" s="3038"/>
      <c r="N526" s="3038"/>
      <c r="O526" s="3038"/>
      <c r="P526" s="3038"/>
      <c r="Q526" s="3038"/>
      <c r="R526" s="3038"/>
      <c r="S526" s="3038"/>
      <c r="T526" s="3038"/>
      <c r="W526" s="3038"/>
      <c r="X526" s="3038"/>
      <c r="Y526" s="3038"/>
      <c r="Z526" s="3038"/>
      <c r="AA526" s="3113"/>
      <c r="AB526" s="3038"/>
      <c r="AC526" s="3038"/>
      <c r="AD526" s="3038"/>
      <c r="AE526" s="3132"/>
      <c r="AF526" s="3038"/>
      <c r="AG526" s="3038"/>
      <c r="AH526" s="3038"/>
      <c r="AK526" s="3038"/>
      <c r="AL526" s="3038"/>
      <c r="AM526" s="3038"/>
      <c r="AN526" s="3038"/>
      <c r="AO526" s="3038"/>
      <c r="AP526" s="3038"/>
      <c r="AQ526" s="3038"/>
      <c r="AR526" s="3038"/>
      <c r="AS526" s="3038"/>
      <c r="AT526" s="3038"/>
      <c r="AU526" s="3038"/>
      <c r="AV526" s="3038"/>
      <c r="AW526" s="3038"/>
      <c r="AX526" s="3038"/>
      <c r="AY526" s="3038"/>
      <c r="AZ526" s="3038"/>
      <c r="BA526" s="3038"/>
      <c r="BB526" s="3038"/>
      <c r="BC526" s="3038"/>
      <c r="BD526" s="3038"/>
      <c r="BE526" s="3038"/>
      <c r="BF526" s="3038"/>
      <c r="BG526" s="3038"/>
      <c r="BH526" s="3038"/>
      <c r="BI526" s="3038"/>
      <c r="BJ526" s="3038"/>
      <c r="BK526" s="3038"/>
      <c r="BL526" s="3038"/>
      <c r="BM526" s="3038"/>
      <c r="BN526" s="3038"/>
      <c r="BO526" s="3038"/>
      <c r="BP526" s="3038"/>
      <c r="BQ526" s="3038"/>
      <c r="BR526" s="3038"/>
      <c r="BS526" s="3038"/>
      <c r="BT526" s="3038"/>
      <c r="BU526" s="3038"/>
    </row>
    <row r="527" spans="3:73">
      <c r="C527" s="3038"/>
      <c r="D527" s="3038"/>
      <c r="E527" s="3038"/>
      <c r="H527" s="3038"/>
      <c r="I527" s="3038"/>
      <c r="J527" s="3038"/>
      <c r="K527" s="3038"/>
      <c r="M527" s="3038"/>
      <c r="N527" s="3038"/>
      <c r="O527" s="3038"/>
      <c r="P527" s="3038"/>
      <c r="Q527" s="3038"/>
      <c r="R527" s="3038"/>
      <c r="S527" s="3038"/>
      <c r="T527" s="3038"/>
      <c r="W527" s="3038"/>
      <c r="X527" s="3038"/>
      <c r="Y527" s="3038"/>
      <c r="Z527" s="3038"/>
      <c r="AA527" s="3113"/>
      <c r="AB527" s="3038"/>
      <c r="AC527" s="3038"/>
      <c r="AD527" s="3038"/>
      <c r="AE527" s="3132"/>
      <c r="AF527" s="3038"/>
      <c r="AG527" s="3038"/>
      <c r="AH527" s="3038"/>
      <c r="AK527" s="3038"/>
      <c r="AL527" s="3038"/>
      <c r="AM527" s="3038"/>
      <c r="AN527" s="3038"/>
      <c r="AO527" s="3038"/>
      <c r="AP527" s="3038"/>
      <c r="AQ527" s="3038"/>
      <c r="AR527" s="3038"/>
      <c r="AS527" s="3038"/>
      <c r="AT527" s="3038"/>
      <c r="AU527" s="3038"/>
      <c r="AV527" s="3038"/>
      <c r="AW527" s="3038"/>
      <c r="AX527" s="3038"/>
      <c r="AY527" s="3038"/>
      <c r="AZ527" s="3038"/>
      <c r="BA527" s="3038"/>
      <c r="BB527" s="3038"/>
      <c r="BC527" s="3038"/>
      <c r="BD527" s="3038"/>
      <c r="BE527" s="3038"/>
      <c r="BF527" s="3038"/>
      <c r="BG527" s="3038"/>
      <c r="BH527" s="3038"/>
      <c r="BI527" s="3038"/>
      <c r="BJ527" s="3038"/>
      <c r="BK527" s="3038"/>
      <c r="BL527" s="3038"/>
      <c r="BM527" s="3038"/>
      <c r="BN527" s="3038"/>
      <c r="BO527" s="3038"/>
      <c r="BP527" s="3038"/>
      <c r="BQ527" s="3038"/>
      <c r="BR527" s="3038"/>
      <c r="BS527" s="3038"/>
      <c r="BT527" s="3038"/>
      <c r="BU527" s="3038"/>
    </row>
    <row r="528" spans="3:73">
      <c r="C528" s="3038"/>
      <c r="D528" s="3038"/>
      <c r="E528" s="3038"/>
      <c r="H528" s="3038"/>
      <c r="I528" s="3038"/>
      <c r="J528" s="3038"/>
      <c r="K528" s="3038"/>
      <c r="M528" s="3038"/>
      <c r="N528" s="3038"/>
      <c r="O528" s="3038"/>
      <c r="P528" s="3038"/>
      <c r="Q528" s="3038"/>
      <c r="R528" s="3038"/>
      <c r="S528" s="3038"/>
      <c r="T528" s="3038"/>
      <c r="W528" s="3038"/>
      <c r="X528" s="3038"/>
      <c r="Y528" s="3038"/>
      <c r="Z528" s="3038"/>
      <c r="AA528" s="3113"/>
      <c r="AB528" s="3038"/>
      <c r="AC528" s="3038"/>
      <c r="AD528" s="3038"/>
      <c r="AE528" s="3132"/>
      <c r="AF528" s="3038"/>
      <c r="AG528" s="3038"/>
      <c r="AH528" s="3038"/>
      <c r="AK528" s="3038"/>
      <c r="AL528" s="3038"/>
      <c r="AM528" s="3038"/>
      <c r="AN528" s="3038"/>
      <c r="AO528" s="3038"/>
      <c r="AP528" s="3038"/>
      <c r="AQ528" s="3038"/>
      <c r="AR528" s="3038"/>
      <c r="AS528" s="3038"/>
      <c r="AT528" s="3038"/>
      <c r="AU528" s="3038"/>
      <c r="AV528" s="3038"/>
      <c r="AW528" s="3038"/>
      <c r="AX528" s="3038"/>
      <c r="AY528" s="3038"/>
      <c r="AZ528" s="3038"/>
      <c r="BA528" s="3038"/>
      <c r="BB528" s="3038"/>
      <c r="BC528" s="3038"/>
      <c r="BD528" s="3038"/>
      <c r="BE528" s="3038"/>
      <c r="BF528" s="3038"/>
      <c r="BG528" s="3038"/>
      <c r="BH528" s="3038"/>
      <c r="BI528" s="3038"/>
      <c r="BJ528" s="3038"/>
      <c r="BK528" s="3038"/>
      <c r="BL528" s="3038"/>
      <c r="BM528" s="3038"/>
      <c r="BN528" s="3038"/>
      <c r="BO528" s="3038"/>
      <c r="BP528" s="3038"/>
      <c r="BQ528" s="3038"/>
      <c r="BR528" s="3038"/>
      <c r="BS528" s="3038"/>
      <c r="BT528" s="3038"/>
      <c r="BU528" s="3038"/>
    </row>
    <row r="529" spans="3:73">
      <c r="C529" s="3038"/>
      <c r="D529" s="3038"/>
      <c r="E529" s="3038"/>
      <c r="H529" s="3038"/>
      <c r="I529" s="3038"/>
      <c r="J529" s="3038"/>
      <c r="K529" s="3038"/>
      <c r="M529" s="3038"/>
      <c r="N529" s="3038"/>
      <c r="O529" s="3038"/>
      <c r="P529" s="3038"/>
      <c r="Q529" s="3038"/>
      <c r="R529" s="3038"/>
      <c r="S529" s="3038"/>
      <c r="T529" s="3038"/>
      <c r="W529" s="3038"/>
      <c r="X529" s="3038"/>
      <c r="Y529" s="3038"/>
      <c r="Z529" s="3038"/>
      <c r="AA529" s="3113"/>
      <c r="AB529" s="3038"/>
      <c r="AC529" s="3038"/>
      <c r="AD529" s="3038"/>
      <c r="AE529" s="3132"/>
      <c r="AF529" s="3038"/>
      <c r="AG529" s="3038"/>
      <c r="AH529" s="3038"/>
      <c r="AK529" s="3038"/>
      <c r="AL529" s="3038"/>
      <c r="AM529" s="3038"/>
      <c r="AN529" s="3038"/>
      <c r="AO529" s="3038"/>
      <c r="AP529" s="3038"/>
      <c r="AQ529" s="3038"/>
      <c r="AR529" s="3038"/>
      <c r="AS529" s="3038"/>
      <c r="AT529" s="3038"/>
      <c r="AU529" s="3038"/>
      <c r="AV529" s="3038"/>
      <c r="AW529" s="3038"/>
      <c r="AX529" s="3038"/>
      <c r="AY529" s="3038"/>
      <c r="AZ529" s="3038"/>
      <c r="BA529" s="3038"/>
      <c r="BB529" s="3038"/>
      <c r="BC529" s="3038"/>
      <c r="BD529" s="3038"/>
      <c r="BE529" s="3038"/>
      <c r="BF529" s="3038"/>
      <c r="BG529" s="3038"/>
      <c r="BH529" s="3038"/>
      <c r="BI529" s="3038"/>
      <c r="BJ529" s="3038"/>
      <c r="BK529" s="3038"/>
      <c r="BL529" s="3038"/>
      <c r="BM529" s="3038"/>
      <c r="BN529" s="3038"/>
      <c r="BO529" s="3038"/>
      <c r="BP529" s="3038"/>
      <c r="BQ529" s="3038"/>
      <c r="BR529" s="3038"/>
      <c r="BS529" s="3038"/>
      <c r="BT529" s="3038"/>
      <c r="BU529" s="3038"/>
    </row>
    <row r="530" spans="3:73">
      <c r="C530" s="3038"/>
      <c r="D530" s="3038"/>
      <c r="E530" s="3038"/>
      <c r="H530" s="3038"/>
      <c r="I530" s="3038"/>
      <c r="J530" s="3038"/>
      <c r="K530" s="3038"/>
      <c r="M530" s="3038"/>
      <c r="N530" s="3038"/>
      <c r="O530" s="3038"/>
      <c r="P530" s="3038"/>
      <c r="Q530" s="3038"/>
      <c r="R530" s="3038"/>
      <c r="S530" s="3038"/>
      <c r="T530" s="3038"/>
      <c r="W530" s="3038"/>
      <c r="X530" s="3038"/>
      <c r="Y530" s="3038"/>
      <c r="Z530" s="3038"/>
      <c r="AA530" s="3113"/>
      <c r="AB530" s="3038"/>
      <c r="AC530" s="3038"/>
      <c r="AD530" s="3038"/>
      <c r="AE530" s="3132"/>
      <c r="AF530" s="3038"/>
      <c r="AG530" s="3038"/>
      <c r="AH530" s="3038"/>
      <c r="AK530" s="3038"/>
      <c r="AL530" s="3038"/>
      <c r="AM530" s="3038"/>
      <c r="AN530" s="3038"/>
      <c r="AO530" s="3038"/>
      <c r="AP530" s="3038"/>
      <c r="AQ530" s="3038"/>
      <c r="AR530" s="3038"/>
      <c r="AS530" s="3038"/>
      <c r="AT530" s="3038"/>
      <c r="AU530" s="3038"/>
      <c r="AV530" s="3038"/>
      <c r="AW530" s="3038"/>
      <c r="AX530" s="3038"/>
      <c r="AY530" s="3038"/>
      <c r="AZ530" s="3038"/>
      <c r="BA530" s="3038"/>
      <c r="BB530" s="3038"/>
      <c r="BC530" s="3038"/>
      <c r="BD530" s="3038"/>
      <c r="BE530" s="3038"/>
      <c r="BF530" s="3038"/>
      <c r="BG530" s="3038"/>
      <c r="BH530" s="3038"/>
      <c r="BI530" s="3038"/>
      <c r="BJ530" s="3038"/>
      <c r="BK530" s="3038"/>
      <c r="BL530" s="3038"/>
      <c r="BM530" s="3038"/>
      <c r="BN530" s="3038"/>
      <c r="BO530" s="3038"/>
      <c r="BP530" s="3038"/>
      <c r="BQ530" s="3038"/>
      <c r="BR530" s="3038"/>
      <c r="BS530" s="3038"/>
      <c r="BT530" s="3038"/>
      <c r="BU530" s="3038"/>
    </row>
    <row r="531" spans="3:73">
      <c r="C531" s="3038"/>
      <c r="D531" s="3038"/>
      <c r="E531" s="3038"/>
      <c r="H531" s="3038"/>
      <c r="I531" s="3038"/>
      <c r="J531" s="3038"/>
      <c r="K531" s="3038"/>
      <c r="M531" s="3038"/>
      <c r="N531" s="3038"/>
      <c r="O531" s="3038"/>
      <c r="P531" s="3038"/>
      <c r="Q531" s="3038"/>
      <c r="R531" s="3038"/>
      <c r="S531" s="3038"/>
      <c r="T531" s="3038"/>
      <c r="W531" s="3038"/>
      <c r="X531" s="3038"/>
      <c r="Y531" s="3038"/>
      <c r="Z531" s="3038"/>
      <c r="AA531" s="3113"/>
      <c r="AB531" s="3038"/>
      <c r="AC531" s="3038"/>
      <c r="AD531" s="3038"/>
      <c r="AE531" s="3132"/>
      <c r="AF531" s="3038"/>
      <c r="AG531" s="3038"/>
      <c r="AH531" s="3038"/>
      <c r="AK531" s="3038"/>
      <c r="AL531" s="3038"/>
      <c r="AM531" s="3038"/>
      <c r="AN531" s="3038"/>
      <c r="AO531" s="3038"/>
      <c r="AP531" s="3038"/>
      <c r="AQ531" s="3038"/>
      <c r="AR531" s="3038"/>
      <c r="AS531" s="3038"/>
      <c r="AT531" s="3038"/>
      <c r="AU531" s="3038"/>
      <c r="AV531" s="3038"/>
      <c r="AW531" s="3038"/>
      <c r="AX531" s="3038"/>
      <c r="AY531" s="3038"/>
      <c r="AZ531" s="3038"/>
      <c r="BA531" s="3038"/>
      <c r="BB531" s="3038"/>
      <c r="BC531" s="3038"/>
      <c r="BD531" s="3038"/>
      <c r="BE531" s="3038"/>
      <c r="BF531" s="3038"/>
      <c r="BG531" s="3038"/>
      <c r="BH531" s="3038"/>
      <c r="BI531" s="3038"/>
      <c r="BJ531" s="3038"/>
      <c r="BK531" s="3038"/>
      <c r="BL531" s="3038"/>
      <c r="BM531" s="3038"/>
      <c r="BN531" s="3038"/>
      <c r="BO531" s="3038"/>
      <c r="BP531" s="3038"/>
      <c r="BQ531" s="3038"/>
      <c r="BR531" s="3038"/>
      <c r="BS531" s="3038"/>
      <c r="BT531" s="3038"/>
      <c r="BU531" s="3038"/>
    </row>
    <row r="532" spans="3:73">
      <c r="C532" s="3038"/>
      <c r="D532" s="3038"/>
      <c r="E532" s="3038"/>
      <c r="H532" s="3038"/>
      <c r="I532" s="3038"/>
      <c r="J532" s="3038"/>
      <c r="K532" s="3038"/>
      <c r="M532" s="3038"/>
      <c r="N532" s="3038"/>
      <c r="O532" s="3038"/>
      <c r="P532" s="3038"/>
      <c r="Q532" s="3038"/>
      <c r="R532" s="3038"/>
      <c r="S532" s="3038"/>
      <c r="T532" s="3038"/>
      <c r="W532" s="3038"/>
      <c r="X532" s="3038"/>
      <c r="Y532" s="3038"/>
      <c r="Z532" s="3038"/>
      <c r="AA532" s="3113"/>
      <c r="AB532" s="3038"/>
      <c r="AC532" s="3038"/>
      <c r="AD532" s="3038"/>
      <c r="AE532" s="3132"/>
      <c r="AF532" s="3038"/>
      <c r="AG532" s="3038"/>
      <c r="AH532" s="3038"/>
      <c r="AK532" s="3038"/>
      <c r="AL532" s="3038"/>
      <c r="AM532" s="3038"/>
      <c r="AN532" s="3038"/>
      <c r="AO532" s="3038"/>
      <c r="AP532" s="3038"/>
      <c r="AQ532" s="3038"/>
      <c r="AR532" s="3038"/>
      <c r="AS532" s="3038"/>
      <c r="AT532" s="3038"/>
      <c r="AU532" s="3038"/>
      <c r="AV532" s="3038"/>
      <c r="AW532" s="3038"/>
      <c r="AX532" s="3038"/>
      <c r="AY532" s="3038"/>
      <c r="AZ532" s="3038"/>
      <c r="BA532" s="3038"/>
      <c r="BB532" s="3038"/>
      <c r="BC532" s="3038"/>
      <c r="BD532" s="3038"/>
      <c r="BE532" s="3038"/>
      <c r="BF532" s="3038"/>
      <c r="BG532" s="3038"/>
      <c r="BH532" s="3038"/>
      <c r="BI532" s="3038"/>
      <c r="BJ532" s="3038"/>
      <c r="BK532" s="3038"/>
      <c r="BL532" s="3038"/>
      <c r="BM532" s="3038"/>
      <c r="BN532" s="3038"/>
      <c r="BO532" s="3038"/>
      <c r="BP532" s="3038"/>
      <c r="BQ532" s="3038"/>
      <c r="BR532" s="3038"/>
      <c r="BS532" s="3038"/>
      <c r="BT532" s="3038"/>
      <c r="BU532" s="3038"/>
    </row>
    <row r="533" spans="3:73">
      <c r="C533" s="3038"/>
      <c r="D533" s="3038"/>
      <c r="E533" s="3038"/>
      <c r="H533" s="3038"/>
      <c r="I533" s="3038"/>
      <c r="J533" s="3038"/>
      <c r="K533" s="3038"/>
      <c r="M533" s="3038"/>
      <c r="N533" s="3038"/>
      <c r="O533" s="3038"/>
      <c r="P533" s="3038"/>
      <c r="Q533" s="3038"/>
      <c r="R533" s="3038"/>
      <c r="S533" s="3038"/>
      <c r="T533" s="3038"/>
      <c r="W533" s="3038"/>
      <c r="X533" s="3038"/>
      <c r="Y533" s="3038"/>
      <c r="Z533" s="3038"/>
      <c r="AA533" s="3113"/>
      <c r="AB533" s="3038"/>
      <c r="AC533" s="3038"/>
      <c r="AD533" s="3038"/>
      <c r="AE533" s="3132"/>
      <c r="AF533" s="3038"/>
      <c r="AG533" s="3038"/>
      <c r="AH533" s="3038"/>
      <c r="AK533" s="3038"/>
      <c r="AL533" s="3038"/>
      <c r="AM533" s="3038"/>
      <c r="AN533" s="3038"/>
      <c r="AO533" s="3038"/>
      <c r="AP533" s="3038"/>
      <c r="AQ533" s="3038"/>
      <c r="AR533" s="3038"/>
      <c r="AS533" s="3038"/>
      <c r="AT533" s="3038"/>
      <c r="AU533" s="3038"/>
      <c r="AV533" s="3038"/>
      <c r="AW533" s="3038"/>
      <c r="AX533" s="3038"/>
      <c r="AY533" s="3038"/>
      <c r="AZ533" s="3038"/>
      <c r="BA533" s="3038"/>
      <c r="BB533" s="3038"/>
      <c r="BC533" s="3038"/>
      <c r="BD533" s="3038"/>
      <c r="BE533" s="3038"/>
      <c r="BF533" s="3038"/>
      <c r="BG533" s="3038"/>
      <c r="BH533" s="3038"/>
      <c r="BI533" s="3038"/>
      <c r="BJ533" s="3038"/>
      <c r="BK533" s="3038"/>
      <c r="BL533" s="3038"/>
      <c r="BM533" s="3038"/>
      <c r="BN533" s="3038"/>
      <c r="BO533" s="3038"/>
      <c r="BP533" s="3038"/>
      <c r="BQ533" s="3038"/>
      <c r="BR533" s="3038"/>
      <c r="BS533" s="3038"/>
      <c r="BT533" s="3038"/>
      <c r="BU533" s="3038"/>
    </row>
    <row r="534" spans="3:73">
      <c r="C534" s="3038"/>
      <c r="D534" s="3038"/>
      <c r="E534" s="3038"/>
      <c r="H534" s="3038"/>
      <c r="I534" s="3038"/>
      <c r="J534" s="3038"/>
      <c r="K534" s="3038"/>
      <c r="M534" s="3038"/>
      <c r="N534" s="3038"/>
      <c r="O534" s="3038"/>
      <c r="P534" s="3038"/>
      <c r="Q534" s="3038"/>
      <c r="R534" s="3038"/>
      <c r="S534" s="3038"/>
      <c r="T534" s="3038"/>
      <c r="W534" s="3038"/>
      <c r="X534" s="3038"/>
      <c r="Y534" s="3038"/>
      <c r="Z534" s="3038"/>
      <c r="AA534" s="3113"/>
      <c r="AB534" s="3038"/>
      <c r="AC534" s="3038"/>
      <c r="AD534" s="3038"/>
      <c r="AE534" s="3132"/>
      <c r="AF534" s="3038"/>
      <c r="AG534" s="3038"/>
      <c r="AH534" s="3038"/>
      <c r="AK534" s="3038"/>
      <c r="AL534" s="3038"/>
      <c r="AM534" s="3038"/>
      <c r="AN534" s="3038"/>
      <c r="AO534" s="3038"/>
      <c r="AP534" s="3038"/>
      <c r="AQ534" s="3038"/>
      <c r="AR534" s="3038"/>
      <c r="AS534" s="3038"/>
      <c r="AT534" s="3038"/>
      <c r="AU534" s="3038"/>
      <c r="AV534" s="3038"/>
      <c r="AW534" s="3038"/>
      <c r="AX534" s="3038"/>
      <c r="AY534" s="3038"/>
      <c r="AZ534" s="3038"/>
      <c r="BA534" s="3038"/>
      <c r="BB534" s="3038"/>
      <c r="BC534" s="3038"/>
      <c r="BD534" s="3038"/>
      <c r="BE534" s="3038"/>
      <c r="BF534" s="3038"/>
      <c r="BG534" s="3038"/>
      <c r="BH534" s="3038"/>
      <c r="BI534" s="3038"/>
      <c r="BJ534" s="3038"/>
      <c r="BK534" s="3038"/>
      <c r="BL534" s="3038"/>
      <c r="BM534" s="3038"/>
      <c r="BN534" s="3038"/>
      <c r="BO534" s="3038"/>
      <c r="BP534" s="3038"/>
      <c r="BQ534" s="3038"/>
      <c r="BR534" s="3038"/>
      <c r="BS534" s="3038"/>
      <c r="BT534" s="3038"/>
      <c r="BU534" s="3038"/>
    </row>
    <row r="535" spans="3:73">
      <c r="C535" s="3038"/>
      <c r="D535" s="3038"/>
      <c r="E535" s="3038"/>
      <c r="H535" s="3038"/>
      <c r="I535" s="3038"/>
      <c r="J535" s="3038"/>
      <c r="K535" s="3038"/>
      <c r="M535" s="3038"/>
      <c r="N535" s="3038"/>
      <c r="O535" s="3038"/>
      <c r="P535" s="3038"/>
      <c r="Q535" s="3038"/>
      <c r="R535" s="3038"/>
      <c r="S535" s="3038"/>
      <c r="T535" s="3038"/>
      <c r="W535" s="3038"/>
      <c r="X535" s="3038"/>
      <c r="Y535" s="3038"/>
      <c r="Z535" s="3038"/>
      <c r="AA535" s="3113"/>
      <c r="AB535" s="3038"/>
      <c r="AC535" s="3038"/>
      <c r="AD535" s="3038"/>
      <c r="AE535" s="3132"/>
      <c r="AF535" s="3038"/>
      <c r="AG535" s="3038"/>
      <c r="AH535" s="3038"/>
      <c r="AK535" s="3038"/>
      <c r="AL535" s="3038"/>
      <c r="AM535" s="3038"/>
      <c r="AN535" s="3038"/>
      <c r="AO535" s="3038"/>
      <c r="AP535" s="3038"/>
      <c r="AQ535" s="3038"/>
      <c r="AR535" s="3038"/>
      <c r="AS535" s="3038"/>
      <c r="AT535" s="3038"/>
      <c r="AU535" s="3038"/>
      <c r="AV535" s="3038"/>
      <c r="AW535" s="3038"/>
      <c r="AX535" s="3038"/>
      <c r="AY535" s="3038"/>
      <c r="AZ535" s="3038"/>
      <c r="BA535" s="3038"/>
      <c r="BB535" s="3038"/>
      <c r="BC535" s="3038"/>
      <c r="BD535" s="3038"/>
      <c r="BE535" s="3038"/>
      <c r="BF535" s="3038"/>
      <c r="BG535" s="3038"/>
      <c r="BH535" s="3038"/>
      <c r="BI535" s="3038"/>
      <c r="BJ535" s="3038"/>
      <c r="BK535" s="3038"/>
      <c r="BL535" s="3038"/>
      <c r="BM535" s="3038"/>
      <c r="BN535" s="3038"/>
      <c r="BO535" s="3038"/>
      <c r="BP535" s="3038"/>
      <c r="BQ535" s="3038"/>
      <c r="BR535" s="3038"/>
      <c r="BS535" s="3038"/>
      <c r="BT535" s="3038"/>
      <c r="BU535" s="3038"/>
    </row>
    <row r="536" spans="3:73">
      <c r="C536" s="3038"/>
      <c r="D536" s="3038"/>
      <c r="E536" s="3038"/>
      <c r="H536" s="3038"/>
      <c r="I536" s="3038"/>
      <c r="J536" s="3038"/>
      <c r="K536" s="3038"/>
      <c r="M536" s="3038"/>
      <c r="N536" s="3038"/>
      <c r="O536" s="3038"/>
      <c r="P536" s="3038"/>
      <c r="Q536" s="3038"/>
      <c r="R536" s="3038"/>
      <c r="S536" s="3038"/>
      <c r="T536" s="3038"/>
      <c r="W536" s="3038"/>
      <c r="X536" s="3038"/>
      <c r="Y536" s="3038"/>
      <c r="Z536" s="3038"/>
      <c r="AA536" s="3113"/>
      <c r="AB536" s="3038"/>
      <c r="AC536" s="3038"/>
      <c r="AD536" s="3038"/>
      <c r="AE536" s="3132"/>
      <c r="AF536" s="3038"/>
      <c r="AG536" s="3038"/>
      <c r="AH536" s="3038"/>
      <c r="AK536" s="3038"/>
      <c r="AL536" s="3038"/>
      <c r="AM536" s="3038"/>
      <c r="AN536" s="3038"/>
      <c r="AO536" s="3038"/>
      <c r="AP536" s="3038"/>
      <c r="AQ536" s="3038"/>
      <c r="AR536" s="3038"/>
      <c r="AS536" s="3038"/>
      <c r="AT536" s="3038"/>
      <c r="AU536" s="3038"/>
      <c r="AV536" s="3038"/>
      <c r="AW536" s="3038"/>
      <c r="AX536" s="3038"/>
      <c r="AY536" s="3038"/>
      <c r="AZ536" s="3038"/>
      <c r="BA536" s="3038"/>
      <c r="BB536" s="3038"/>
      <c r="BC536" s="3038"/>
      <c r="BD536" s="3038"/>
      <c r="BE536" s="3038"/>
      <c r="BF536" s="3038"/>
      <c r="BG536" s="3038"/>
      <c r="BH536" s="3038"/>
      <c r="BI536" s="3038"/>
      <c r="BJ536" s="3038"/>
      <c r="BK536" s="3038"/>
      <c r="BL536" s="3038"/>
      <c r="BM536" s="3038"/>
      <c r="BN536" s="3038"/>
      <c r="BO536" s="3038"/>
      <c r="BP536" s="3038"/>
      <c r="BQ536" s="3038"/>
      <c r="BR536" s="3038"/>
      <c r="BS536" s="3038"/>
      <c r="BT536" s="3038"/>
      <c r="BU536" s="3038"/>
    </row>
    <row r="537" spans="3:73">
      <c r="C537" s="3038"/>
      <c r="D537" s="3038"/>
      <c r="E537" s="3038"/>
      <c r="H537" s="3038"/>
      <c r="I537" s="3038"/>
      <c r="J537" s="3038"/>
      <c r="K537" s="3038"/>
      <c r="M537" s="3038"/>
      <c r="N537" s="3038"/>
      <c r="O537" s="3038"/>
      <c r="P537" s="3038"/>
      <c r="Q537" s="3038"/>
      <c r="R537" s="3038"/>
      <c r="S537" s="3038"/>
      <c r="T537" s="3038"/>
      <c r="W537" s="3038"/>
      <c r="X537" s="3038"/>
      <c r="Y537" s="3038"/>
      <c r="Z537" s="3038"/>
      <c r="AA537" s="3113"/>
      <c r="AB537" s="3038"/>
      <c r="AC537" s="3038"/>
      <c r="AD537" s="3038"/>
      <c r="AE537" s="3132"/>
      <c r="AF537" s="3038"/>
      <c r="AG537" s="3038"/>
      <c r="AH537" s="3038"/>
      <c r="AK537" s="3038"/>
      <c r="AL537" s="3038"/>
      <c r="AM537" s="3038"/>
      <c r="AN537" s="3038"/>
      <c r="AO537" s="3038"/>
      <c r="AP537" s="3038"/>
      <c r="AQ537" s="3038"/>
      <c r="AR537" s="3038"/>
      <c r="AS537" s="3038"/>
      <c r="AT537" s="3038"/>
      <c r="AU537" s="3038"/>
      <c r="AV537" s="3038"/>
      <c r="AW537" s="3038"/>
      <c r="AX537" s="3038"/>
      <c r="AY537" s="3038"/>
      <c r="AZ537" s="3038"/>
      <c r="BA537" s="3038"/>
      <c r="BB537" s="3038"/>
      <c r="BC537" s="3038"/>
      <c r="BD537" s="3038"/>
      <c r="BE537" s="3038"/>
      <c r="BF537" s="3038"/>
      <c r="BG537" s="3038"/>
      <c r="BH537" s="3038"/>
      <c r="BI537" s="3038"/>
      <c r="BJ537" s="3038"/>
      <c r="BK537" s="3038"/>
      <c r="BL537" s="3038"/>
      <c r="BM537" s="3038"/>
      <c r="BN537" s="3038"/>
      <c r="BO537" s="3038"/>
      <c r="BP537" s="3038"/>
      <c r="BQ537" s="3038"/>
      <c r="BR537" s="3038"/>
      <c r="BS537" s="3038"/>
      <c r="BT537" s="3038"/>
      <c r="BU537" s="3038"/>
    </row>
    <row r="538" spans="3:73">
      <c r="C538" s="3038"/>
      <c r="D538" s="3038"/>
      <c r="E538" s="3038"/>
      <c r="H538" s="3038"/>
      <c r="I538" s="3038"/>
      <c r="J538" s="3038"/>
      <c r="K538" s="3038"/>
      <c r="M538" s="3038"/>
      <c r="N538" s="3038"/>
      <c r="O538" s="3038"/>
      <c r="P538" s="3038"/>
      <c r="Q538" s="3038"/>
      <c r="R538" s="3038"/>
      <c r="S538" s="3038"/>
      <c r="T538" s="3038"/>
      <c r="W538" s="3038"/>
      <c r="X538" s="3038"/>
      <c r="Y538" s="3038"/>
      <c r="Z538" s="3038"/>
      <c r="AA538" s="3113"/>
      <c r="AB538" s="3038"/>
      <c r="AC538" s="3038"/>
      <c r="AD538" s="3038"/>
      <c r="AE538" s="3132"/>
      <c r="AF538" s="3038"/>
      <c r="AG538" s="3038"/>
      <c r="AH538" s="3038"/>
      <c r="AK538" s="3038"/>
      <c r="AL538" s="3038"/>
      <c r="AM538" s="3038"/>
      <c r="AN538" s="3038"/>
      <c r="AO538" s="3038"/>
      <c r="AP538" s="3038"/>
      <c r="AQ538" s="3038"/>
      <c r="AR538" s="3038"/>
      <c r="AS538" s="3038"/>
      <c r="AT538" s="3038"/>
      <c r="AU538" s="3038"/>
      <c r="AV538" s="3038"/>
      <c r="AW538" s="3038"/>
      <c r="AX538" s="3038"/>
      <c r="AY538" s="3038"/>
      <c r="AZ538" s="3038"/>
      <c r="BA538" s="3038"/>
      <c r="BB538" s="3038"/>
      <c r="BC538" s="3038"/>
      <c r="BD538" s="3038"/>
      <c r="BE538" s="3038"/>
      <c r="BF538" s="3038"/>
      <c r="BG538" s="3038"/>
      <c r="BH538" s="3038"/>
      <c r="BI538" s="3038"/>
      <c r="BJ538" s="3038"/>
      <c r="BK538" s="3038"/>
      <c r="BL538" s="3038"/>
      <c r="BM538" s="3038"/>
      <c r="BN538" s="3038"/>
      <c r="BO538" s="3038"/>
      <c r="BP538" s="3038"/>
      <c r="BQ538" s="3038"/>
      <c r="BR538" s="3038"/>
      <c r="BS538" s="3038"/>
      <c r="BT538" s="3038"/>
      <c r="BU538" s="3038"/>
    </row>
    <row r="539" spans="3:73">
      <c r="C539" s="3038"/>
      <c r="D539" s="3038"/>
      <c r="E539" s="3038"/>
      <c r="H539" s="3038"/>
      <c r="I539" s="3038"/>
      <c r="J539" s="3038"/>
      <c r="K539" s="3038"/>
      <c r="M539" s="3038"/>
      <c r="N539" s="3038"/>
      <c r="O539" s="3038"/>
      <c r="P539" s="3038"/>
      <c r="Q539" s="3038"/>
      <c r="R539" s="3038"/>
      <c r="S539" s="3038"/>
      <c r="T539" s="3038"/>
      <c r="W539" s="3038"/>
      <c r="X539" s="3038"/>
      <c r="Y539" s="3038"/>
      <c r="Z539" s="3038"/>
      <c r="AA539" s="3113"/>
      <c r="AB539" s="3038"/>
      <c r="AC539" s="3038"/>
      <c r="AD539" s="3038"/>
      <c r="AE539" s="3132"/>
      <c r="AF539" s="3038"/>
      <c r="AG539" s="3038"/>
      <c r="AH539" s="3038"/>
      <c r="AK539" s="3038"/>
      <c r="AL539" s="3038"/>
      <c r="AM539" s="3038"/>
      <c r="AN539" s="3038"/>
      <c r="AO539" s="3038"/>
      <c r="AP539" s="3038"/>
      <c r="AQ539" s="3038"/>
      <c r="AR539" s="3038"/>
      <c r="AS539" s="3038"/>
      <c r="AT539" s="3038"/>
      <c r="AU539" s="3038"/>
      <c r="AV539" s="3038"/>
      <c r="AW539" s="3038"/>
      <c r="AX539" s="3038"/>
      <c r="AY539" s="3038"/>
      <c r="AZ539" s="3038"/>
      <c r="BA539" s="3038"/>
      <c r="BB539" s="3038"/>
      <c r="BC539" s="3038"/>
      <c r="BD539" s="3038"/>
      <c r="BE539" s="3038"/>
      <c r="BF539" s="3038"/>
      <c r="BG539" s="3038"/>
      <c r="BH539" s="3038"/>
      <c r="BI539" s="3038"/>
      <c r="BJ539" s="3038"/>
      <c r="BK539" s="3038"/>
      <c r="BL539" s="3038"/>
      <c r="BM539" s="3038"/>
      <c r="BN539" s="3038"/>
      <c r="BO539" s="3038"/>
      <c r="BP539" s="3038"/>
      <c r="BQ539" s="3038"/>
      <c r="BR539" s="3038"/>
      <c r="BS539" s="3038"/>
      <c r="BT539" s="3038"/>
      <c r="BU539" s="3038"/>
    </row>
    <row r="540" spans="3:73">
      <c r="C540" s="3038"/>
      <c r="D540" s="3038"/>
      <c r="E540" s="3038"/>
      <c r="H540" s="3038"/>
      <c r="I540" s="3038"/>
      <c r="J540" s="3038"/>
      <c r="K540" s="3038"/>
      <c r="M540" s="3038"/>
      <c r="N540" s="3038"/>
      <c r="O540" s="3038"/>
      <c r="P540" s="3038"/>
      <c r="Q540" s="3038"/>
      <c r="R540" s="3038"/>
      <c r="S540" s="3038"/>
      <c r="T540" s="3038"/>
      <c r="W540" s="3038"/>
      <c r="X540" s="3038"/>
      <c r="Y540" s="3038"/>
      <c r="Z540" s="3038"/>
      <c r="AA540" s="3113"/>
      <c r="AB540" s="3038"/>
      <c r="AC540" s="3038"/>
      <c r="AD540" s="3038"/>
      <c r="AE540" s="3132"/>
      <c r="AF540" s="3038"/>
      <c r="AG540" s="3038"/>
      <c r="AH540" s="3038"/>
      <c r="AK540" s="3038"/>
      <c r="AL540" s="3038"/>
      <c r="AM540" s="3038"/>
      <c r="AN540" s="3038"/>
      <c r="AO540" s="3038"/>
      <c r="AP540" s="3038"/>
      <c r="AQ540" s="3038"/>
      <c r="AR540" s="3038"/>
      <c r="AS540" s="3038"/>
      <c r="AT540" s="3038"/>
      <c r="AU540" s="3038"/>
      <c r="AV540" s="3038"/>
      <c r="AW540" s="3038"/>
      <c r="AX540" s="3038"/>
      <c r="AY540" s="3038"/>
      <c r="AZ540" s="3038"/>
      <c r="BA540" s="3038"/>
      <c r="BB540" s="3038"/>
      <c r="BC540" s="3038"/>
      <c r="BD540" s="3038"/>
      <c r="BE540" s="3038"/>
      <c r="BF540" s="3038"/>
      <c r="BG540" s="3038"/>
      <c r="BH540" s="3038"/>
      <c r="BI540" s="3038"/>
      <c r="BJ540" s="3038"/>
      <c r="BK540" s="3038"/>
      <c r="BL540" s="3038"/>
      <c r="BM540" s="3038"/>
      <c r="BN540" s="3038"/>
      <c r="BO540" s="3038"/>
      <c r="BP540" s="3038"/>
      <c r="BQ540" s="3038"/>
      <c r="BR540" s="3038"/>
      <c r="BS540" s="3038"/>
      <c r="BT540" s="3038"/>
      <c r="BU540" s="3038"/>
    </row>
    <row r="541" spans="3:73">
      <c r="C541" s="3038"/>
      <c r="D541" s="3038"/>
      <c r="E541" s="3038"/>
      <c r="H541" s="3038"/>
      <c r="I541" s="3038"/>
      <c r="J541" s="3038"/>
      <c r="K541" s="3038"/>
      <c r="M541" s="3038"/>
      <c r="N541" s="3038"/>
      <c r="O541" s="3038"/>
      <c r="P541" s="3038"/>
      <c r="Q541" s="3038"/>
      <c r="R541" s="3038"/>
      <c r="S541" s="3038"/>
      <c r="T541" s="3038"/>
      <c r="W541" s="3038"/>
      <c r="X541" s="3038"/>
      <c r="Y541" s="3038"/>
      <c r="Z541" s="3038"/>
      <c r="AA541" s="3113"/>
      <c r="AB541" s="3038"/>
      <c r="AC541" s="3038"/>
      <c r="AD541" s="3038"/>
      <c r="AE541" s="3132"/>
      <c r="AF541" s="3038"/>
      <c r="AG541" s="3038"/>
      <c r="AH541" s="3038"/>
      <c r="AK541" s="3038"/>
      <c r="AL541" s="3038"/>
      <c r="AM541" s="3038"/>
      <c r="AN541" s="3038"/>
      <c r="AO541" s="3038"/>
      <c r="AP541" s="3038"/>
      <c r="AQ541" s="3038"/>
      <c r="AR541" s="3038"/>
      <c r="AS541" s="3038"/>
      <c r="AT541" s="3038"/>
      <c r="AU541" s="3038"/>
      <c r="AV541" s="3038"/>
      <c r="AW541" s="3038"/>
      <c r="AX541" s="3038"/>
      <c r="AY541" s="3038"/>
      <c r="AZ541" s="3038"/>
      <c r="BA541" s="3038"/>
      <c r="BB541" s="3038"/>
      <c r="BC541" s="3038"/>
      <c r="BD541" s="3038"/>
      <c r="BE541" s="3038"/>
      <c r="BF541" s="3038"/>
      <c r="BG541" s="3038"/>
      <c r="BH541" s="3038"/>
      <c r="BI541" s="3038"/>
      <c r="BJ541" s="3038"/>
      <c r="BK541" s="3038"/>
      <c r="BL541" s="3038"/>
      <c r="BM541" s="3038"/>
      <c r="BN541" s="3038"/>
      <c r="BO541" s="3038"/>
      <c r="BP541" s="3038"/>
      <c r="BQ541" s="3038"/>
      <c r="BR541" s="3038"/>
      <c r="BS541" s="3038"/>
      <c r="BT541" s="3038"/>
      <c r="BU541" s="3038"/>
    </row>
    <row r="542" spans="3:73">
      <c r="C542" s="3038"/>
      <c r="D542" s="3038"/>
      <c r="E542" s="3038"/>
      <c r="H542" s="3038"/>
      <c r="I542" s="3038"/>
      <c r="J542" s="3038"/>
      <c r="K542" s="3038"/>
      <c r="M542" s="3038"/>
      <c r="N542" s="3038"/>
      <c r="O542" s="3038"/>
      <c r="P542" s="3038"/>
      <c r="Q542" s="3038"/>
      <c r="R542" s="3038"/>
      <c r="S542" s="3038"/>
      <c r="T542" s="3038"/>
      <c r="W542" s="3038"/>
      <c r="X542" s="3038"/>
      <c r="Y542" s="3038"/>
      <c r="Z542" s="3038"/>
      <c r="AA542" s="3113"/>
      <c r="AB542" s="3038"/>
      <c r="AC542" s="3038"/>
      <c r="AD542" s="3038"/>
      <c r="AE542" s="3132"/>
      <c r="AF542" s="3038"/>
      <c r="AG542" s="3038"/>
      <c r="AH542" s="3038"/>
      <c r="AK542" s="3038"/>
      <c r="AL542" s="3038"/>
      <c r="AM542" s="3038"/>
      <c r="AN542" s="3038"/>
      <c r="AO542" s="3038"/>
      <c r="AP542" s="3038"/>
      <c r="AQ542" s="3038"/>
      <c r="AR542" s="3038"/>
      <c r="AS542" s="3038"/>
      <c r="AT542" s="3038"/>
      <c r="AU542" s="3038"/>
      <c r="AV542" s="3038"/>
      <c r="AW542" s="3038"/>
      <c r="AX542" s="3038"/>
      <c r="AY542" s="3038"/>
      <c r="AZ542" s="3038"/>
      <c r="BA542" s="3038"/>
      <c r="BB542" s="3038"/>
      <c r="BC542" s="3038"/>
      <c r="BD542" s="3038"/>
      <c r="BE542" s="3038"/>
      <c r="BF542" s="3038"/>
      <c r="BG542" s="3038"/>
      <c r="BH542" s="3038"/>
      <c r="BI542" s="3038"/>
      <c r="BJ542" s="3038"/>
      <c r="BK542" s="3038"/>
      <c r="BL542" s="3038"/>
      <c r="BM542" s="3038"/>
      <c r="BN542" s="3038"/>
      <c r="BO542" s="3038"/>
      <c r="BP542" s="3038"/>
      <c r="BQ542" s="3038"/>
      <c r="BR542" s="3038"/>
      <c r="BS542" s="3038"/>
      <c r="BT542" s="3038"/>
      <c r="BU542" s="3038"/>
    </row>
    <row r="543" spans="3:73">
      <c r="C543" s="3038"/>
      <c r="D543" s="3038"/>
      <c r="E543" s="3038"/>
      <c r="H543" s="3038"/>
      <c r="I543" s="3038"/>
      <c r="J543" s="3038"/>
      <c r="K543" s="3038"/>
      <c r="M543" s="3038"/>
      <c r="N543" s="3038"/>
      <c r="O543" s="3038"/>
      <c r="P543" s="3038"/>
      <c r="Q543" s="3038"/>
      <c r="R543" s="3038"/>
      <c r="S543" s="3038"/>
      <c r="T543" s="3038"/>
      <c r="W543" s="3038"/>
      <c r="X543" s="3038"/>
      <c r="Y543" s="3038"/>
      <c r="Z543" s="3038"/>
      <c r="AA543" s="3113"/>
      <c r="AB543" s="3038"/>
      <c r="AC543" s="3038"/>
      <c r="AD543" s="3038"/>
      <c r="AE543" s="3132"/>
      <c r="AF543" s="3038"/>
      <c r="AG543" s="3038"/>
      <c r="AH543" s="3038"/>
      <c r="AK543" s="3038"/>
      <c r="AL543" s="3038"/>
      <c r="AM543" s="3038"/>
      <c r="AN543" s="3038"/>
      <c r="AO543" s="3038"/>
      <c r="AP543" s="3038"/>
      <c r="AQ543" s="3038"/>
      <c r="AR543" s="3038"/>
      <c r="AS543" s="3038"/>
      <c r="AT543" s="3038"/>
      <c r="AU543" s="3038"/>
      <c r="AV543" s="3038"/>
      <c r="AW543" s="3038"/>
      <c r="AX543" s="3038"/>
      <c r="AY543" s="3038"/>
      <c r="AZ543" s="3038"/>
      <c r="BA543" s="3038"/>
      <c r="BB543" s="3038"/>
      <c r="BC543" s="3038"/>
      <c r="BD543" s="3038"/>
      <c r="BE543" s="3038"/>
      <c r="BF543" s="3038"/>
      <c r="BG543" s="3038"/>
      <c r="BH543" s="3038"/>
      <c r="BI543" s="3038"/>
      <c r="BJ543" s="3038"/>
      <c r="BK543" s="3038"/>
      <c r="BL543" s="3038"/>
      <c r="BM543" s="3038"/>
      <c r="BN543" s="3038"/>
      <c r="BO543" s="3038"/>
      <c r="BP543" s="3038"/>
      <c r="BQ543" s="3038"/>
      <c r="BR543" s="3038"/>
      <c r="BS543" s="3038"/>
      <c r="BT543" s="3038"/>
      <c r="BU543" s="3038"/>
    </row>
    <row r="544" spans="3:73">
      <c r="C544" s="3038"/>
      <c r="D544" s="3038"/>
      <c r="E544" s="3038"/>
      <c r="H544" s="3038"/>
      <c r="I544" s="3038"/>
      <c r="J544" s="3038"/>
      <c r="K544" s="3038"/>
      <c r="M544" s="3038"/>
      <c r="N544" s="3038"/>
      <c r="O544" s="3038"/>
      <c r="P544" s="3038"/>
      <c r="Q544" s="3038"/>
      <c r="R544" s="3038"/>
      <c r="S544" s="3038"/>
      <c r="T544" s="3038"/>
      <c r="W544" s="3038"/>
      <c r="X544" s="3038"/>
      <c r="Y544" s="3038"/>
      <c r="Z544" s="3038"/>
      <c r="AA544" s="3113"/>
      <c r="AB544" s="3038"/>
      <c r="AC544" s="3038"/>
      <c r="AD544" s="3038"/>
      <c r="AE544" s="3132"/>
      <c r="AF544" s="3038"/>
      <c r="AG544" s="3038"/>
      <c r="AH544" s="3038"/>
      <c r="AK544" s="3038"/>
      <c r="AL544" s="3038"/>
      <c r="AM544" s="3038"/>
      <c r="AN544" s="3038"/>
      <c r="AO544" s="3038"/>
      <c r="AP544" s="3038"/>
      <c r="AQ544" s="3038"/>
      <c r="AR544" s="3038"/>
      <c r="AS544" s="3038"/>
      <c r="AT544" s="3038"/>
      <c r="AU544" s="3038"/>
      <c r="AV544" s="3038"/>
      <c r="AW544" s="3038"/>
      <c r="AX544" s="3038"/>
      <c r="AY544" s="3038"/>
      <c r="AZ544" s="3038"/>
      <c r="BA544" s="3038"/>
      <c r="BB544" s="3038"/>
      <c r="BC544" s="3038"/>
      <c r="BD544" s="3038"/>
      <c r="BE544" s="3038"/>
      <c r="BF544" s="3038"/>
      <c r="BG544" s="3038"/>
      <c r="BH544" s="3038"/>
      <c r="BI544" s="3038"/>
      <c r="BJ544" s="3038"/>
      <c r="BK544" s="3038"/>
      <c r="BL544" s="3038"/>
      <c r="BM544" s="3038"/>
      <c r="BN544" s="3038"/>
      <c r="BO544" s="3038"/>
      <c r="BP544" s="3038"/>
      <c r="BQ544" s="3038"/>
      <c r="BR544" s="3038"/>
      <c r="BS544" s="3038"/>
      <c r="BT544" s="3038"/>
      <c r="BU544" s="3038"/>
    </row>
    <row r="545" spans="3:73">
      <c r="C545" s="3038"/>
      <c r="D545" s="3038"/>
      <c r="E545" s="3038"/>
      <c r="H545" s="3038"/>
      <c r="I545" s="3038"/>
      <c r="J545" s="3038"/>
      <c r="K545" s="3038"/>
      <c r="M545" s="3038"/>
      <c r="N545" s="3038"/>
      <c r="O545" s="3038"/>
      <c r="P545" s="3038"/>
      <c r="Q545" s="3038"/>
      <c r="R545" s="3038"/>
      <c r="S545" s="3038"/>
      <c r="T545" s="3038"/>
      <c r="W545" s="3038"/>
      <c r="X545" s="3038"/>
      <c r="Y545" s="3038"/>
      <c r="Z545" s="3038"/>
      <c r="AA545" s="3113"/>
      <c r="AB545" s="3038"/>
      <c r="AC545" s="3038"/>
      <c r="AD545" s="3038"/>
      <c r="AE545" s="3132"/>
      <c r="AF545" s="3038"/>
      <c r="AG545" s="3038"/>
      <c r="AH545" s="3038"/>
      <c r="AK545" s="3038"/>
      <c r="AL545" s="3038"/>
      <c r="AM545" s="3038"/>
      <c r="AN545" s="3038"/>
      <c r="AO545" s="3038"/>
      <c r="AP545" s="3038"/>
      <c r="AQ545" s="3038"/>
      <c r="AR545" s="3038"/>
      <c r="AS545" s="3038"/>
      <c r="AT545" s="3038"/>
      <c r="AU545" s="3038"/>
      <c r="AV545" s="3038"/>
      <c r="AW545" s="3038"/>
      <c r="AX545" s="3038"/>
      <c r="AY545" s="3038"/>
      <c r="AZ545" s="3038"/>
      <c r="BA545" s="3038"/>
      <c r="BB545" s="3038"/>
      <c r="BC545" s="3038"/>
      <c r="BD545" s="3038"/>
      <c r="BE545" s="3038"/>
      <c r="BF545" s="3038"/>
      <c r="BG545" s="3038"/>
      <c r="BH545" s="3038"/>
      <c r="BI545" s="3038"/>
      <c r="BJ545" s="3038"/>
      <c r="BK545" s="3038"/>
      <c r="BL545" s="3038"/>
      <c r="BM545" s="3038"/>
      <c r="BN545" s="3038"/>
      <c r="BO545" s="3038"/>
      <c r="BP545" s="3038"/>
      <c r="BQ545" s="3038"/>
      <c r="BR545" s="3038"/>
      <c r="BS545" s="3038"/>
      <c r="BT545" s="3038"/>
      <c r="BU545" s="3038"/>
    </row>
    <row r="546" spans="3:73">
      <c r="C546" s="3038"/>
      <c r="D546" s="3038"/>
      <c r="E546" s="3038"/>
      <c r="H546" s="3038"/>
      <c r="I546" s="3038"/>
      <c r="J546" s="3038"/>
      <c r="K546" s="3038"/>
      <c r="M546" s="3038"/>
      <c r="N546" s="3038"/>
      <c r="O546" s="3038"/>
      <c r="P546" s="3038"/>
      <c r="Q546" s="3038"/>
      <c r="R546" s="3038"/>
      <c r="S546" s="3038"/>
      <c r="T546" s="3038"/>
      <c r="W546" s="3038"/>
      <c r="X546" s="3038"/>
      <c r="Y546" s="3038"/>
      <c r="Z546" s="3038"/>
      <c r="AA546" s="3113"/>
      <c r="AB546" s="3038"/>
      <c r="AC546" s="3038"/>
      <c r="AD546" s="3038"/>
      <c r="AE546" s="3132"/>
      <c r="AF546" s="3038"/>
      <c r="AG546" s="3038"/>
      <c r="AH546" s="3038"/>
      <c r="AK546" s="3038"/>
      <c r="AL546" s="3038"/>
      <c r="AM546" s="3038"/>
      <c r="AN546" s="3038"/>
      <c r="AO546" s="3038"/>
      <c r="AP546" s="3038"/>
      <c r="AQ546" s="3038"/>
      <c r="AR546" s="3038"/>
      <c r="AS546" s="3038"/>
      <c r="AT546" s="3038"/>
      <c r="AU546" s="3038"/>
      <c r="AV546" s="3038"/>
      <c r="AW546" s="3038"/>
      <c r="AX546" s="3038"/>
      <c r="AY546" s="3038"/>
      <c r="AZ546" s="3038"/>
      <c r="BA546" s="3038"/>
      <c r="BB546" s="3038"/>
      <c r="BC546" s="3038"/>
      <c r="BD546" s="3038"/>
      <c r="BE546" s="3038"/>
      <c r="BF546" s="3038"/>
      <c r="BG546" s="3038"/>
      <c r="BH546" s="3038"/>
      <c r="BI546" s="3038"/>
      <c r="BJ546" s="3038"/>
      <c r="BK546" s="3038"/>
      <c r="BL546" s="3038"/>
      <c r="BM546" s="3038"/>
      <c r="BN546" s="3038"/>
      <c r="BO546" s="3038"/>
      <c r="BP546" s="3038"/>
      <c r="BQ546" s="3038"/>
      <c r="BR546" s="3038"/>
      <c r="BS546" s="3038"/>
      <c r="BT546" s="3038"/>
      <c r="BU546" s="3038"/>
    </row>
    <row r="547" spans="3:73">
      <c r="C547" s="3038"/>
      <c r="D547" s="3038"/>
      <c r="E547" s="3038"/>
      <c r="H547" s="3038"/>
      <c r="I547" s="3038"/>
      <c r="J547" s="3038"/>
      <c r="K547" s="3038"/>
      <c r="M547" s="3038"/>
      <c r="N547" s="3038"/>
      <c r="O547" s="3038"/>
      <c r="P547" s="3038"/>
      <c r="Q547" s="3038"/>
      <c r="R547" s="3038"/>
      <c r="S547" s="3038"/>
      <c r="T547" s="3038"/>
      <c r="W547" s="3038"/>
      <c r="X547" s="3038"/>
      <c r="Y547" s="3038"/>
      <c r="Z547" s="3038"/>
      <c r="AA547" s="3113"/>
      <c r="AB547" s="3038"/>
      <c r="AC547" s="3038"/>
      <c r="AD547" s="3038"/>
      <c r="AE547" s="3132"/>
      <c r="AF547" s="3038"/>
      <c r="AG547" s="3038"/>
      <c r="AH547" s="3038"/>
      <c r="AK547" s="3038"/>
      <c r="AL547" s="3038"/>
      <c r="AM547" s="3038"/>
      <c r="AN547" s="3038"/>
      <c r="AO547" s="3038"/>
      <c r="AP547" s="3038"/>
      <c r="AQ547" s="3038"/>
      <c r="AR547" s="3038"/>
      <c r="AS547" s="3038"/>
      <c r="AT547" s="3038"/>
      <c r="AU547" s="3038"/>
      <c r="AV547" s="3038"/>
      <c r="AW547" s="3038"/>
      <c r="AX547" s="3038"/>
      <c r="AY547" s="3038"/>
      <c r="AZ547" s="3038"/>
      <c r="BA547" s="3038"/>
      <c r="BB547" s="3038"/>
      <c r="BC547" s="3038"/>
      <c r="BD547" s="3038"/>
      <c r="BE547" s="3038"/>
      <c r="BF547" s="3038"/>
      <c r="BG547" s="3038"/>
      <c r="BH547" s="3038"/>
      <c r="BI547" s="3038"/>
      <c r="BJ547" s="3038"/>
      <c r="BK547" s="3038"/>
      <c r="BL547" s="3038"/>
      <c r="BM547" s="3038"/>
      <c r="BN547" s="3038"/>
      <c r="BO547" s="3038"/>
      <c r="BP547" s="3038"/>
      <c r="BQ547" s="3038"/>
      <c r="BR547" s="3038"/>
      <c r="BS547" s="3038"/>
      <c r="BT547" s="3038"/>
      <c r="BU547" s="3038"/>
    </row>
    <row r="548" spans="3:73">
      <c r="C548" s="3038"/>
      <c r="D548" s="3038"/>
      <c r="E548" s="3038"/>
      <c r="H548" s="3038"/>
      <c r="I548" s="3038"/>
      <c r="J548" s="3038"/>
      <c r="K548" s="3038"/>
      <c r="M548" s="3038"/>
      <c r="N548" s="3038"/>
      <c r="O548" s="3038"/>
      <c r="P548" s="3038"/>
      <c r="Q548" s="3038"/>
      <c r="R548" s="3038"/>
      <c r="S548" s="3038"/>
      <c r="T548" s="3038"/>
      <c r="W548" s="3038"/>
      <c r="X548" s="3038"/>
      <c r="Y548" s="3038"/>
      <c r="Z548" s="3038"/>
      <c r="AA548" s="3113"/>
      <c r="AB548" s="3038"/>
      <c r="AC548" s="3038"/>
      <c r="AD548" s="3038"/>
      <c r="AE548" s="3132"/>
      <c r="AF548" s="3038"/>
      <c r="AG548" s="3038"/>
      <c r="AH548" s="3038"/>
      <c r="AK548" s="3038"/>
      <c r="AL548" s="3038"/>
      <c r="AM548" s="3038"/>
      <c r="AN548" s="3038"/>
      <c r="AO548" s="3038"/>
      <c r="AP548" s="3038"/>
      <c r="AQ548" s="3038"/>
      <c r="AR548" s="3038"/>
      <c r="AS548" s="3038"/>
      <c r="AT548" s="3038"/>
      <c r="AU548" s="3038"/>
      <c r="AV548" s="3038"/>
      <c r="AW548" s="3038"/>
      <c r="AX548" s="3038"/>
      <c r="AY548" s="3038"/>
      <c r="AZ548" s="3038"/>
      <c r="BA548" s="3038"/>
      <c r="BB548" s="3038"/>
      <c r="BC548" s="3038"/>
      <c r="BD548" s="3038"/>
      <c r="BE548" s="3038"/>
      <c r="BF548" s="3038"/>
      <c r="BG548" s="3038"/>
      <c r="BH548" s="3038"/>
      <c r="BI548" s="3038"/>
      <c r="BJ548" s="3038"/>
      <c r="BK548" s="3038"/>
      <c r="BL548" s="3038"/>
      <c r="BM548" s="3038"/>
      <c r="BN548" s="3038"/>
      <c r="BO548" s="3038"/>
      <c r="BP548" s="3038"/>
      <c r="BQ548" s="3038"/>
      <c r="BR548" s="3038"/>
      <c r="BS548" s="3038"/>
      <c r="BT548" s="3038"/>
      <c r="BU548" s="3038"/>
    </row>
    <row r="549" spans="3:73">
      <c r="C549" s="3038"/>
      <c r="D549" s="3038"/>
      <c r="E549" s="3038"/>
      <c r="H549" s="3038"/>
      <c r="I549" s="3038"/>
      <c r="J549" s="3038"/>
      <c r="K549" s="3038"/>
      <c r="M549" s="3038"/>
      <c r="N549" s="3038"/>
      <c r="O549" s="3038"/>
      <c r="P549" s="3038"/>
      <c r="Q549" s="3038"/>
      <c r="R549" s="3038"/>
      <c r="S549" s="3038"/>
      <c r="T549" s="3038"/>
      <c r="W549" s="3038"/>
      <c r="X549" s="3038"/>
      <c r="Y549" s="3038"/>
      <c r="Z549" s="3038"/>
      <c r="AA549" s="3113"/>
      <c r="AB549" s="3038"/>
      <c r="AC549" s="3038"/>
      <c r="AD549" s="3038"/>
      <c r="AE549" s="3132"/>
      <c r="AF549" s="3038"/>
      <c r="AG549" s="3038"/>
      <c r="AH549" s="3038"/>
      <c r="AK549" s="3038"/>
      <c r="AL549" s="3038"/>
      <c r="AM549" s="3038"/>
      <c r="AN549" s="3038"/>
      <c r="AO549" s="3038"/>
      <c r="AP549" s="3038"/>
      <c r="AQ549" s="3038"/>
      <c r="AR549" s="3038"/>
      <c r="AS549" s="3038"/>
      <c r="AT549" s="3038"/>
      <c r="AU549" s="3038"/>
      <c r="AV549" s="3038"/>
      <c r="AW549" s="3038"/>
      <c r="AX549" s="3038"/>
      <c r="AY549" s="3038"/>
      <c r="AZ549" s="3038"/>
      <c r="BA549" s="3038"/>
      <c r="BB549" s="3038"/>
      <c r="BC549" s="3038"/>
      <c r="BD549" s="3038"/>
      <c r="BE549" s="3038"/>
      <c r="BF549" s="3038"/>
      <c r="BG549" s="3038"/>
      <c r="BH549" s="3038"/>
      <c r="BI549" s="3038"/>
      <c r="BJ549" s="3038"/>
      <c r="BK549" s="3038"/>
      <c r="BL549" s="3038"/>
      <c r="BM549" s="3038"/>
      <c r="BN549" s="3038"/>
      <c r="BO549" s="3038"/>
      <c r="BP549" s="3038"/>
      <c r="BQ549" s="3038"/>
      <c r="BR549" s="3038"/>
      <c r="BS549" s="3038"/>
      <c r="BT549" s="3038"/>
      <c r="BU549" s="3038"/>
    </row>
    <row r="550" spans="3:73">
      <c r="C550" s="3038"/>
      <c r="D550" s="3038"/>
      <c r="E550" s="3038"/>
      <c r="H550" s="3038"/>
      <c r="I550" s="3038"/>
      <c r="J550" s="3038"/>
      <c r="K550" s="3038"/>
      <c r="M550" s="3038"/>
      <c r="N550" s="3038"/>
      <c r="O550" s="3038"/>
      <c r="P550" s="3038"/>
      <c r="Q550" s="3038"/>
      <c r="R550" s="3038"/>
      <c r="S550" s="3038"/>
      <c r="T550" s="3038"/>
      <c r="W550" s="3038"/>
      <c r="X550" s="3038"/>
      <c r="Y550" s="3038"/>
      <c r="Z550" s="3038"/>
      <c r="AA550" s="3113"/>
      <c r="AB550" s="3038"/>
      <c r="AC550" s="3038"/>
      <c r="AD550" s="3038"/>
      <c r="AE550" s="3132"/>
      <c r="AF550" s="3038"/>
      <c r="AG550" s="3038"/>
      <c r="AH550" s="3038"/>
      <c r="AK550" s="3038"/>
      <c r="AL550" s="3038"/>
      <c r="AM550" s="3038"/>
      <c r="AN550" s="3038"/>
      <c r="AO550" s="3038"/>
      <c r="AP550" s="3038"/>
      <c r="AQ550" s="3038"/>
      <c r="AR550" s="3038"/>
      <c r="AS550" s="3038"/>
      <c r="AT550" s="3038"/>
      <c r="AU550" s="3038"/>
      <c r="AV550" s="3038"/>
      <c r="AW550" s="3038"/>
      <c r="AX550" s="3038"/>
      <c r="AY550" s="3038"/>
      <c r="AZ550" s="3038"/>
      <c r="BA550" s="3038"/>
      <c r="BB550" s="3038"/>
      <c r="BC550" s="3038"/>
      <c r="BD550" s="3038"/>
      <c r="BE550" s="3038"/>
      <c r="BF550" s="3038"/>
      <c r="BG550" s="3038"/>
      <c r="BH550" s="3038"/>
      <c r="BI550" s="3038"/>
      <c r="BJ550" s="3038"/>
      <c r="BK550" s="3038"/>
      <c r="BL550" s="3038"/>
      <c r="BM550" s="3038"/>
      <c r="BN550" s="3038"/>
      <c r="BO550" s="3038"/>
      <c r="BP550" s="3038"/>
      <c r="BQ550" s="3038"/>
      <c r="BR550" s="3038"/>
      <c r="BS550" s="3038"/>
      <c r="BT550" s="3038"/>
      <c r="BU550" s="3038"/>
    </row>
    <row r="551" spans="3:73">
      <c r="C551" s="3038"/>
      <c r="D551" s="3038"/>
      <c r="E551" s="3038"/>
      <c r="H551" s="3038"/>
      <c r="I551" s="3038"/>
      <c r="J551" s="3038"/>
      <c r="K551" s="3038"/>
      <c r="M551" s="3038"/>
      <c r="N551" s="3038"/>
      <c r="O551" s="3038"/>
      <c r="P551" s="3038"/>
      <c r="Q551" s="3038"/>
      <c r="R551" s="3038"/>
      <c r="S551" s="3038"/>
      <c r="T551" s="3038"/>
      <c r="W551" s="3038"/>
      <c r="X551" s="3038"/>
      <c r="Y551" s="3038"/>
      <c r="Z551" s="3038"/>
      <c r="AA551" s="3113"/>
      <c r="AB551" s="3038"/>
      <c r="AC551" s="3038"/>
      <c r="AD551" s="3038"/>
      <c r="AE551" s="3132"/>
      <c r="AF551" s="3038"/>
      <c r="AG551" s="3038"/>
      <c r="AH551" s="3038"/>
      <c r="AK551" s="3038"/>
      <c r="AL551" s="3038"/>
      <c r="AM551" s="3038"/>
      <c r="AN551" s="3038"/>
      <c r="AO551" s="3038"/>
      <c r="AP551" s="3038"/>
      <c r="AQ551" s="3038"/>
      <c r="AR551" s="3038"/>
      <c r="AS551" s="3038"/>
      <c r="AT551" s="3038"/>
      <c r="AU551" s="3038"/>
      <c r="AV551" s="3038"/>
      <c r="AW551" s="3038"/>
      <c r="AX551" s="3038"/>
      <c r="AY551" s="3038"/>
      <c r="AZ551" s="3038"/>
      <c r="BA551" s="3038"/>
      <c r="BB551" s="3038"/>
      <c r="BC551" s="3038"/>
      <c r="BD551" s="3038"/>
      <c r="BE551" s="3038"/>
      <c r="BF551" s="3038"/>
      <c r="BG551" s="3038"/>
      <c r="BH551" s="3038"/>
      <c r="BI551" s="3038"/>
      <c r="BJ551" s="3038"/>
      <c r="BK551" s="3038"/>
      <c r="BL551" s="3038"/>
      <c r="BM551" s="3038"/>
      <c r="BN551" s="3038"/>
      <c r="BO551" s="3038"/>
      <c r="BP551" s="3038"/>
      <c r="BQ551" s="3038"/>
      <c r="BR551" s="3038"/>
      <c r="BS551" s="3038"/>
      <c r="BT551" s="3038"/>
      <c r="BU551" s="3038"/>
    </row>
    <row r="552" spans="3:73">
      <c r="C552" s="3038"/>
      <c r="D552" s="3038"/>
      <c r="E552" s="3038"/>
      <c r="H552" s="3038"/>
      <c r="I552" s="3038"/>
      <c r="J552" s="3038"/>
      <c r="K552" s="3038"/>
      <c r="M552" s="3038"/>
      <c r="N552" s="3038"/>
      <c r="O552" s="3038"/>
      <c r="P552" s="3038"/>
      <c r="Q552" s="3038"/>
      <c r="R552" s="3038"/>
      <c r="S552" s="3038"/>
      <c r="T552" s="3038"/>
      <c r="W552" s="3038"/>
      <c r="X552" s="3038"/>
      <c r="Y552" s="3038"/>
      <c r="Z552" s="3038"/>
      <c r="AA552" s="3113"/>
      <c r="AB552" s="3038"/>
      <c r="AC552" s="3038"/>
      <c r="AD552" s="3038"/>
      <c r="AE552" s="3132"/>
      <c r="AF552" s="3038"/>
      <c r="AG552" s="3038"/>
      <c r="AH552" s="3038"/>
      <c r="AK552" s="3038"/>
      <c r="AL552" s="3038"/>
      <c r="AM552" s="3038"/>
      <c r="AN552" s="3038"/>
      <c r="AO552" s="3038"/>
      <c r="AP552" s="3038"/>
      <c r="AQ552" s="3038"/>
      <c r="AR552" s="3038"/>
      <c r="AS552" s="3038"/>
      <c r="AT552" s="3038"/>
      <c r="AU552" s="3038"/>
      <c r="AV552" s="3038"/>
      <c r="AW552" s="3038"/>
      <c r="AX552" s="3038"/>
      <c r="AY552" s="3038"/>
      <c r="AZ552" s="3038"/>
      <c r="BA552" s="3038"/>
      <c r="BB552" s="3038"/>
      <c r="BC552" s="3038"/>
      <c r="BD552" s="3038"/>
      <c r="BE552" s="3038"/>
      <c r="BF552" s="3038"/>
      <c r="BG552" s="3038"/>
      <c r="BH552" s="3038"/>
      <c r="BI552" s="3038"/>
      <c r="BJ552" s="3038"/>
      <c r="BK552" s="3038"/>
      <c r="BL552" s="3038"/>
      <c r="BM552" s="3038"/>
      <c r="BN552" s="3038"/>
      <c r="BO552" s="3038"/>
      <c r="BP552" s="3038"/>
      <c r="BQ552" s="3038"/>
      <c r="BR552" s="3038"/>
      <c r="BS552" s="3038"/>
      <c r="BT552" s="3038"/>
      <c r="BU552" s="3038"/>
    </row>
    <row r="553" spans="3:73">
      <c r="C553" s="3038"/>
      <c r="D553" s="3038"/>
      <c r="E553" s="3038"/>
      <c r="H553" s="3038"/>
      <c r="I553" s="3038"/>
      <c r="J553" s="3038"/>
      <c r="K553" s="3038"/>
      <c r="M553" s="3038"/>
      <c r="N553" s="3038"/>
      <c r="O553" s="3038"/>
      <c r="P553" s="3038"/>
      <c r="Q553" s="3038"/>
      <c r="R553" s="3038"/>
      <c r="S553" s="3038"/>
      <c r="T553" s="3038"/>
      <c r="W553" s="3038"/>
      <c r="X553" s="3038"/>
      <c r="Y553" s="3038"/>
      <c r="Z553" s="3038"/>
      <c r="AA553" s="3113"/>
      <c r="AB553" s="3038"/>
      <c r="AC553" s="3038"/>
      <c r="AD553" s="3038"/>
      <c r="AE553" s="3132"/>
      <c r="AF553" s="3038"/>
      <c r="AG553" s="3038"/>
      <c r="AH553" s="3038"/>
      <c r="AK553" s="3038"/>
      <c r="AL553" s="3038"/>
      <c r="AM553" s="3038"/>
      <c r="AN553" s="3038"/>
      <c r="AO553" s="3038"/>
      <c r="AP553" s="3038"/>
      <c r="AQ553" s="3038"/>
      <c r="AR553" s="3038"/>
      <c r="AS553" s="3038"/>
      <c r="AT553" s="3038"/>
      <c r="AU553" s="3038"/>
      <c r="AV553" s="3038"/>
      <c r="AW553" s="3038"/>
      <c r="AX553" s="3038"/>
      <c r="AY553" s="3038"/>
      <c r="AZ553" s="3038"/>
      <c r="BA553" s="3038"/>
      <c r="BB553" s="3038"/>
      <c r="BC553" s="3038"/>
      <c r="BD553" s="3038"/>
      <c r="BE553" s="3038"/>
      <c r="BF553" s="3038"/>
      <c r="BG553" s="3038"/>
      <c r="BH553" s="3038"/>
      <c r="BI553" s="3038"/>
      <c r="BJ553" s="3038"/>
      <c r="BK553" s="3038"/>
      <c r="BL553" s="3038"/>
      <c r="BM553" s="3038"/>
      <c r="BN553" s="3038"/>
      <c r="BO553" s="3038"/>
      <c r="BP553" s="3038"/>
      <c r="BQ553" s="3038"/>
      <c r="BR553" s="3038"/>
      <c r="BS553" s="3038"/>
      <c r="BT553" s="3038"/>
      <c r="BU553" s="3038"/>
    </row>
    <row r="554" spans="3:73">
      <c r="C554" s="3038"/>
      <c r="D554" s="3038"/>
      <c r="E554" s="3038"/>
      <c r="H554" s="3038"/>
      <c r="I554" s="3038"/>
      <c r="J554" s="3038"/>
      <c r="K554" s="3038"/>
      <c r="M554" s="3038"/>
      <c r="N554" s="3038"/>
      <c r="O554" s="3038"/>
      <c r="P554" s="3038"/>
      <c r="Q554" s="3038"/>
      <c r="R554" s="3038"/>
      <c r="S554" s="3038"/>
      <c r="T554" s="3038"/>
      <c r="W554" s="3038"/>
      <c r="X554" s="3038"/>
      <c r="Y554" s="3038"/>
      <c r="Z554" s="3038"/>
      <c r="AA554" s="3113"/>
      <c r="AB554" s="3038"/>
      <c r="AC554" s="3038"/>
      <c r="AD554" s="3038"/>
      <c r="AE554" s="3132"/>
      <c r="AF554" s="3038"/>
      <c r="AG554" s="3038"/>
      <c r="AH554" s="3038"/>
      <c r="AK554" s="3038"/>
      <c r="AL554" s="3038"/>
      <c r="AM554" s="3038"/>
      <c r="AN554" s="3038"/>
      <c r="AO554" s="3038"/>
      <c r="AP554" s="3038"/>
      <c r="AQ554" s="3038"/>
      <c r="AR554" s="3038"/>
      <c r="AS554" s="3038"/>
      <c r="AT554" s="3038"/>
      <c r="AU554" s="3038"/>
      <c r="AV554" s="3038"/>
      <c r="AW554" s="3038"/>
      <c r="AX554" s="3038"/>
      <c r="AY554" s="3038"/>
      <c r="AZ554" s="3038"/>
      <c r="BA554" s="3038"/>
      <c r="BB554" s="3038"/>
      <c r="BC554" s="3038"/>
      <c r="BD554" s="3038"/>
      <c r="BE554" s="3038"/>
      <c r="BF554" s="3038"/>
      <c r="BG554" s="3038"/>
      <c r="BH554" s="3038"/>
      <c r="BI554" s="3038"/>
      <c r="BJ554" s="3038"/>
      <c r="BK554" s="3038"/>
      <c r="BL554" s="3038"/>
      <c r="BM554" s="3038"/>
      <c r="BN554" s="3038"/>
      <c r="BO554" s="3038"/>
      <c r="BP554" s="3038"/>
      <c r="BQ554" s="3038"/>
      <c r="BR554" s="3038"/>
      <c r="BS554" s="3038"/>
      <c r="BT554" s="3038"/>
      <c r="BU554" s="3038"/>
    </row>
    <row r="555" spans="3:73">
      <c r="C555" s="3038"/>
      <c r="D555" s="3038"/>
      <c r="E555" s="3038"/>
      <c r="H555" s="3038"/>
      <c r="I555" s="3038"/>
      <c r="J555" s="3038"/>
      <c r="K555" s="3038"/>
      <c r="M555" s="3038"/>
      <c r="N555" s="3038"/>
      <c r="O555" s="3038"/>
      <c r="P555" s="3038"/>
      <c r="Q555" s="3038"/>
      <c r="R555" s="3038"/>
      <c r="S555" s="3038"/>
      <c r="T555" s="3038"/>
      <c r="W555" s="3038"/>
      <c r="X555" s="3038"/>
      <c r="Y555" s="3038"/>
      <c r="Z555" s="3038"/>
      <c r="AA555" s="3113"/>
      <c r="AB555" s="3038"/>
      <c r="AC555" s="3038"/>
      <c r="AD555" s="3038"/>
      <c r="AE555" s="3132"/>
      <c r="AF555" s="3038"/>
      <c r="AG555" s="3038"/>
      <c r="AH555" s="3038"/>
      <c r="AK555" s="3038"/>
      <c r="AL555" s="3038"/>
      <c r="AM555" s="3038"/>
      <c r="AN555" s="3038"/>
      <c r="AO555" s="3038"/>
      <c r="AP555" s="3038"/>
      <c r="AQ555" s="3038"/>
      <c r="AR555" s="3038"/>
      <c r="AS555" s="3038"/>
      <c r="AT555" s="3038"/>
      <c r="AU555" s="3038"/>
      <c r="AV555" s="3038"/>
      <c r="AW555" s="3038"/>
      <c r="AX555" s="3038"/>
      <c r="AY555" s="3038"/>
      <c r="AZ555" s="3038"/>
      <c r="BA555" s="3038"/>
      <c r="BB555" s="3038"/>
      <c r="BC555" s="3038"/>
      <c r="BD555" s="3038"/>
      <c r="BE555" s="3038"/>
      <c r="BF555" s="3038"/>
      <c r="BG555" s="3038"/>
      <c r="BH555" s="3038"/>
      <c r="BI555" s="3038"/>
      <c r="BJ555" s="3038"/>
      <c r="BK555" s="3038"/>
      <c r="BL555" s="3038"/>
      <c r="BM555" s="3038"/>
      <c r="BN555" s="3038"/>
      <c r="BO555" s="3038"/>
      <c r="BP555" s="3038"/>
      <c r="BQ555" s="3038"/>
      <c r="BR555" s="3038"/>
      <c r="BS555" s="3038"/>
      <c r="BT555" s="3038"/>
      <c r="BU555" s="3038"/>
    </row>
    <row r="556" spans="3:73">
      <c r="C556" s="3038"/>
      <c r="D556" s="3038"/>
      <c r="E556" s="3038"/>
      <c r="H556" s="3038"/>
      <c r="I556" s="3038"/>
      <c r="J556" s="3038"/>
      <c r="K556" s="3038"/>
      <c r="M556" s="3038"/>
      <c r="N556" s="3038"/>
      <c r="O556" s="3038"/>
      <c r="P556" s="3038"/>
      <c r="Q556" s="3038"/>
      <c r="R556" s="3038"/>
      <c r="S556" s="3038"/>
      <c r="T556" s="3038"/>
      <c r="W556" s="3038"/>
      <c r="X556" s="3038"/>
      <c r="Y556" s="3038"/>
      <c r="Z556" s="3038"/>
      <c r="AA556" s="3113"/>
      <c r="AB556" s="3038"/>
      <c r="AC556" s="3038"/>
      <c r="AD556" s="3038"/>
      <c r="AE556" s="3132"/>
      <c r="AF556" s="3038"/>
      <c r="AG556" s="3038"/>
      <c r="AH556" s="3038"/>
      <c r="AK556" s="3038"/>
      <c r="AL556" s="3038"/>
      <c r="AM556" s="3038"/>
      <c r="AN556" s="3038"/>
      <c r="AO556" s="3038"/>
      <c r="AP556" s="3038"/>
      <c r="AQ556" s="3038"/>
      <c r="AR556" s="3038"/>
      <c r="AS556" s="3038"/>
      <c r="AT556" s="3038"/>
      <c r="AU556" s="3038"/>
      <c r="AV556" s="3038"/>
      <c r="AW556" s="3038"/>
      <c r="AX556" s="3038"/>
      <c r="AY556" s="3038"/>
      <c r="AZ556" s="3038"/>
      <c r="BA556" s="3038"/>
      <c r="BB556" s="3038"/>
      <c r="BC556" s="3038"/>
      <c r="BD556" s="3038"/>
      <c r="BE556" s="3038"/>
      <c r="BF556" s="3038"/>
      <c r="BG556" s="3038"/>
      <c r="BH556" s="3038"/>
      <c r="BI556" s="3038"/>
      <c r="BJ556" s="3038"/>
      <c r="BK556" s="3038"/>
      <c r="BL556" s="3038"/>
      <c r="BM556" s="3038"/>
      <c r="BN556" s="3038"/>
      <c r="BO556" s="3038"/>
      <c r="BP556" s="3038"/>
      <c r="BQ556" s="3038"/>
      <c r="BR556" s="3038"/>
      <c r="BS556" s="3038"/>
      <c r="BT556" s="3038"/>
      <c r="BU556" s="3038"/>
    </row>
    <row r="557" spans="3:73">
      <c r="C557" s="3038"/>
      <c r="D557" s="3038"/>
      <c r="E557" s="3038"/>
      <c r="H557" s="3038"/>
      <c r="I557" s="3038"/>
      <c r="J557" s="3038"/>
      <c r="K557" s="3038"/>
      <c r="M557" s="3038"/>
      <c r="N557" s="3038"/>
      <c r="O557" s="3038"/>
      <c r="P557" s="3038"/>
      <c r="Q557" s="3038"/>
      <c r="R557" s="3038"/>
      <c r="S557" s="3038"/>
      <c r="T557" s="3038"/>
      <c r="W557" s="3038"/>
      <c r="X557" s="3038"/>
      <c r="Y557" s="3038"/>
      <c r="Z557" s="3038"/>
      <c r="AA557" s="3113"/>
      <c r="AB557" s="3038"/>
      <c r="AC557" s="3038"/>
      <c r="AD557" s="3038"/>
      <c r="AE557" s="3132"/>
      <c r="AF557" s="3038"/>
      <c r="AG557" s="3038"/>
      <c r="AH557" s="3038"/>
      <c r="AK557" s="3038"/>
      <c r="AL557" s="3038"/>
      <c r="AM557" s="3038"/>
      <c r="AN557" s="3038"/>
      <c r="AO557" s="3038"/>
      <c r="AP557" s="3038"/>
      <c r="AQ557" s="3038"/>
      <c r="AR557" s="3038"/>
      <c r="AS557" s="3038"/>
      <c r="AT557" s="3038"/>
      <c r="AU557" s="3038"/>
      <c r="AV557" s="3038"/>
      <c r="AW557" s="3038"/>
      <c r="AX557" s="3038"/>
      <c r="AY557" s="3038"/>
      <c r="AZ557" s="3038"/>
      <c r="BA557" s="3038"/>
      <c r="BB557" s="3038"/>
      <c r="BC557" s="3038"/>
      <c r="BD557" s="3038"/>
      <c r="BE557" s="3038"/>
      <c r="BF557" s="3038"/>
      <c r="BG557" s="3038"/>
      <c r="BH557" s="3038"/>
      <c r="BI557" s="3038"/>
      <c r="BJ557" s="3038"/>
      <c r="BK557" s="3038"/>
      <c r="BL557" s="3038"/>
      <c r="BM557" s="3038"/>
      <c r="BN557" s="3038"/>
      <c r="BO557" s="3038"/>
      <c r="BP557" s="3038"/>
      <c r="BQ557" s="3038"/>
      <c r="BR557" s="3038"/>
      <c r="BS557" s="3038"/>
      <c r="BT557" s="3038"/>
      <c r="BU557" s="3038"/>
    </row>
    <row r="558" spans="3:73">
      <c r="C558" s="3038"/>
      <c r="D558" s="3038"/>
      <c r="E558" s="3038"/>
      <c r="H558" s="3038"/>
      <c r="I558" s="3038"/>
      <c r="J558" s="3038"/>
      <c r="K558" s="3038"/>
      <c r="M558" s="3038"/>
      <c r="N558" s="3038"/>
      <c r="O558" s="3038"/>
      <c r="P558" s="3038"/>
      <c r="Q558" s="3038"/>
      <c r="R558" s="3038"/>
      <c r="S558" s="3038"/>
      <c r="T558" s="3038"/>
      <c r="W558" s="3038"/>
      <c r="X558" s="3038"/>
      <c r="Y558" s="3038"/>
      <c r="Z558" s="3038"/>
      <c r="AA558" s="3113"/>
      <c r="AB558" s="3038"/>
      <c r="AC558" s="3038"/>
      <c r="AD558" s="3038"/>
      <c r="AE558" s="3132"/>
      <c r="AF558" s="3038"/>
      <c r="AG558" s="3038"/>
      <c r="AH558" s="3038"/>
      <c r="AK558" s="3038"/>
      <c r="AL558" s="3038"/>
      <c r="AM558" s="3038"/>
      <c r="AN558" s="3038"/>
      <c r="AO558" s="3038"/>
      <c r="AP558" s="3038"/>
      <c r="AQ558" s="3038"/>
      <c r="AR558" s="3038"/>
      <c r="AS558" s="3038"/>
      <c r="AT558" s="3038"/>
      <c r="AU558" s="3038"/>
      <c r="AV558" s="3038"/>
      <c r="AW558" s="3038"/>
      <c r="AX558" s="3038"/>
      <c r="AY558" s="3038"/>
      <c r="AZ558" s="3038"/>
      <c r="BA558" s="3038"/>
      <c r="BB558" s="3038"/>
      <c r="BC558" s="3038"/>
      <c r="BD558" s="3038"/>
      <c r="BE558" s="3038"/>
      <c r="BF558" s="3038"/>
      <c r="BG558" s="3038"/>
      <c r="BH558" s="3038"/>
      <c r="BI558" s="3038"/>
      <c r="BJ558" s="3038"/>
      <c r="BK558" s="3038"/>
      <c r="BL558" s="3038"/>
      <c r="BM558" s="3038"/>
      <c r="BN558" s="3038"/>
      <c r="BO558" s="3038"/>
      <c r="BP558" s="3038"/>
      <c r="BQ558" s="3038"/>
      <c r="BR558" s="3038"/>
      <c r="BS558" s="3038"/>
      <c r="BT558" s="3038"/>
      <c r="BU558" s="3038"/>
    </row>
    <row r="559" spans="3:73">
      <c r="C559" s="3038"/>
      <c r="D559" s="3038"/>
      <c r="E559" s="3038"/>
      <c r="H559" s="3038"/>
      <c r="I559" s="3038"/>
      <c r="J559" s="3038"/>
      <c r="K559" s="3038"/>
      <c r="M559" s="3038"/>
      <c r="N559" s="3038"/>
      <c r="O559" s="3038"/>
      <c r="P559" s="3038"/>
      <c r="Q559" s="3038"/>
      <c r="R559" s="3038"/>
      <c r="S559" s="3038"/>
      <c r="T559" s="3038"/>
      <c r="W559" s="3038"/>
      <c r="X559" s="3038"/>
      <c r="Y559" s="3038"/>
      <c r="Z559" s="3038"/>
      <c r="AA559" s="3113"/>
      <c r="AB559" s="3038"/>
      <c r="AC559" s="3038"/>
      <c r="AD559" s="3038"/>
      <c r="AE559" s="3132"/>
      <c r="AF559" s="3038"/>
      <c r="AG559" s="3038"/>
      <c r="AH559" s="3038"/>
      <c r="AK559" s="3038"/>
      <c r="AL559" s="3038"/>
      <c r="AM559" s="3038"/>
      <c r="AN559" s="3038"/>
      <c r="AO559" s="3038"/>
      <c r="AP559" s="3038"/>
      <c r="AQ559" s="3038"/>
      <c r="AR559" s="3038"/>
      <c r="AS559" s="3038"/>
      <c r="AT559" s="3038"/>
      <c r="AU559" s="3038"/>
      <c r="AV559" s="3038"/>
      <c r="AW559" s="3038"/>
      <c r="AX559" s="3038"/>
      <c r="AY559" s="3038"/>
      <c r="AZ559" s="3038"/>
      <c r="BA559" s="3038"/>
      <c r="BB559" s="3038"/>
      <c r="BC559" s="3038"/>
      <c r="BD559" s="3038"/>
      <c r="BE559" s="3038"/>
      <c r="BF559" s="3038"/>
      <c r="BG559" s="3038"/>
      <c r="BH559" s="3038"/>
      <c r="BI559" s="3038"/>
      <c r="BJ559" s="3038"/>
      <c r="BK559" s="3038"/>
      <c r="BL559" s="3038"/>
      <c r="BM559" s="3038"/>
      <c r="BN559" s="3038"/>
      <c r="BO559" s="3038"/>
      <c r="BP559" s="3038"/>
      <c r="BQ559" s="3038"/>
      <c r="BR559" s="3038"/>
      <c r="BS559" s="3038"/>
      <c r="BT559" s="3038"/>
      <c r="BU559" s="3038"/>
    </row>
    <row r="560" spans="3:73">
      <c r="C560" s="3038"/>
      <c r="D560" s="3038"/>
      <c r="E560" s="3038"/>
      <c r="H560" s="3038"/>
      <c r="I560" s="3038"/>
      <c r="J560" s="3038"/>
      <c r="K560" s="3038"/>
      <c r="M560" s="3038"/>
      <c r="N560" s="3038"/>
      <c r="O560" s="3038"/>
      <c r="P560" s="3038"/>
      <c r="Q560" s="3038"/>
      <c r="R560" s="3038"/>
      <c r="S560" s="3038"/>
      <c r="T560" s="3038"/>
      <c r="W560" s="3038"/>
      <c r="X560" s="3038"/>
      <c r="Y560" s="3038"/>
      <c r="Z560" s="3038"/>
      <c r="AA560" s="3113"/>
      <c r="AB560" s="3038"/>
      <c r="AC560" s="3038"/>
      <c r="AD560" s="3038"/>
      <c r="AE560" s="3132"/>
      <c r="AF560" s="3038"/>
      <c r="AG560" s="3038"/>
      <c r="AH560" s="3038"/>
      <c r="AK560" s="3038"/>
      <c r="AL560" s="3038"/>
      <c r="AM560" s="3038"/>
      <c r="AN560" s="3038"/>
      <c r="AO560" s="3038"/>
      <c r="AP560" s="3038"/>
      <c r="AQ560" s="3038"/>
      <c r="AR560" s="3038"/>
      <c r="AS560" s="3038"/>
      <c r="AT560" s="3038"/>
      <c r="AU560" s="3038"/>
      <c r="AV560" s="3038"/>
      <c r="AW560" s="3038"/>
      <c r="AX560" s="3038"/>
      <c r="AY560" s="3038"/>
      <c r="AZ560" s="3038"/>
      <c r="BA560" s="3038"/>
      <c r="BB560" s="3038"/>
      <c r="BC560" s="3038"/>
      <c r="BD560" s="3038"/>
      <c r="BE560" s="3038"/>
      <c r="BF560" s="3038"/>
      <c r="BG560" s="3038"/>
      <c r="BH560" s="3038"/>
      <c r="BI560" s="3038"/>
      <c r="BJ560" s="3038"/>
      <c r="BK560" s="3038"/>
      <c r="BL560" s="3038"/>
      <c r="BM560" s="3038"/>
      <c r="BN560" s="3038"/>
      <c r="BO560" s="3038"/>
      <c r="BP560" s="3038"/>
      <c r="BQ560" s="3038"/>
      <c r="BR560" s="3038"/>
      <c r="BS560" s="3038"/>
      <c r="BT560" s="3038"/>
      <c r="BU560" s="3038"/>
    </row>
    <row r="561" spans="3:73">
      <c r="C561" s="3038"/>
      <c r="D561" s="3038"/>
      <c r="E561" s="3038"/>
      <c r="H561" s="3038"/>
      <c r="I561" s="3038"/>
      <c r="J561" s="3038"/>
      <c r="K561" s="3038"/>
      <c r="M561" s="3038"/>
      <c r="N561" s="3038"/>
      <c r="O561" s="3038"/>
      <c r="P561" s="3038"/>
      <c r="Q561" s="3038"/>
      <c r="R561" s="3038"/>
      <c r="S561" s="3038"/>
      <c r="T561" s="3038"/>
      <c r="W561" s="3038"/>
      <c r="X561" s="3038"/>
      <c r="Y561" s="3038"/>
      <c r="Z561" s="3038"/>
      <c r="AA561" s="3113"/>
      <c r="AB561" s="3038"/>
      <c r="AC561" s="3038"/>
      <c r="AD561" s="3038"/>
      <c r="AE561" s="3132"/>
      <c r="AF561" s="3038"/>
      <c r="AG561" s="3038"/>
      <c r="AH561" s="3038"/>
      <c r="AK561" s="3038"/>
      <c r="AL561" s="3038"/>
      <c r="AM561" s="3038"/>
      <c r="AN561" s="3038"/>
      <c r="AO561" s="3038"/>
      <c r="AP561" s="3038"/>
      <c r="AQ561" s="3038"/>
      <c r="AR561" s="3038"/>
      <c r="AS561" s="3038"/>
      <c r="AT561" s="3038"/>
      <c r="AU561" s="3038"/>
      <c r="AV561" s="3038"/>
      <c r="AW561" s="3038"/>
      <c r="AX561" s="3038"/>
      <c r="AY561" s="3038"/>
      <c r="AZ561" s="3038"/>
      <c r="BA561" s="3038"/>
      <c r="BB561" s="3038"/>
      <c r="BC561" s="3038"/>
      <c r="BD561" s="3038"/>
      <c r="BE561" s="3038"/>
      <c r="BF561" s="3038"/>
      <c r="BG561" s="3038"/>
      <c r="BH561" s="3038"/>
      <c r="BI561" s="3038"/>
      <c r="BJ561" s="3038"/>
      <c r="BK561" s="3038"/>
      <c r="BL561" s="3038"/>
      <c r="BM561" s="3038"/>
      <c r="BN561" s="3038"/>
      <c r="BO561" s="3038"/>
      <c r="BP561" s="3038"/>
      <c r="BQ561" s="3038"/>
      <c r="BR561" s="3038"/>
      <c r="BS561" s="3038"/>
      <c r="BT561" s="3038"/>
      <c r="BU561" s="3038"/>
    </row>
    <row r="562" spans="3:73">
      <c r="C562" s="3038"/>
      <c r="D562" s="3038"/>
      <c r="E562" s="3038"/>
      <c r="H562" s="3038"/>
      <c r="I562" s="3038"/>
      <c r="J562" s="3038"/>
      <c r="K562" s="3038"/>
      <c r="M562" s="3038"/>
      <c r="N562" s="3038"/>
      <c r="O562" s="3038"/>
      <c r="P562" s="3038"/>
      <c r="Q562" s="3038"/>
      <c r="R562" s="3038"/>
      <c r="S562" s="3038"/>
      <c r="T562" s="3038"/>
      <c r="W562" s="3038"/>
      <c r="X562" s="3038"/>
      <c r="Y562" s="3038"/>
      <c r="Z562" s="3038"/>
      <c r="AA562" s="3113"/>
      <c r="AB562" s="3038"/>
      <c r="AC562" s="3038"/>
      <c r="AD562" s="3038"/>
      <c r="AE562" s="3132"/>
      <c r="AF562" s="3038"/>
      <c r="AG562" s="3038"/>
      <c r="AH562" s="3038"/>
      <c r="AK562" s="3038"/>
      <c r="AL562" s="3038"/>
      <c r="AM562" s="3038"/>
      <c r="AN562" s="3038"/>
      <c r="AO562" s="3038"/>
      <c r="AP562" s="3038"/>
      <c r="AQ562" s="3038"/>
      <c r="AR562" s="3038"/>
      <c r="AS562" s="3038"/>
      <c r="AT562" s="3038"/>
      <c r="AU562" s="3038"/>
      <c r="AV562" s="3038"/>
      <c r="AW562" s="3038"/>
      <c r="AX562" s="3038"/>
      <c r="AY562" s="3038"/>
      <c r="AZ562" s="3038"/>
      <c r="BA562" s="3038"/>
      <c r="BB562" s="3038"/>
      <c r="BC562" s="3038"/>
      <c r="BD562" s="3038"/>
      <c r="BE562" s="3038"/>
      <c r="BF562" s="3038"/>
      <c r="BG562" s="3038"/>
      <c r="BH562" s="3038"/>
      <c r="BI562" s="3038"/>
      <c r="BJ562" s="3038"/>
      <c r="BK562" s="3038"/>
      <c r="BL562" s="3038"/>
      <c r="BM562" s="3038"/>
      <c r="BN562" s="3038"/>
      <c r="BO562" s="3038"/>
      <c r="BP562" s="3038"/>
      <c r="BQ562" s="3038"/>
      <c r="BR562" s="3038"/>
      <c r="BS562" s="3038"/>
      <c r="BT562" s="3038"/>
      <c r="BU562" s="3038"/>
    </row>
    <row r="563" spans="3:73">
      <c r="C563" s="3038"/>
      <c r="D563" s="3038"/>
      <c r="E563" s="3038"/>
      <c r="H563" s="3038"/>
      <c r="I563" s="3038"/>
      <c r="J563" s="3038"/>
      <c r="K563" s="3038"/>
      <c r="M563" s="3038"/>
      <c r="N563" s="3038"/>
      <c r="O563" s="3038"/>
      <c r="P563" s="3038"/>
      <c r="Q563" s="3038"/>
      <c r="R563" s="3038"/>
      <c r="S563" s="3038"/>
      <c r="T563" s="3038"/>
      <c r="W563" s="3038"/>
      <c r="X563" s="3038"/>
      <c r="Y563" s="3038"/>
      <c r="Z563" s="3038"/>
      <c r="AA563" s="3113"/>
      <c r="AB563" s="3038"/>
      <c r="AC563" s="3038"/>
      <c r="AD563" s="3038"/>
      <c r="AE563" s="3132"/>
      <c r="AF563" s="3038"/>
      <c r="AG563" s="3038"/>
      <c r="AH563" s="3038"/>
      <c r="AK563" s="3038"/>
      <c r="AL563" s="3038"/>
      <c r="AM563" s="3038"/>
      <c r="AN563" s="3038"/>
      <c r="AO563" s="3038"/>
      <c r="AP563" s="3038"/>
      <c r="AQ563" s="3038"/>
      <c r="AR563" s="3038"/>
      <c r="AS563" s="3038"/>
      <c r="AT563" s="3038"/>
      <c r="AU563" s="3038"/>
      <c r="AV563" s="3038"/>
      <c r="AW563" s="3038"/>
      <c r="AX563" s="3038"/>
      <c r="AY563" s="3038"/>
      <c r="AZ563" s="3038"/>
      <c r="BA563" s="3038"/>
      <c r="BB563" s="3038"/>
      <c r="BC563" s="3038"/>
      <c r="BD563" s="3038"/>
      <c r="BE563" s="3038"/>
      <c r="BF563" s="3038"/>
      <c r="BG563" s="3038"/>
      <c r="BH563" s="3038"/>
      <c r="BI563" s="3038"/>
      <c r="BJ563" s="3038"/>
      <c r="BK563" s="3038"/>
      <c r="BL563" s="3038"/>
      <c r="BM563" s="3038"/>
      <c r="BN563" s="3038"/>
      <c r="BO563" s="3038"/>
      <c r="BP563" s="3038"/>
      <c r="BQ563" s="3038"/>
      <c r="BR563" s="3038"/>
      <c r="BS563" s="3038"/>
      <c r="BT563" s="3038"/>
      <c r="BU563" s="3038"/>
    </row>
    <row r="564" spans="3:73">
      <c r="C564" s="3038"/>
      <c r="D564" s="3038"/>
      <c r="E564" s="3038"/>
      <c r="H564" s="3038"/>
      <c r="I564" s="3038"/>
      <c r="J564" s="3038"/>
      <c r="K564" s="3038"/>
      <c r="M564" s="3038"/>
      <c r="N564" s="3038"/>
      <c r="O564" s="3038"/>
      <c r="P564" s="3038"/>
      <c r="Q564" s="3038"/>
      <c r="R564" s="3038"/>
      <c r="S564" s="3038"/>
      <c r="T564" s="3038"/>
      <c r="W564" s="3038"/>
      <c r="X564" s="3038"/>
      <c r="Y564" s="3038"/>
      <c r="Z564" s="3038"/>
      <c r="AA564" s="3113"/>
      <c r="AB564" s="3038"/>
      <c r="AC564" s="3038"/>
      <c r="AD564" s="3038"/>
      <c r="AE564" s="3132"/>
      <c r="AF564" s="3038"/>
      <c r="AG564" s="3038"/>
      <c r="AH564" s="3038"/>
      <c r="AK564" s="3038"/>
      <c r="AL564" s="3038"/>
      <c r="AM564" s="3038"/>
      <c r="AN564" s="3038"/>
      <c r="AO564" s="3038"/>
      <c r="AP564" s="3038"/>
      <c r="AQ564" s="3038"/>
      <c r="AR564" s="3038"/>
      <c r="AS564" s="3038"/>
      <c r="AT564" s="3038"/>
      <c r="AU564" s="3038"/>
      <c r="AV564" s="3038"/>
      <c r="AW564" s="3038"/>
      <c r="AX564" s="3038"/>
      <c r="AY564" s="3038"/>
      <c r="AZ564" s="3038"/>
      <c r="BA564" s="3038"/>
      <c r="BB564" s="3038"/>
      <c r="BC564" s="3038"/>
      <c r="BD564" s="3038"/>
      <c r="BE564" s="3038"/>
      <c r="BF564" s="3038"/>
      <c r="BG564" s="3038"/>
      <c r="BH564" s="3038"/>
      <c r="BI564" s="3038"/>
      <c r="BJ564" s="3038"/>
      <c r="BK564" s="3038"/>
      <c r="BL564" s="3038"/>
      <c r="BM564" s="3038"/>
      <c r="BN564" s="3038"/>
      <c r="BO564" s="3038"/>
      <c r="BP564" s="3038"/>
      <c r="BQ564" s="3038"/>
      <c r="BR564" s="3038"/>
      <c r="BS564" s="3038"/>
      <c r="BT564" s="3038"/>
      <c r="BU564" s="3038"/>
    </row>
    <row r="565" spans="3:73">
      <c r="C565" s="3038"/>
      <c r="D565" s="3038"/>
      <c r="E565" s="3038"/>
      <c r="H565" s="3038"/>
      <c r="I565" s="3038"/>
      <c r="J565" s="3038"/>
      <c r="K565" s="3038"/>
      <c r="M565" s="3038"/>
      <c r="N565" s="3038"/>
      <c r="O565" s="3038"/>
      <c r="P565" s="3038"/>
      <c r="Q565" s="3038"/>
      <c r="R565" s="3038"/>
      <c r="S565" s="3038"/>
      <c r="T565" s="3038"/>
      <c r="W565" s="3038"/>
      <c r="X565" s="3038"/>
      <c r="Y565" s="3038"/>
      <c r="Z565" s="3038"/>
      <c r="AA565" s="3113"/>
      <c r="AB565" s="3038"/>
      <c r="AC565" s="3038"/>
      <c r="AD565" s="3038"/>
      <c r="AE565" s="3132"/>
      <c r="AF565" s="3038"/>
      <c r="AG565" s="3038"/>
      <c r="AH565" s="3038"/>
      <c r="AK565" s="3038"/>
      <c r="AL565" s="3038"/>
      <c r="AM565" s="3038"/>
      <c r="AN565" s="3038"/>
      <c r="AO565" s="3038"/>
      <c r="AP565" s="3038"/>
      <c r="AQ565" s="3038"/>
      <c r="AR565" s="3038"/>
      <c r="AS565" s="3038"/>
      <c r="AT565" s="3038"/>
      <c r="AU565" s="3038"/>
      <c r="AV565" s="3038"/>
      <c r="AW565" s="3038"/>
      <c r="AX565" s="3038"/>
      <c r="AY565" s="3038"/>
      <c r="AZ565" s="3038"/>
      <c r="BA565" s="3038"/>
      <c r="BB565" s="3038"/>
      <c r="BC565" s="3038"/>
      <c r="BD565" s="3038"/>
      <c r="BE565" s="3038"/>
      <c r="BF565" s="3038"/>
      <c r="BG565" s="3038"/>
      <c r="BH565" s="3038"/>
      <c r="BI565" s="3038"/>
      <c r="BJ565" s="3038"/>
      <c r="BK565" s="3038"/>
      <c r="BL565" s="3038"/>
      <c r="BM565" s="3038"/>
      <c r="BN565" s="3038"/>
      <c r="BO565" s="3038"/>
      <c r="BP565" s="3038"/>
      <c r="BQ565" s="3038"/>
      <c r="BR565" s="3038"/>
      <c r="BS565" s="3038"/>
      <c r="BT565" s="3038"/>
      <c r="BU565" s="3038"/>
    </row>
    <row r="566" spans="3:73">
      <c r="C566" s="3038"/>
      <c r="D566" s="3038"/>
      <c r="E566" s="3038"/>
      <c r="H566" s="3038"/>
      <c r="I566" s="3038"/>
      <c r="J566" s="3038"/>
      <c r="K566" s="3038"/>
      <c r="M566" s="3038"/>
      <c r="N566" s="3038"/>
      <c r="O566" s="3038"/>
      <c r="P566" s="3038"/>
      <c r="Q566" s="3038"/>
      <c r="R566" s="3038"/>
      <c r="S566" s="3038"/>
      <c r="T566" s="3038"/>
      <c r="W566" s="3038"/>
      <c r="X566" s="3038"/>
      <c r="Y566" s="3038"/>
      <c r="Z566" s="3038"/>
      <c r="AA566" s="3113"/>
      <c r="AB566" s="3038"/>
      <c r="AC566" s="3038"/>
      <c r="AD566" s="3038"/>
      <c r="AE566" s="3132"/>
      <c r="AF566" s="3038"/>
      <c r="AG566" s="3038"/>
      <c r="AH566" s="3038"/>
      <c r="AK566" s="3038"/>
      <c r="AL566" s="3038"/>
      <c r="AM566" s="3038"/>
      <c r="AN566" s="3038"/>
      <c r="AO566" s="3038"/>
      <c r="AP566" s="3038"/>
      <c r="AQ566" s="3038"/>
      <c r="AR566" s="3038"/>
      <c r="AS566" s="3038"/>
      <c r="AT566" s="3038"/>
      <c r="AU566" s="3038"/>
      <c r="AV566" s="3038"/>
      <c r="AW566" s="3038"/>
      <c r="AX566" s="3038"/>
      <c r="AY566" s="3038"/>
      <c r="AZ566" s="3038"/>
      <c r="BA566" s="3038"/>
      <c r="BB566" s="3038"/>
      <c r="BC566" s="3038"/>
      <c r="BD566" s="3038"/>
      <c r="BE566" s="3038"/>
      <c r="BF566" s="3038"/>
      <c r="BG566" s="3038"/>
      <c r="BH566" s="3038"/>
      <c r="BI566" s="3038"/>
      <c r="BJ566" s="3038"/>
      <c r="BK566" s="3038"/>
      <c r="BL566" s="3038"/>
      <c r="BM566" s="3038"/>
      <c r="BN566" s="3038"/>
      <c r="BO566" s="3038"/>
      <c r="BP566" s="3038"/>
      <c r="BQ566" s="3038"/>
      <c r="BR566" s="3038"/>
      <c r="BS566" s="3038"/>
      <c r="BT566" s="3038"/>
      <c r="BU566" s="3038"/>
    </row>
    <row r="567" spans="3:73">
      <c r="C567" s="3038"/>
      <c r="D567" s="3038"/>
      <c r="E567" s="3038"/>
      <c r="H567" s="3038"/>
      <c r="I567" s="3038"/>
      <c r="J567" s="3038"/>
      <c r="K567" s="3038"/>
      <c r="M567" s="3038"/>
      <c r="N567" s="3038"/>
      <c r="O567" s="3038"/>
      <c r="P567" s="3038"/>
      <c r="Q567" s="3038"/>
      <c r="R567" s="3038"/>
      <c r="S567" s="3038"/>
      <c r="T567" s="3038"/>
      <c r="W567" s="3038"/>
      <c r="X567" s="3038"/>
      <c r="Y567" s="3038"/>
      <c r="Z567" s="3038"/>
      <c r="AA567" s="3113"/>
      <c r="AB567" s="3038"/>
      <c r="AC567" s="3038"/>
      <c r="AD567" s="3038"/>
      <c r="AE567" s="3132"/>
      <c r="AF567" s="3038"/>
      <c r="AG567" s="3038"/>
      <c r="AH567" s="3038"/>
      <c r="AK567" s="3038"/>
      <c r="AL567" s="3038"/>
      <c r="AM567" s="3038"/>
      <c r="AN567" s="3038"/>
      <c r="AO567" s="3038"/>
      <c r="AP567" s="3038"/>
      <c r="AQ567" s="3038"/>
      <c r="AR567" s="3038"/>
      <c r="AS567" s="3038"/>
      <c r="AT567" s="3038"/>
      <c r="AU567" s="3038"/>
      <c r="AV567" s="3038"/>
      <c r="AW567" s="3038"/>
      <c r="AX567" s="3038"/>
      <c r="AY567" s="3038"/>
      <c r="AZ567" s="3038"/>
      <c r="BA567" s="3038"/>
      <c r="BB567" s="3038"/>
      <c r="BC567" s="3038"/>
      <c r="BD567" s="3038"/>
      <c r="BE567" s="3038"/>
      <c r="BF567" s="3038"/>
      <c r="BG567" s="3038"/>
      <c r="BH567" s="3038"/>
      <c r="BI567" s="3038"/>
      <c r="BJ567" s="3038"/>
      <c r="BK567" s="3038"/>
      <c r="BL567" s="3038"/>
      <c r="BM567" s="3038"/>
      <c r="BN567" s="3038"/>
      <c r="BO567" s="3038"/>
      <c r="BP567" s="3038"/>
      <c r="BQ567" s="3038"/>
      <c r="BR567" s="3038"/>
      <c r="BS567" s="3038"/>
      <c r="BT567" s="3038"/>
      <c r="BU567" s="3038"/>
    </row>
    <row r="568" spans="3:73">
      <c r="C568" s="3038"/>
      <c r="D568" s="3038"/>
      <c r="E568" s="3038"/>
      <c r="H568" s="3038"/>
      <c r="I568" s="3038"/>
      <c r="J568" s="3038"/>
      <c r="K568" s="3038"/>
      <c r="M568" s="3038"/>
      <c r="N568" s="3038"/>
      <c r="O568" s="3038"/>
      <c r="P568" s="3038"/>
      <c r="Q568" s="3038"/>
      <c r="R568" s="3038"/>
      <c r="S568" s="3038"/>
      <c r="T568" s="3038"/>
      <c r="W568" s="3038"/>
      <c r="X568" s="3038"/>
      <c r="Y568" s="3038"/>
      <c r="Z568" s="3038"/>
      <c r="AA568" s="3113"/>
      <c r="AB568" s="3038"/>
      <c r="AC568" s="3038"/>
      <c r="AD568" s="3038"/>
      <c r="AE568" s="3132"/>
      <c r="AF568" s="3038"/>
      <c r="AG568" s="3038"/>
      <c r="AH568" s="3038"/>
      <c r="AK568" s="3038"/>
      <c r="AL568" s="3038"/>
      <c r="AM568" s="3038"/>
      <c r="AN568" s="3038"/>
      <c r="AO568" s="3038"/>
      <c r="AP568" s="3038"/>
      <c r="AQ568" s="3038"/>
      <c r="AR568" s="3038"/>
      <c r="AS568" s="3038"/>
      <c r="AT568" s="3038"/>
      <c r="AU568" s="3038"/>
      <c r="AV568" s="3038"/>
      <c r="AW568" s="3038"/>
      <c r="AX568" s="3038"/>
      <c r="AY568" s="3038"/>
      <c r="AZ568" s="3038"/>
      <c r="BA568" s="3038"/>
      <c r="BB568" s="3038"/>
      <c r="BC568" s="3038"/>
      <c r="BD568" s="3038"/>
      <c r="BE568" s="3038"/>
      <c r="BF568" s="3038"/>
      <c r="BG568" s="3038"/>
      <c r="BH568" s="3038"/>
      <c r="BI568" s="3038"/>
      <c r="BJ568" s="3038"/>
      <c r="BK568" s="3038"/>
      <c r="BL568" s="3038"/>
      <c r="BM568" s="3038"/>
      <c r="BN568" s="3038"/>
      <c r="BO568" s="3038"/>
      <c r="BP568" s="3038"/>
      <c r="BQ568" s="3038"/>
      <c r="BR568" s="3038"/>
      <c r="BS568" s="3038"/>
      <c r="BT568" s="3038"/>
      <c r="BU568" s="3038"/>
    </row>
    <row r="569" spans="3:73">
      <c r="C569" s="3038"/>
      <c r="D569" s="3038"/>
      <c r="E569" s="3038"/>
      <c r="H569" s="3038"/>
      <c r="I569" s="3038"/>
      <c r="J569" s="3038"/>
      <c r="K569" s="3038"/>
      <c r="M569" s="3038"/>
      <c r="N569" s="3038"/>
      <c r="O569" s="3038"/>
      <c r="P569" s="3038"/>
      <c r="Q569" s="3038"/>
      <c r="R569" s="3038"/>
      <c r="S569" s="3038"/>
      <c r="T569" s="3038"/>
      <c r="W569" s="3038"/>
      <c r="X569" s="3038"/>
      <c r="Y569" s="3038"/>
      <c r="Z569" s="3038"/>
      <c r="AA569" s="3113"/>
      <c r="AB569" s="3038"/>
      <c r="AC569" s="3038"/>
      <c r="AD569" s="3038"/>
      <c r="AE569" s="3132"/>
      <c r="AF569" s="3038"/>
      <c r="AG569" s="3038"/>
      <c r="AH569" s="3038"/>
      <c r="AK569" s="3038"/>
      <c r="AL569" s="3038"/>
      <c r="AM569" s="3038"/>
      <c r="AN569" s="3038"/>
      <c r="AO569" s="3038"/>
      <c r="AP569" s="3038"/>
      <c r="AQ569" s="3038"/>
      <c r="AR569" s="3038"/>
      <c r="AS569" s="3038"/>
      <c r="AT569" s="3038"/>
      <c r="AU569" s="3038"/>
      <c r="AV569" s="3038"/>
      <c r="AW569" s="3038"/>
      <c r="AX569" s="3038"/>
      <c r="AY569" s="3038"/>
      <c r="AZ569" s="3038"/>
      <c r="BA569" s="3038"/>
      <c r="BB569" s="3038"/>
      <c r="BC569" s="3038"/>
      <c r="BD569" s="3038"/>
      <c r="BE569" s="3038"/>
      <c r="BF569" s="3038"/>
      <c r="BG569" s="3038"/>
      <c r="BH569" s="3038"/>
      <c r="BI569" s="3038"/>
      <c r="BJ569" s="3038"/>
      <c r="BK569" s="3038"/>
      <c r="BL569" s="3038"/>
      <c r="BM569" s="3038"/>
      <c r="BN569" s="3038"/>
      <c r="BO569" s="3038"/>
      <c r="BP569" s="3038"/>
      <c r="BQ569" s="3038"/>
      <c r="BR569" s="3038"/>
      <c r="BS569" s="3038"/>
      <c r="BT569" s="3038"/>
      <c r="BU569" s="3038"/>
    </row>
    <row r="570" spans="3:73">
      <c r="C570" s="3038"/>
      <c r="D570" s="3038"/>
      <c r="E570" s="3038"/>
      <c r="H570" s="3038"/>
      <c r="I570" s="3038"/>
      <c r="J570" s="3038"/>
      <c r="K570" s="3038"/>
      <c r="M570" s="3038"/>
      <c r="N570" s="3038"/>
      <c r="O570" s="3038"/>
      <c r="P570" s="3038"/>
      <c r="Q570" s="3038"/>
      <c r="R570" s="3038"/>
      <c r="S570" s="3038"/>
      <c r="T570" s="3038"/>
      <c r="W570" s="3038"/>
      <c r="X570" s="3038"/>
      <c r="Y570" s="3038"/>
      <c r="Z570" s="3038"/>
      <c r="AA570" s="3113"/>
      <c r="AB570" s="3038"/>
      <c r="AC570" s="3038"/>
      <c r="AD570" s="3038"/>
      <c r="AE570" s="3132"/>
      <c r="AF570" s="3038"/>
      <c r="AG570" s="3038"/>
      <c r="AH570" s="3038"/>
      <c r="AK570" s="3038"/>
      <c r="AL570" s="3038"/>
      <c r="AM570" s="3038"/>
      <c r="AN570" s="3038"/>
      <c r="AO570" s="3038"/>
      <c r="AP570" s="3038"/>
      <c r="AQ570" s="3038"/>
      <c r="AR570" s="3038"/>
      <c r="AS570" s="3038"/>
      <c r="AT570" s="3038"/>
      <c r="AU570" s="3038"/>
      <c r="AV570" s="3038"/>
      <c r="AW570" s="3038"/>
      <c r="AX570" s="3038"/>
      <c r="AY570" s="3038"/>
      <c r="AZ570" s="3038"/>
      <c r="BA570" s="3038"/>
      <c r="BB570" s="3038"/>
      <c r="BC570" s="3038"/>
      <c r="BD570" s="3038"/>
      <c r="BE570" s="3038"/>
      <c r="BF570" s="3038"/>
      <c r="BG570" s="3038"/>
      <c r="BH570" s="3038"/>
      <c r="BI570" s="3038"/>
      <c r="BJ570" s="3038"/>
      <c r="BK570" s="3038"/>
      <c r="BL570" s="3038"/>
      <c r="BM570" s="3038"/>
      <c r="BN570" s="3038"/>
      <c r="BO570" s="3038"/>
      <c r="BP570" s="3038"/>
      <c r="BQ570" s="3038"/>
      <c r="BR570" s="3038"/>
      <c r="BS570" s="3038"/>
      <c r="BT570" s="3038"/>
      <c r="BU570" s="3038"/>
    </row>
    <row r="571" spans="3:73">
      <c r="C571" s="3038"/>
      <c r="D571" s="3038"/>
      <c r="E571" s="3038"/>
      <c r="H571" s="3038"/>
      <c r="I571" s="3038"/>
      <c r="J571" s="3038"/>
      <c r="K571" s="3038"/>
      <c r="M571" s="3038"/>
      <c r="N571" s="3038"/>
      <c r="O571" s="3038"/>
      <c r="P571" s="3038"/>
      <c r="Q571" s="3038"/>
      <c r="R571" s="3038"/>
      <c r="S571" s="3038"/>
      <c r="T571" s="3038"/>
      <c r="W571" s="3038"/>
      <c r="X571" s="3038"/>
      <c r="Y571" s="3038"/>
      <c r="Z571" s="3038"/>
      <c r="AA571" s="3113"/>
      <c r="AB571" s="3038"/>
      <c r="AC571" s="3038"/>
      <c r="AD571" s="3038"/>
      <c r="AE571" s="3132"/>
      <c r="AF571" s="3038"/>
      <c r="AG571" s="3038"/>
      <c r="AH571" s="3038"/>
      <c r="AK571" s="3038"/>
      <c r="AL571" s="3038"/>
      <c r="AM571" s="3038"/>
      <c r="AN571" s="3038"/>
      <c r="AO571" s="3038"/>
      <c r="AP571" s="3038"/>
      <c r="AQ571" s="3038"/>
      <c r="AR571" s="3038"/>
      <c r="AS571" s="3038"/>
      <c r="AT571" s="3038"/>
      <c r="AU571" s="3038"/>
      <c r="AV571" s="3038"/>
      <c r="AW571" s="3038"/>
      <c r="AX571" s="3038"/>
      <c r="AY571" s="3038"/>
      <c r="AZ571" s="3038"/>
      <c r="BA571" s="3038"/>
      <c r="BB571" s="3038"/>
      <c r="BC571" s="3038"/>
      <c r="BD571" s="3038"/>
      <c r="BE571" s="3038"/>
      <c r="BF571" s="3038"/>
      <c r="BG571" s="3038"/>
      <c r="BH571" s="3038"/>
      <c r="BI571" s="3038"/>
      <c r="BJ571" s="3038"/>
      <c r="BK571" s="3038"/>
      <c r="BL571" s="3038"/>
      <c r="BM571" s="3038"/>
      <c r="BN571" s="3038"/>
      <c r="BO571" s="3038"/>
      <c r="BP571" s="3038"/>
      <c r="BQ571" s="3038"/>
      <c r="BR571" s="3038"/>
      <c r="BS571" s="3038"/>
      <c r="BT571" s="3038"/>
      <c r="BU571" s="3038"/>
    </row>
    <row r="572" spans="3:73">
      <c r="C572" s="3038"/>
      <c r="D572" s="3038"/>
      <c r="E572" s="3038"/>
      <c r="H572" s="3038"/>
      <c r="I572" s="3038"/>
      <c r="J572" s="3038"/>
      <c r="K572" s="3038"/>
      <c r="M572" s="3038"/>
      <c r="N572" s="3038"/>
      <c r="O572" s="3038"/>
      <c r="P572" s="3038"/>
      <c r="Q572" s="3038"/>
      <c r="R572" s="3038"/>
      <c r="S572" s="3038"/>
      <c r="T572" s="3038"/>
      <c r="W572" s="3038"/>
      <c r="X572" s="3038"/>
      <c r="Y572" s="3038"/>
      <c r="Z572" s="3038"/>
      <c r="AA572" s="3113"/>
      <c r="AB572" s="3038"/>
      <c r="AC572" s="3038"/>
      <c r="AD572" s="3038"/>
      <c r="AE572" s="3132"/>
      <c r="AF572" s="3038"/>
      <c r="AG572" s="3038"/>
      <c r="AH572" s="3038"/>
      <c r="AK572" s="3038"/>
      <c r="AL572" s="3038"/>
      <c r="AM572" s="3038"/>
      <c r="AN572" s="3038"/>
      <c r="AO572" s="3038"/>
      <c r="AP572" s="3038"/>
      <c r="AQ572" s="3038"/>
      <c r="AR572" s="3038"/>
      <c r="AS572" s="3038"/>
      <c r="AT572" s="3038"/>
      <c r="AU572" s="3038"/>
      <c r="AV572" s="3038"/>
      <c r="AW572" s="3038"/>
      <c r="AX572" s="3038"/>
      <c r="AY572" s="3038"/>
      <c r="AZ572" s="3038"/>
      <c r="BA572" s="3038"/>
      <c r="BB572" s="3038"/>
      <c r="BC572" s="3038"/>
      <c r="BD572" s="3038"/>
      <c r="BE572" s="3038"/>
      <c r="BF572" s="3038"/>
      <c r="BG572" s="3038"/>
      <c r="BH572" s="3038"/>
      <c r="BI572" s="3038"/>
      <c r="BJ572" s="3038"/>
      <c r="BK572" s="3038"/>
      <c r="BL572" s="3038"/>
      <c r="BM572" s="3038"/>
      <c r="BN572" s="3038"/>
      <c r="BO572" s="3038"/>
      <c r="BP572" s="3038"/>
      <c r="BQ572" s="3038"/>
      <c r="BR572" s="3038"/>
      <c r="BS572" s="3038"/>
      <c r="BT572" s="3038"/>
      <c r="BU572" s="3038"/>
    </row>
    <row r="573" spans="3:73">
      <c r="C573" s="3038"/>
      <c r="D573" s="3038"/>
      <c r="E573" s="3038"/>
      <c r="H573" s="3038"/>
      <c r="I573" s="3038"/>
      <c r="J573" s="3038"/>
      <c r="K573" s="3038"/>
      <c r="M573" s="3038"/>
      <c r="N573" s="3038"/>
      <c r="O573" s="3038"/>
      <c r="P573" s="3038"/>
      <c r="Q573" s="3038"/>
      <c r="R573" s="3038"/>
      <c r="S573" s="3038"/>
      <c r="T573" s="3038"/>
      <c r="W573" s="3038"/>
      <c r="X573" s="3038"/>
      <c r="Y573" s="3038"/>
      <c r="Z573" s="3038"/>
      <c r="AA573" s="3113"/>
      <c r="AB573" s="3038"/>
      <c r="AC573" s="3038"/>
      <c r="AD573" s="3038"/>
      <c r="AE573" s="3132"/>
      <c r="AF573" s="3038"/>
      <c r="AG573" s="3038"/>
      <c r="AH573" s="3038"/>
      <c r="AK573" s="3038"/>
      <c r="AL573" s="3038"/>
      <c r="AM573" s="3038"/>
      <c r="AN573" s="3038"/>
      <c r="AO573" s="3038"/>
      <c r="AP573" s="3038"/>
      <c r="AQ573" s="3038"/>
      <c r="AR573" s="3038"/>
      <c r="AS573" s="3038"/>
      <c r="AT573" s="3038"/>
      <c r="AU573" s="3038"/>
      <c r="AV573" s="3038"/>
      <c r="AW573" s="3038"/>
      <c r="AX573" s="3038"/>
      <c r="AY573" s="3038"/>
      <c r="AZ573" s="3038"/>
      <c r="BA573" s="3038"/>
      <c r="BB573" s="3038"/>
      <c r="BC573" s="3038"/>
      <c r="BD573" s="3038"/>
      <c r="BE573" s="3038"/>
      <c r="BF573" s="3038"/>
      <c r="BG573" s="3038"/>
      <c r="BH573" s="3038"/>
      <c r="BI573" s="3038"/>
      <c r="BJ573" s="3038"/>
      <c r="BK573" s="3038"/>
      <c r="BL573" s="3038"/>
      <c r="BM573" s="3038"/>
      <c r="BN573" s="3038"/>
      <c r="BO573" s="3038"/>
      <c r="BP573" s="3038"/>
      <c r="BQ573" s="3038"/>
      <c r="BR573" s="3038"/>
      <c r="BS573" s="3038"/>
      <c r="BT573" s="3038"/>
      <c r="BU573" s="3038"/>
    </row>
    <row r="574" spans="3:73">
      <c r="C574" s="3038"/>
      <c r="D574" s="3038"/>
      <c r="E574" s="3038"/>
      <c r="H574" s="3038"/>
      <c r="I574" s="3038"/>
      <c r="J574" s="3038"/>
      <c r="K574" s="3038"/>
      <c r="M574" s="3038"/>
      <c r="N574" s="3038"/>
      <c r="O574" s="3038"/>
      <c r="P574" s="3038"/>
      <c r="Q574" s="3038"/>
      <c r="R574" s="3038"/>
      <c r="S574" s="3038"/>
      <c r="T574" s="3038"/>
      <c r="W574" s="3038"/>
      <c r="X574" s="3038"/>
      <c r="Y574" s="3038"/>
      <c r="Z574" s="3038"/>
      <c r="AA574" s="3113"/>
      <c r="AB574" s="3038"/>
      <c r="AC574" s="3038"/>
      <c r="AD574" s="3038"/>
      <c r="AE574" s="3132"/>
      <c r="AF574" s="3038"/>
      <c r="AG574" s="3038"/>
      <c r="AH574" s="3038"/>
      <c r="AK574" s="3038"/>
      <c r="AL574" s="3038"/>
      <c r="AM574" s="3038"/>
      <c r="AN574" s="3038"/>
      <c r="AO574" s="3038"/>
      <c r="AP574" s="3038"/>
      <c r="AQ574" s="3038"/>
      <c r="AR574" s="3038"/>
      <c r="AS574" s="3038"/>
      <c r="AT574" s="3038"/>
      <c r="AU574" s="3038"/>
      <c r="AV574" s="3038"/>
      <c r="AW574" s="3038"/>
      <c r="AX574" s="3038"/>
      <c r="AY574" s="3038"/>
      <c r="AZ574" s="3038"/>
      <c r="BA574" s="3038"/>
      <c r="BB574" s="3038"/>
      <c r="BC574" s="3038"/>
      <c r="BD574" s="3038"/>
      <c r="BE574" s="3038"/>
      <c r="BF574" s="3038"/>
      <c r="BG574" s="3038"/>
      <c r="BH574" s="3038"/>
      <c r="BI574" s="3038"/>
      <c r="BJ574" s="3038"/>
      <c r="BK574" s="3038"/>
      <c r="BL574" s="3038"/>
      <c r="BM574" s="3038"/>
      <c r="BN574" s="3038"/>
      <c r="BO574" s="3038"/>
      <c r="BP574" s="3038"/>
      <c r="BQ574" s="3038"/>
      <c r="BR574" s="3038"/>
      <c r="BS574" s="3038"/>
      <c r="BT574" s="3038"/>
      <c r="BU574" s="3038"/>
    </row>
    <row r="575" spans="3:73">
      <c r="C575" s="3038"/>
      <c r="D575" s="3038"/>
      <c r="E575" s="3038"/>
      <c r="H575" s="3038"/>
      <c r="I575" s="3038"/>
      <c r="J575" s="3038"/>
      <c r="K575" s="3038"/>
      <c r="M575" s="3038"/>
      <c r="N575" s="3038"/>
      <c r="O575" s="3038"/>
      <c r="P575" s="3038"/>
      <c r="Q575" s="3038"/>
      <c r="R575" s="3038"/>
      <c r="S575" s="3038"/>
      <c r="T575" s="3038"/>
      <c r="W575" s="3038"/>
      <c r="X575" s="3038"/>
      <c r="Y575" s="3038"/>
      <c r="Z575" s="3038"/>
      <c r="AA575" s="3113"/>
      <c r="AB575" s="3038"/>
      <c r="AC575" s="3038"/>
      <c r="AD575" s="3038"/>
      <c r="AE575" s="3132"/>
      <c r="AF575" s="3038"/>
      <c r="AG575" s="3038"/>
      <c r="AH575" s="3038"/>
      <c r="AK575" s="3038"/>
      <c r="AL575" s="3038"/>
      <c r="AM575" s="3038"/>
      <c r="AN575" s="3038"/>
      <c r="AO575" s="3038"/>
      <c r="AP575" s="3038"/>
      <c r="AQ575" s="3038"/>
      <c r="AR575" s="3038"/>
      <c r="AS575" s="3038"/>
      <c r="AT575" s="3038"/>
      <c r="AU575" s="3038"/>
      <c r="AV575" s="3038"/>
      <c r="AW575" s="3038"/>
      <c r="AX575" s="3038"/>
      <c r="AY575" s="3038"/>
      <c r="AZ575" s="3038"/>
      <c r="BA575" s="3038"/>
      <c r="BB575" s="3038"/>
      <c r="BC575" s="3038"/>
      <c r="BD575" s="3038"/>
      <c r="BE575" s="3038"/>
      <c r="BF575" s="3038"/>
      <c r="BG575" s="3038"/>
      <c r="BH575" s="3038"/>
      <c r="BI575" s="3038"/>
      <c r="BJ575" s="3038"/>
      <c r="BK575" s="3038"/>
      <c r="BL575" s="3038"/>
      <c r="BM575" s="3038"/>
      <c r="BN575" s="3038"/>
      <c r="BO575" s="3038"/>
      <c r="BP575" s="3038"/>
      <c r="BQ575" s="3038"/>
      <c r="BR575" s="3038"/>
      <c r="BS575" s="3038"/>
      <c r="BT575" s="3038"/>
      <c r="BU575" s="3038"/>
    </row>
    <row r="576" spans="3:73">
      <c r="C576" s="3038"/>
      <c r="D576" s="3038"/>
      <c r="E576" s="3038"/>
      <c r="H576" s="3038"/>
      <c r="I576" s="3038"/>
      <c r="J576" s="3038"/>
      <c r="K576" s="3038"/>
      <c r="M576" s="3038"/>
      <c r="N576" s="3038"/>
      <c r="O576" s="3038"/>
      <c r="P576" s="3038"/>
      <c r="Q576" s="3038"/>
      <c r="R576" s="3038"/>
      <c r="S576" s="3038"/>
      <c r="T576" s="3038"/>
      <c r="W576" s="3038"/>
      <c r="X576" s="3038"/>
      <c r="Y576" s="3038"/>
      <c r="Z576" s="3038"/>
      <c r="AA576" s="3113"/>
      <c r="AB576" s="3038"/>
      <c r="AC576" s="3038"/>
      <c r="AD576" s="3038"/>
      <c r="AE576" s="3132"/>
      <c r="AF576" s="3038"/>
      <c r="AG576" s="3038"/>
      <c r="AH576" s="3038"/>
      <c r="AK576" s="3038"/>
      <c r="AL576" s="3038"/>
      <c r="AM576" s="3038"/>
      <c r="AN576" s="3038"/>
      <c r="AO576" s="3038"/>
      <c r="AP576" s="3038"/>
      <c r="AQ576" s="3038"/>
      <c r="AR576" s="3038"/>
      <c r="AS576" s="3038"/>
      <c r="AT576" s="3038"/>
      <c r="AU576" s="3038"/>
      <c r="AV576" s="3038"/>
      <c r="AW576" s="3038"/>
      <c r="AX576" s="3038"/>
      <c r="AY576" s="3038"/>
      <c r="AZ576" s="3038"/>
      <c r="BA576" s="3038"/>
      <c r="BB576" s="3038"/>
      <c r="BC576" s="3038"/>
      <c r="BD576" s="3038"/>
      <c r="BE576" s="3038"/>
      <c r="BF576" s="3038"/>
      <c r="BG576" s="3038"/>
      <c r="BH576" s="3038"/>
      <c r="BI576" s="3038"/>
      <c r="BJ576" s="3038"/>
      <c r="BK576" s="3038"/>
      <c r="BL576" s="3038"/>
      <c r="BM576" s="3038"/>
      <c r="BN576" s="3038"/>
      <c r="BO576" s="3038"/>
      <c r="BP576" s="3038"/>
      <c r="BQ576" s="3038"/>
      <c r="BR576" s="3038"/>
      <c r="BS576" s="3038"/>
      <c r="BT576" s="3038"/>
      <c r="BU576" s="3038"/>
    </row>
    <row r="577" spans="3:73">
      <c r="C577" s="3038"/>
      <c r="D577" s="3038"/>
      <c r="E577" s="3038"/>
      <c r="H577" s="3038"/>
      <c r="I577" s="3038"/>
      <c r="J577" s="3038"/>
      <c r="K577" s="3038"/>
      <c r="M577" s="3038"/>
      <c r="N577" s="3038"/>
      <c r="O577" s="3038"/>
      <c r="P577" s="3038"/>
      <c r="Q577" s="3038"/>
      <c r="R577" s="3038"/>
      <c r="S577" s="3038"/>
      <c r="T577" s="3038"/>
      <c r="W577" s="3038"/>
      <c r="X577" s="3038"/>
      <c r="Y577" s="3038"/>
      <c r="Z577" s="3038"/>
      <c r="AA577" s="3113"/>
      <c r="AB577" s="3038"/>
      <c r="AC577" s="3038"/>
      <c r="AD577" s="3038"/>
      <c r="AE577" s="3132"/>
      <c r="AF577" s="3038"/>
      <c r="AG577" s="3038"/>
      <c r="AH577" s="3038"/>
      <c r="AK577" s="3038"/>
      <c r="AL577" s="3038"/>
      <c r="AM577" s="3038"/>
      <c r="AN577" s="3038"/>
      <c r="AO577" s="3038"/>
      <c r="AP577" s="3038"/>
      <c r="AQ577" s="3038"/>
      <c r="AR577" s="3038"/>
      <c r="AS577" s="3038"/>
      <c r="AT577" s="3038"/>
      <c r="AU577" s="3038"/>
      <c r="AV577" s="3038"/>
      <c r="AW577" s="3038"/>
      <c r="AX577" s="3038"/>
      <c r="AY577" s="3038"/>
      <c r="AZ577" s="3038"/>
      <c r="BA577" s="3038"/>
      <c r="BB577" s="3038"/>
      <c r="BC577" s="3038"/>
      <c r="BD577" s="3038"/>
      <c r="BE577" s="3038"/>
      <c r="BF577" s="3038"/>
      <c r="BG577" s="3038"/>
      <c r="BH577" s="3038"/>
      <c r="BI577" s="3038"/>
      <c r="BJ577" s="3038"/>
      <c r="BK577" s="3038"/>
      <c r="BL577" s="3038"/>
      <c r="BM577" s="3038"/>
      <c r="BN577" s="3038"/>
      <c r="BO577" s="3038"/>
      <c r="BP577" s="3038"/>
      <c r="BQ577" s="3038"/>
      <c r="BR577" s="3038"/>
      <c r="BS577" s="3038"/>
      <c r="BT577" s="3038"/>
      <c r="BU577" s="3038"/>
    </row>
    <row r="578" spans="3:73">
      <c r="C578" s="3038"/>
      <c r="D578" s="3038"/>
      <c r="E578" s="3038"/>
      <c r="H578" s="3038"/>
      <c r="I578" s="3038"/>
      <c r="J578" s="3038"/>
      <c r="K578" s="3038"/>
      <c r="M578" s="3038"/>
      <c r="N578" s="3038"/>
      <c r="O578" s="3038"/>
      <c r="P578" s="3038"/>
      <c r="Q578" s="3038"/>
      <c r="R578" s="3038"/>
      <c r="S578" s="3038"/>
      <c r="T578" s="3038"/>
      <c r="W578" s="3038"/>
      <c r="X578" s="3038"/>
      <c r="Y578" s="3038"/>
      <c r="Z578" s="3038"/>
      <c r="AA578" s="3113"/>
      <c r="AB578" s="3038"/>
      <c r="AC578" s="3038"/>
      <c r="AD578" s="3038"/>
      <c r="AE578" s="3132"/>
      <c r="AF578" s="3038"/>
      <c r="AG578" s="3038"/>
      <c r="AH578" s="3038"/>
      <c r="AK578" s="3038"/>
      <c r="AL578" s="3038"/>
      <c r="AM578" s="3038"/>
      <c r="AN578" s="3038"/>
      <c r="AO578" s="3038"/>
      <c r="AP578" s="3038"/>
      <c r="AQ578" s="3038"/>
      <c r="AR578" s="3038"/>
      <c r="AS578" s="3038"/>
      <c r="AT578" s="3038"/>
      <c r="AU578" s="3038"/>
      <c r="AV578" s="3038"/>
      <c r="AW578" s="3038"/>
      <c r="AX578" s="3038"/>
      <c r="AY578" s="3038"/>
      <c r="AZ578" s="3038"/>
      <c r="BA578" s="3038"/>
      <c r="BB578" s="3038"/>
      <c r="BC578" s="3038"/>
      <c r="BD578" s="3038"/>
      <c r="BE578" s="3038"/>
      <c r="BF578" s="3038"/>
      <c r="BG578" s="3038"/>
      <c r="BH578" s="3038"/>
      <c r="BI578" s="3038"/>
      <c r="BJ578" s="3038"/>
      <c r="BK578" s="3038"/>
      <c r="BL578" s="3038"/>
      <c r="BM578" s="3038"/>
      <c r="BN578" s="3038"/>
      <c r="BO578" s="3038"/>
      <c r="BP578" s="3038"/>
      <c r="BQ578" s="3038"/>
      <c r="BR578" s="3038"/>
      <c r="BS578" s="3038"/>
      <c r="BT578" s="3038"/>
      <c r="BU578" s="3038"/>
    </row>
    <row r="579" spans="3:73">
      <c r="C579" s="3038"/>
      <c r="D579" s="3038"/>
      <c r="E579" s="3038"/>
      <c r="H579" s="3038"/>
      <c r="I579" s="3038"/>
      <c r="J579" s="3038"/>
      <c r="K579" s="3038"/>
      <c r="M579" s="3038"/>
      <c r="N579" s="3038"/>
      <c r="O579" s="3038"/>
      <c r="P579" s="3038"/>
      <c r="Q579" s="3038"/>
      <c r="R579" s="3038"/>
      <c r="S579" s="3038"/>
      <c r="T579" s="3038"/>
      <c r="W579" s="3038"/>
      <c r="X579" s="3038"/>
      <c r="Y579" s="3038"/>
      <c r="Z579" s="3038"/>
      <c r="AA579" s="3113"/>
      <c r="AB579" s="3038"/>
      <c r="AC579" s="3038"/>
      <c r="AD579" s="3038"/>
      <c r="AE579" s="3132"/>
      <c r="AF579" s="3038"/>
      <c r="AG579" s="3038"/>
      <c r="AH579" s="3038"/>
      <c r="AK579" s="3038"/>
      <c r="AL579" s="3038"/>
      <c r="AM579" s="3038"/>
      <c r="AN579" s="3038"/>
      <c r="AO579" s="3038"/>
      <c r="AP579" s="3038"/>
      <c r="AQ579" s="3038"/>
      <c r="AR579" s="3038"/>
      <c r="AS579" s="3038"/>
      <c r="AT579" s="3038"/>
      <c r="AU579" s="3038"/>
      <c r="AV579" s="3038"/>
      <c r="AW579" s="3038"/>
      <c r="AX579" s="3038"/>
      <c r="AY579" s="3038"/>
      <c r="AZ579" s="3038"/>
      <c r="BA579" s="3038"/>
      <c r="BB579" s="3038"/>
      <c r="BC579" s="3038"/>
      <c r="BD579" s="3038"/>
      <c r="BE579" s="3038"/>
      <c r="BF579" s="3038"/>
      <c r="BG579" s="3038"/>
      <c r="BH579" s="3038"/>
      <c r="BI579" s="3038"/>
      <c r="BJ579" s="3038"/>
      <c r="BK579" s="3038"/>
      <c r="BL579" s="3038"/>
      <c r="BM579" s="3038"/>
      <c r="BN579" s="3038"/>
      <c r="BO579" s="3038"/>
      <c r="BP579" s="3038"/>
      <c r="BQ579" s="3038"/>
      <c r="BR579" s="3038"/>
      <c r="BS579" s="3038"/>
      <c r="BT579" s="3038"/>
      <c r="BU579" s="3038"/>
    </row>
    <row r="580" spans="3:73">
      <c r="C580" s="3038"/>
      <c r="D580" s="3038"/>
      <c r="E580" s="3038"/>
      <c r="H580" s="3038"/>
      <c r="I580" s="3038"/>
      <c r="J580" s="3038"/>
      <c r="K580" s="3038"/>
      <c r="M580" s="3038"/>
      <c r="N580" s="3038"/>
      <c r="O580" s="3038"/>
      <c r="P580" s="3038"/>
      <c r="Q580" s="3038"/>
      <c r="R580" s="3038"/>
      <c r="S580" s="3038"/>
      <c r="T580" s="3038"/>
      <c r="W580" s="3038"/>
      <c r="X580" s="3038"/>
      <c r="Y580" s="3038"/>
      <c r="Z580" s="3038"/>
      <c r="AA580" s="3113"/>
      <c r="AB580" s="3038"/>
      <c r="AC580" s="3038"/>
      <c r="AD580" s="3038"/>
      <c r="AE580" s="3132"/>
      <c r="AF580" s="3038"/>
      <c r="AG580" s="3038"/>
      <c r="AH580" s="3038"/>
      <c r="AK580" s="3038"/>
      <c r="AL580" s="3038"/>
      <c r="AM580" s="3038"/>
      <c r="AN580" s="3038"/>
      <c r="AO580" s="3038"/>
      <c r="AP580" s="3038"/>
      <c r="AQ580" s="3038"/>
      <c r="AR580" s="3038"/>
      <c r="AS580" s="3038"/>
      <c r="AT580" s="3038"/>
      <c r="AU580" s="3038"/>
      <c r="AV580" s="3038"/>
      <c r="AW580" s="3038"/>
      <c r="AX580" s="3038"/>
      <c r="AY580" s="3038"/>
      <c r="AZ580" s="3038"/>
      <c r="BA580" s="3038"/>
      <c r="BB580" s="3038"/>
      <c r="BC580" s="3038"/>
      <c r="BD580" s="3038"/>
      <c r="BE580" s="3038"/>
      <c r="BF580" s="3038"/>
      <c r="BG580" s="3038"/>
      <c r="BH580" s="3038"/>
      <c r="BI580" s="3038"/>
      <c r="BJ580" s="3038"/>
      <c r="BK580" s="3038"/>
      <c r="BL580" s="3038"/>
      <c r="BM580" s="3038"/>
      <c r="BN580" s="3038"/>
      <c r="BO580" s="3038"/>
      <c r="BP580" s="3038"/>
      <c r="BQ580" s="3038"/>
      <c r="BR580" s="3038"/>
      <c r="BS580" s="3038"/>
      <c r="BT580" s="3038"/>
      <c r="BU580" s="3038"/>
    </row>
    <row r="581" spans="3:73">
      <c r="C581" s="3038"/>
      <c r="D581" s="3038"/>
      <c r="E581" s="3038"/>
      <c r="H581" s="3038"/>
      <c r="I581" s="3038"/>
      <c r="J581" s="3038"/>
      <c r="K581" s="3038"/>
      <c r="M581" s="3038"/>
      <c r="N581" s="3038"/>
      <c r="O581" s="3038"/>
      <c r="P581" s="3038"/>
      <c r="Q581" s="3038"/>
      <c r="R581" s="3038"/>
      <c r="S581" s="3038"/>
      <c r="T581" s="3038"/>
      <c r="W581" s="3038"/>
      <c r="X581" s="3038"/>
      <c r="Y581" s="3038"/>
      <c r="Z581" s="3038"/>
      <c r="AA581" s="3113"/>
      <c r="AB581" s="3038"/>
      <c r="AC581" s="3038"/>
      <c r="AD581" s="3038"/>
      <c r="AE581" s="3132"/>
      <c r="AF581" s="3038"/>
      <c r="AG581" s="3038"/>
      <c r="AH581" s="3038"/>
      <c r="AK581" s="3038"/>
      <c r="AL581" s="3038"/>
      <c r="AM581" s="3038"/>
      <c r="AN581" s="3038"/>
      <c r="AO581" s="3038"/>
      <c r="AP581" s="3038"/>
      <c r="AQ581" s="3038"/>
      <c r="AR581" s="3038"/>
      <c r="AS581" s="3038"/>
      <c r="AT581" s="3038"/>
      <c r="AU581" s="3038"/>
      <c r="AV581" s="3038"/>
      <c r="AW581" s="3038"/>
      <c r="AX581" s="3038"/>
      <c r="AY581" s="3038"/>
      <c r="AZ581" s="3038"/>
      <c r="BA581" s="3038"/>
      <c r="BB581" s="3038"/>
      <c r="BC581" s="3038"/>
      <c r="BD581" s="3038"/>
      <c r="BE581" s="3038"/>
      <c r="BF581" s="3038"/>
      <c r="BG581" s="3038"/>
      <c r="BH581" s="3038"/>
      <c r="BI581" s="3038"/>
      <c r="BJ581" s="3038"/>
      <c r="BK581" s="3038"/>
      <c r="BL581" s="3038"/>
      <c r="BM581" s="3038"/>
      <c r="BN581" s="3038"/>
      <c r="BO581" s="3038"/>
      <c r="BP581" s="3038"/>
      <c r="BQ581" s="3038"/>
      <c r="BR581" s="3038"/>
      <c r="BS581" s="3038"/>
      <c r="BT581" s="3038"/>
      <c r="BU581" s="3038"/>
    </row>
    <row r="582" spans="3:73">
      <c r="C582" s="3038"/>
      <c r="D582" s="3038"/>
      <c r="E582" s="3038"/>
      <c r="H582" s="3038"/>
      <c r="I582" s="3038"/>
      <c r="J582" s="3038"/>
      <c r="K582" s="3038"/>
      <c r="M582" s="3038"/>
      <c r="N582" s="3038"/>
      <c r="O582" s="3038"/>
      <c r="P582" s="3038"/>
      <c r="Q582" s="3038"/>
      <c r="R582" s="3038"/>
      <c r="S582" s="3038"/>
      <c r="T582" s="3038"/>
      <c r="W582" s="3038"/>
      <c r="X582" s="3038"/>
      <c r="Y582" s="3038"/>
      <c r="Z582" s="3038"/>
      <c r="AA582" s="3113"/>
      <c r="AB582" s="3038"/>
      <c r="AC582" s="3038"/>
      <c r="AD582" s="3038"/>
      <c r="AE582" s="3132"/>
      <c r="AF582" s="3038"/>
      <c r="AG582" s="3038"/>
      <c r="AH582" s="3038"/>
      <c r="AK582" s="3038"/>
      <c r="AL582" s="3038"/>
      <c r="AM582" s="3038"/>
      <c r="AN582" s="3038"/>
      <c r="AO582" s="3038"/>
      <c r="AP582" s="3038"/>
      <c r="AQ582" s="3038"/>
      <c r="AR582" s="3038"/>
      <c r="AS582" s="3038"/>
      <c r="AT582" s="3038"/>
      <c r="AU582" s="3038"/>
      <c r="AV582" s="3038"/>
      <c r="AW582" s="3038"/>
      <c r="AX582" s="3038"/>
      <c r="AY582" s="3038"/>
      <c r="AZ582" s="3038"/>
      <c r="BA582" s="3038"/>
      <c r="BB582" s="3038"/>
      <c r="BC582" s="3038"/>
      <c r="BD582" s="3038"/>
      <c r="BE582" s="3038"/>
      <c r="BF582" s="3038"/>
      <c r="BG582" s="3038"/>
      <c r="BH582" s="3038"/>
      <c r="BI582" s="3038"/>
      <c r="BJ582" s="3038"/>
      <c r="BK582" s="3038"/>
      <c r="BL582" s="3038"/>
      <c r="BM582" s="3038"/>
      <c r="BN582" s="3038"/>
      <c r="BO582" s="3038"/>
      <c r="BP582" s="3038"/>
      <c r="BQ582" s="3038"/>
      <c r="BR582" s="3038"/>
      <c r="BS582" s="3038"/>
      <c r="BT582" s="3038"/>
      <c r="BU582" s="3038"/>
    </row>
    <row r="583" spans="3:73">
      <c r="C583" s="3038"/>
      <c r="D583" s="3038"/>
      <c r="E583" s="3038"/>
      <c r="H583" s="3038"/>
      <c r="I583" s="3038"/>
      <c r="J583" s="3038"/>
      <c r="K583" s="3038"/>
      <c r="M583" s="3038"/>
      <c r="N583" s="3038"/>
      <c r="O583" s="3038"/>
      <c r="P583" s="3038"/>
      <c r="Q583" s="3038"/>
      <c r="R583" s="3038"/>
      <c r="S583" s="3038"/>
      <c r="T583" s="3038"/>
      <c r="W583" s="3038"/>
      <c r="X583" s="3038"/>
      <c r="Y583" s="3038"/>
      <c r="Z583" s="3038"/>
      <c r="AA583" s="3113"/>
      <c r="AB583" s="3038"/>
      <c r="AC583" s="3038"/>
      <c r="AD583" s="3038"/>
      <c r="AE583" s="3132"/>
      <c r="AF583" s="3038"/>
      <c r="AG583" s="3038"/>
      <c r="AH583" s="3038"/>
      <c r="AK583" s="3038"/>
      <c r="AL583" s="3038"/>
      <c r="AM583" s="3038"/>
      <c r="AN583" s="3038"/>
      <c r="AO583" s="3038"/>
      <c r="AP583" s="3038"/>
      <c r="AQ583" s="3038"/>
      <c r="AR583" s="3038"/>
      <c r="AS583" s="3038"/>
      <c r="AT583" s="3038"/>
      <c r="AU583" s="3038"/>
      <c r="AV583" s="3038"/>
      <c r="AW583" s="3038"/>
      <c r="AX583" s="3038"/>
      <c r="AY583" s="3038"/>
      <c r="AZ583" s="3038"/>
      <c r="BA583" s="3038"/>
      <c r="BB583" s="3038"/>
      <c r="BC583" s="3038"/>
      <c r="BD583" s="3038"/>
      <c r="BE583" s="3038"/>
      <c r="BF583" s="3038"/>
      <c r="BG583" s="3038"/>
      <c r="BH583" s="3038"/>
      <c r="BI583" s="3038"/>
      <c r="BJ583" s="3038"/>
      <c r="BK583" s="3038"/>
      <c r="BL583" s="3038"/>
      <c r="BM583" s="3038"/>
      <c r="BN583" s="3038"/>
      <c r="BO583" s="3038"/>
      <c r="BP583" s="3038"/>
      <c r="BQ583" s="3038"/>
      <c r="BR583" s="3038"/>
      <c r="BS583" s="3038"/>
      <c r="BT583" s="3038"/>
      <c r="BU583" s="3038"/>
    </row>
    <row r="584" spans="3:73">
      <c r="C584" s="3038"/>
      <c r="D584" s="3038"/>
      <c r="E584" s="3038"/>
      <c r="H584" s="3038"/>
      <c r="I584" s="3038"/>
      <c r="J584" s="3038"/>
      <c r="K584" s="3038"/>
      <c r="M584" s="3038"/>
      <c r="N584" s="3038"/>
      <c r="O584" s="3038"/>
      <c r="P584" s="3038"/>
      <c r="Q584" s="3038"/>
      <c r="R584" s="3038"/>
      <c r="S584" s="3038"/>
      <c r="T584" s="3038"/>
      <c r="W584" s="3038"/>
      <c r="X584" s="3038"/>
      <c r="Y584" s="3038"/>
      <c r="Z584" s="3038"/>
      <c r="AA584" s="3113"/>
      <c r="AB584" s="3038"/>
      <c r="AC584" s="3038"/>
      <c r="AD584" s="3038"/>
      <c r="AE584" s="3132"/>
      <c r="AF584" s="3038"/>
      <c r="AG584" s="3038"/>
      <c r="AH584" s="3038"/>
      <c r="AK584" s="3038"/>
      <c r="AL584" s="3038"/>
      <c r="AM584" s="3038"/>
      <c r="AN584" s="3038"/>
      <c r="AO584" s="3038"/>
      <c r="AP584" s="3038"/>
      <c r="AQ584" s="3038"/>
      <c r="AR584" s="3038"/>
      <c r="AS584" s="3038"/>
      <c r="AT584" s="3038"/>
      <c r="AU584" s="3038"/>
      <c r="AV584" s="3038"/>
      <c r="AW584" s="3038"/>
      <c r="AX584" s="3038"/>
      <c r="AY584" s="3038"/>
      <c r="AZ584" s="3038"/>
      <c r="BA584" s="3038"/>
      <c r="BB584" s="3038"/>
      <c r="BC584" s="3038"/>
      <c r="BD584" s="3038"/>
      <c r="BE584" s="3038"/>
      <c r="BF584" s="3038"/>
      <c r="BG584" s="3038"/>
      <c r="BH584" s="3038"/>
      <c r="BI584" s="3038"/>
      <c r="BJ584" s="3038"/>
      <c r="BK584" s="3038"/>
      <c r="BL584" s="3038"/>
      <c r="BM584" s="3038"/>
      <c r="BN584" s="3038"/>
      <c r="BO584" s="3038"/>
      <c r="BP584" s="3038"/>
      <c r="BQ584" s="3038"/>
      <c r="BR584" s="3038"/>
      <c r="BS584" s="3038"/>
      <c r="BT584" s="3038"/>
      <c r="BU584" s="3038"/>
    </row>
    <row r="585" spans="3:73">
      <c r="C585" s="3038"/>
      <c r="D585" s="3038"/>
      <c r="E585" s="3038"/>
      <c r="H585" s="3038"/>
      <c r="I585" s="3038"/>
      <c r="J585" s="3038"/>
      <c r="K585" s="3038"/>
      <c r="M585" s="3038"/>
      <c r="N585" s="3038"/>
      <c r="O585" s="3038"/>
      <c r="P585" s="3038"/>
      <c r="Q585" s="3038"/>
      <c r="R585" s="3038"/>
      <c r="S585" s="3038"/>
      <c r="T585" s="3038"/>
      <c r="W585" s="3038"/>
      <c r="X585" s="3038"/>
      <c r="Y585" s="3038"/>
      <c r="Z585" s="3038"/>
      <c r="AA585" s="3113"/>
      <c r="AB585" s="3038"/>
      <c r="AC585" s="3038"/>
      <c r="AD585" s="3038"/>
      <c r="AE585" s="3132"/>
      <c r="AF585" s="3038"/>
      <c r="AG585" s="3038"/>
      <c r="AH585" s="3038"/>
      <c r="AK585" s="3038"/>
      <c r="AL585" s="3038"/>
      <c r="AM585" s="3038"/>
      <c r="AN585" s="3038"/>
      <c r="AO585" s="3038"/>
      <c r="AP585" s="3038"/>
      <c r="AQ585" s="3038"/>
      <c r="AR585" s="3038"/>
      <c r="AS585" s="3038"/>
      <c r="AT585" s="3038"/>
      <c r="AU585" s="3038"/>
      <c r="AV585" s="3038"/>
      <c r="AW585" s="3038"/>
      <c r="AX585" s="3038"/>
      <c r="AY585" s="3038"/>
      <c r="AZ585" s="3038"/>
      <c r="BA585" s="3038"/>
      <c r="BB585" s="3038"/>
      <c r="BC585" s="3038"/>
      <c r="BD585" s="3038"/>
      <c r="BE585" s="3038"/>
      <c r="BF585" s="3038"/>
      <c r="BG585" s="3038"/>
      <c r="BH585" s="3038"/>
      <c r="BI585" s="3038"/>
      <c r="BJ585" s="3038"/>
      <c r="BK585" s="3038"/>
      <c r="BL585" s="3038"/>
      <c r="BM585" s="3038"/>
      <c r="BN585" s="3038"/>
      <c r="BO585" s="3038"/>
      <c r="BP585" s="3038"/>
      <c r="BQ585" s="3038"/>
      <c r="BR585" s="3038"/>
      <c r="BS585" s="3038"/>
      <c r="BT585" s="3038"/>
      <c r="BU585" s="3038"/>
    </row>
    <row r="586" spans="3:73">
      <c r="C586" s="3038"/>
      <c r="D586" s="3038"/>
      <c r="E586" s="3038"/>
      <c r="H586" s="3038"/>
      <c r="I586" s="3038"/>
      <c r="J586" s="3038"/>
      <c r="K586" s="3038"/>
      <c r="M586" s="3038"/>
      <c r="N586" s="3038"/>
      <c r="O586" s="3038"/>
      <c r="P586" s="3038"/>
      <c r="Q586" s="3038"/>
      <c r="R586" s="3038"/>
      <c r="S586" s="3038"/>
      <c r="T586" s="3038"/>
      <c r="W586" s="3038"/>
      <c r="X586" s="3038"/>
      <c r="Y586" s="3038"/>
      <c r="Z586" s="3038"/>
      <c r="AA586" s="3113"/>
      <c r="AB586" s="3038"/>
      <c r="AC586" s="3038"/>
      <c r="AD586" s="3038"/>
      <c r="AE586" s="3132"/>
      <c r="AF586" s="3038"/>
      <c r="AG586" s="3038"/>
      <c r="AH586" s="3038"/>
      <c r="AK586" s="3038"/>
      <c r="AL586" s="3038"/>
      <c r="AM586" s="3038"/>
      <c r="AN586" s="3038"/>
      <c r="AO586" s="3038"/>
      <c r="AP586" s="3038"/>
      <c r="AQ586" s="3038"/>
      <c r="AR586" s="3038"/>
      <c r="AS586" s="3038"/>
      <c r="AT586" s="3038"/>
      <c r="AU586" s="3038"/>
      <c r="AV586" s="3038"/>
      <c r="AW586" s="3038"/>
      <c r="AX586" s="3038"/>
      <c r="AY586" s="3038"/>
      <c r="AZ586" s="3038"/>
      <c r="BA586" s="3038"/>
      <c r="BB586" s="3038"/>
      <c r="BC586" s="3038"/>
      <c r="BD586" s="3038"/>
      <c r="BE586" s="3038"/>
      <c r="BF586" s="3038"/>
      <c r="BG586" s="3038"/>
      <c r="BH586" s="3038"/>
      <c r="BI586" s="3038"/>
      <c r="BJ586" s="3038"/>
      <c r="BK586" s="3038"/>
      <c r="BL586" s="3038"/>
      <c r="BM586" s="3038"/>
      <c r="BN586" s="3038"/>
      <c r="BO586" s="3038"/>
      <c r="BP586" s="3038"/>
      <c r="BQ586" s="3038"/>
      <c r="BR586" s="3038"/>
      <c r="BS586" s="3038"/>
      <c r="BT586" s="3038"/>
      <c r="BU586" s="3038"/>
    </row>
    <row r="587" spans="3:73">
      <c r="C587" s="3038"/>
      <c r="D587" s="3038"/>
      <c r="E587" s="3038"/>
      <c r="H587" s="3038"/>
      <c r="I587" s="3038"/>
      <c r="J587" s="3038"/>
      <c r="K587" s="3038"/>
      <c r="M587" s="3038"/>
      <c r="N587" s="3038"/>
      <c r="O587" s="3038"/>
      <c r="P587" s="3038"/>
      <c r="Q587" s="3038"/>
      <c r="R587" s="3038"/>
      <c r="S587" s="3038"/>
      <c r="T587" s="3038"/>
      <c r="W587" s="3038"/>
      <c r="X587" s="3038"/>
      <c r="Y587" s="3038"/>
      <c r="Z587" s="3038"/>
      <c r="AA587" s="3113"/>
      <c r="AB587" s="3038"/>
      <c r="AC587" s="3038"/>
      <c r="AD587" s="3038"/>
      <c r="AE587" s="3132"/>
      <c r="AF587" s="3038"/>
      <c r="AG587" s="3038"/>
      <c r="AH587" s="3038"/>
      <c r="AK587" s="3038"/>
      <c r="AL587" s="3038"/>
      <c r="AM587" s="3038"/>
      <c r="AN587" s="3038"/>
      <c r="AO587" s="3038"/>
      <c r="AP587" s="3038"/>
      <c r="AQ587" s="3038"/>
      <c r="AR587" s="3038"/>
      <c r="AS587" s="3038"/>
      <c r="AT587" s="3038"/>
      <c r="AU587" s="3038"/>
      <c r="AV587" s="3038"/>
      <c r="AW587" s="3038"/>
      <c r="AX587" s="3038"/>
      <c r="AY587" s="3038"/>
      <c r="AZ587" s="3038"/>
      <c r="BA587" s="3038"/>
      <c r="BB587" s="3038"/>
      <c r="BC587" s="3038"/>
      <c r="BD587" s="3038"/>
      <c r="BE587" s="3038"/>
      <c r="BF587" s="3038"/>
      <c r="BG587" s="3038"/>
      <c r="BH587" s="3038"/>
      <c r="BI587" s="3038"/>
      <c r="BJ587" s="3038"/>
      <c r="BK587" s="3038"/>
      <c r="BL587" s="3038"/>
      <c r="BM587" s="3038"/>
      <c r="BN587" s="3038"/>
      <c r="BO587" s="3038"/>
      <c r="BP587" s="3038"/>
      <c r="BQ587" s="3038"/>
      <c r="BR587" s="3038"/>
      <c r="BS587" s="3038"/>
      <c r="BT587" s="3038"/>
      <c r="BU587" s="3038"/>
    </row>
    <row r="588" spans="3:73">
      <c r="C588" s="3038"/>
      <c r="D588" s="3038"/>
      <c r="E588" s="3038"/>
      <c r="H588" s="3038"/>
      <c r="I588" s="3038"/>
      <c r="J588" s="3038"/>
      <c r="K588" s="3038"/>
      <c r="M588" s="3038"/>
      <c r="N588" s="3038"/>
      <c r="O588" s="3038"/>
      <c r="P588" s="3038"/>
      <c r="Q588" s="3038"/>
      <c r="R588" s="3038"/>
      <c r="S588" s="3038"/>
      <c r="T588" s="3038"/>
      <c r="W588" s="3038"/>
      <c r="X588" s="3038"/>
      <c r="Y588" s="3038"/>
      <c r="Z588" s="3038"/>
      <c r="AA588" s="3113"/>
      <c r="AB588" s="3038"/>
      <c r="AC588" s="3038"/>
      <c r="AD588" s="3038"/>
      <c r="AE588" s="3132"/>
      <c r="AF588" s="3038"/>
      <c r="AG588" s="3038"/>
      <c r="AH588" s="3038"/>
      <c r="AK588" s="3038"/>
      <c r="AL588" s="3038"/>
      <c r="AM588" s="3038"/>
      <c r="AN588" s="3038"/>
      <c r="AO588" s="3038"/>
      <c r="AP588" s="3038"/>
      <c r="AQ588" s="3038"/>
      <c r="AR588" s="3038"/>
      <c r="AS588" s="3038"/>
      <c r="AT588" s="3038"/>
      <c r="AU588" s="3038"/>
      <c r="AV588" s="3038"/>
      <c r="AW588" s="3038"/>
      <c r="AX588" s="3038"/>
      <c r="AY588" s="3038"/>
      <c r="AZ588" s="3038"/>
      <c r="BA588" s="3038"/>
      <c r="BB588" s="3038"/>
      <c r="BC588" s="3038"/>
      <c r="BD588" s="3038"/>
      <c r="BE588" s="3038"/>
      <c r="BF588" s="3038"/>
      <c r="BG588" s="3038"/>
      <c r="BH588" s="3038"/>
      <c r="BI588" s="3038"/>
      <c r="BJ588" s="3038"/>
      <c r="BK588" s="3038"/>
      <c r="BL588" s="3038"/>
      <c r="BM588" s="3038"/>
      <c r="BN588" s="3038"/>
      <c r="BO588" s="3038"/>
      <c r="BP588" s="3038"/>
      <c r="BQ588" s="3038"/>
      <c r="BR588" s="3038"/>
      <c r="BS588" s="3038"/>
      <c r="BT588" s="3038"/>
      <c r="BU588" s="3038"/>
    </row>
    <row r="589" spans="3:73">
      <c r="C589" s="3038"/>
      <c r="D589" s="3038"/>
      <c r="E589" s="3038"/>
      <c r="H589" s="3038"/>
      <c r="I589" s="3038"/>
      <c r="J589" s="3038"/>
      <c r="K589" s="3038"/>
      <c r="M589" s="3038"/>
      <c r="N589" s="3038"/>
      <c r="O589" s="3038"/>
      <c r="P589" s="3038"/>
      <c r="Q589" s="3038"/>
      <c r="R589" s="3038"/>
      <c r="S589" s="3038"/>
      <c r="T589" s="3038"/>
      <c r="W589" s="3038"/>
      <c r="X589" s="3038"/>
      <c r="Y589" s="3038"/>
      <c r="Z589" s="3038"/>
      <c r="AA589" s="3113"/>
      <c r="AB589" s="3038"/>
      <c r="AC589" s="3038"/>
      <c r="AD589" s="3038"/>
      <c r="AE589" s="3132"/>
      <c r="AF589" s="3038"/>
      <c r="AG589" s="3038"/>
      <c r="AH589" s="3038"/>
      <c r="AK589" s="3038"/>
      <c r="AL589" s="3038"/>
      <c r="AM589" s="3038"/>
      <c r="AN589" s="3038"/>
      <c r="AO589" s="3038"/>
      <c r="AP589" s="3038"/>
      <c r="AQ589" s="3038"/>
      <c r="AR589" s="3038"/>
      <c r="AS589" s="3038"/>
      <c r="AT589" s="3038"/>
      <c r="AU589" s="3038"/>
      <c r="AV589" s="3038"/>
      <c r="AW589" s="3038"/>
      <c r="AX589" s="3038"/>
      <c r="AY589" s="3038"/>
      <c r="AZ589" s="3038"/>
      <c r="BA589" s="3038"/>
      <c r="BB589" s="3038"/>
      <c r="BC589" s="3038"/>
      <c r="BD589" s="3038"/>
      <c r="BE589" s="3038"/>
      <c r="BF589" s="3038"/>
      <c r="BG589" s="3038"/>
      <c r="BH589" s="3038"/>
      <c r="BI589" s="3038"/>
      <c r="BJ589" s="3038"/>
      <c r="BK589" s="3038"/>
      <c r="BL589" s="3038"/>
      <c r="BM589" s="3038"/>
      <c r="BN589" s="3038"/>
      <c r="BO589" s="3038"/>
      <c r="BP589" s="3038"/>
      <c r="BQ589" s="3038"/>
      <c r="BR589" s="3038"/>
      <c r="BS589" s="3038"/>
      <c r="BT589" s="3038"/>
      <c r="BU589" s="3038"/>
    </row>
    <row r="590" spans="3:73">
      <c r="C590" s="3038"/>
      <c r="D590" s="3038"/>
      <c r="E590" s="3038"/>
      <c r="H590" s="3038"/>
      <c r="I590" s="3038"/>
      <c r="J590" s="3038"/>
      <c r="K590" s="3038"/>
      <c r="M590" s="3038"/>
      <c r="N590" s="3038"/>
      <c r="O590" s="3038"/>
      <c r="P590" s="3038"/>
      <c r="Q590" s="3038"/>
      <c r="R590" s="3038"/>
      <c r="S590" s="3038"/>
      <c r="T590" s="3038"/>
      <c r="W590" s="3038"/>
      <c r="X590" s="3038"/>
      <c r="Y590" s="3038"/>
      <c r="Z590" s="3038"/>
      <c r="AA590" s="3113"/>
      <c r="AB590" s="3038"/>
      <c r="AC590" s="3038"/>
      <c r="AD590" s="3038"/>
      <c r="AE590" s="3132"/>
      <c r="AF590" s="3038"/>
      <c r="AG590" s="3038"/>
      <c r="AH590" s="3038"/>
      <c r="AK590" s="3038"/>
      <c r="AL590" s="3038"/>
      <c r="AM590" s="3038"/>
      <c r="AN590" s="3038"/>
      <c r="AO590" s="3038"/>
      <c r="AP590" s="3038"/>
      <c r="AQ590" s="3038"/>
      <c r="AR590" s="3038"/>
      <c r="AS590" s="3038"/>
      <c r="AT590" s="3038"/>
      <c r="AU590" s="3038"/>
      <c r="AV590" s="3038"/>
      <c r="AW590" s="3038"/>
      <c r="AX590" s="3038"/>
      <c r="AY590" s="3038"/>
      <c r="AZ590" s="3038"/>
      <c r="BA590" s="3038"/>
      <c r="BB590" s="3038"/>
      <c r="BC590" s="3038"/>
      <c r="BD590" s="3038"/>
      <c r="BE590" s="3038"/>
      <c r="BF590" s="3038"/>
      <c r="BG590" s="3038"/>
      <c r="BH590" s="3038"/>
      <c r="BI590" s="3038"/>
      <c r="BJ590" s="3038"/>
      <c r="BK590" s="3038"/>
      <c r="BL590" s="3038"/>
      <c r="BM590" s="3038"/>
      <c r="BN590" s="3038"/>
      <c r="BO590" s="3038"/>
      <c r="BP590" s="3038"/>
      <c r="BQ590" s="3038"/>
      <c r="BR590" s="3038"/>
      <c r="BS590" s="3038"/>
      <c r="BT590" s="3038"/>
      <c r="BU590" s="3038"/>
    </row>
    <row r="591" spans="3:73">
      <c r="C591" s="3038"/>
      <c r="D591" s="3038"/>
      <c r="E591" s="3038"/>
      <c r="H591" s="3038"/>
      <c r="I591" s="3038"/>
      <c r="J591" s="3038"/>
      <c r="K591" s="3038"/>
      <c r="M591" s="3038"/>
      <c r="N591" s="3038"/>
      <c r="O591" s="3038"/>
      <c r="P591" s="3038"/>
      <c r="Q591" s="3038"/>
      <c r="R591" s="3038"/>
      <c r="S591" s="3038"/>
      <c r="T591" s="3038"/>
      <c r="W591" s="3038"/>
      <c r="X591" s="3038"/>
      <c r="Y591" s="3038"/>
      <c r="Z591" s="3038"/>
      <c r="AA591" s="3113"/>
      <c r="AB591" s="3038"/>
      <c r="AC591" s="3038"/>
      <c r="AD591" s="3038"/>
      <c r="AE591" s="3132"/>
      <c r="AF591" s="3038"/>
      <c r="AG591" s="3038"/>
      <c r="AH591" s="3038"/>
      <c r="AK591" s="3038"/>
      <c r="AL591" s="3038"/>
      <c r="AM591" s="3038"/>
      <c r="AN591" s="3038"/>
      <c r="AO591" s="3038"/>
      <c r="AP591" s="3038"/>
      <c r="AQ591" s="3038"/>
      <c r="AR591" s="3038"/>
      <c r="AS591" s="3038"/>
      <c r="AT591" s="3038"/>
      <c r="AU591" s="3038"/>
      <c r="AV591" s="3038"/>
      <c r="AW591" s="3038"/>
      <c r="AX591" s="3038"/>
      <c r="AY591" s="3038"/>
      <c r="AZ591" s="3038"/>
      <c r="BA591" s="3038"/>
      <c r="BB591" s="3038"/>
      <c r="BC591" s="3038"/>
      <c r="BD591" s="3038"/>
      <c r="BE591" s="3038"/>
      <c r="BF591" s="3038"/>
      <c r="BG591" s="3038"/>
      <c r="BH591" s="3038"/>
      <c r="BI591" s="3038"/>
      <c r="BJ591" s="3038"/>
      <c r="BK591" s="3038"/>
      <c r="BL591" s="3038"/>
      <c r="BM591" s="3038"/>
      <c r="BN591" s="3038"/>
      <c r="BO591" s="3038"/>
      <c r="BP591" s="3038"/>
      <c r="BQ591" s="3038"/>
      <c r="BR591" s="3038"/>
      <c r="BS591" s="3038"/>
      <c r="BT591" s="3038"/>
      <c r="BU591" s="3038"/>
    </row>
    <row r="592" spans="3:73">
      <c r="C592" s="3038"/>
      <c r="D592" s="3038"/>
      <c r="E592" s="3038"/>
      <c r="H592" s="3038"/>
      <c r="I592" s="3038"/>
      <c r="J592" s="3038"/>
      <c r="K592" s="3038"/>
      <c r="M592" s="3038"/>
      <c r="N592" s="3038"/>
      <c r="O592" s="3038"/>
      <c r="P592" s="3038"/>
      <c r="Q592" s="3038"/>
      <c r="R592" s="3038"/>
      <c r="S592" s="3038"/>
      <c r="T592" s="3038"/>
      <c r="W592" s="3038"/>
      <c r="X592" s="3038"/>
      <c r="Y592" s="3038"/>
      <c r="Z592" s="3038"/>
      <c r="AA592" s="3113"/>
      <c r="AB592" s="3038"/>
      <c r="AC592" s="3038"/>
      <c r="AD592" s="3038"/>
      <c r="AE592" s="3132"/>
      <c r="AF592" s="3038"/>
      <c r="AG592" s="3038"/>
      <c r="AH592" s="3038"/>
      <c r="AK592" s="3038"/>
      <c r="AL592" s="3038"/>
      <c r="AM592" s="3038"/>
      <c r="AN592" s="3038"/>
      <c r="AO592" s="3038"/>
      <c r="AP592" s="3038"/>
      <c r="AQ592" s="3038"/>
      <c r="AR592" s="3038"/>
      <c r="AS592" s="3038"/>
      <c r="AT592" s="3038"/>
      <c r="AU592" s="3038"/>
      <c r="AV592" s="3038"/>
      <c r="AW592" s="3038"/>
      <c r="AX592" s="3038"/>
      <c r="AY592" s="3038"/>
      <c r="AZ592" s="3038"/>
      <c r="BA592" s="3038"/>
      <c r="BB592" s="3038"/>
      <c r="BC592" s="3038"/>
      <c r="BD592" s="3038"/>
      <c r="BE592" s="3038"/>
      <c r="BF592" s="3038"/>
      <c r="BG592" s="3038"/>
      <c r="BH592" s="3038"/>
      <c r="BI592" s="3038"/>
      <c r="BJ592" s="3038"/>
      <c r="BK592" s="3038"/>
      <c r="BL592" s="3038"/>
      <c r="BM592" s="3038"/>
      <c r="BN592" s="3038"/>
      <c r="BO592" s="3038"/>
      <c r="BP592" s="3038"/>
      <c r="BQ592" s="3038"/>
      <c r="BR592" s="3038"/>
      <c r="BS592" s="3038"/>
      <c r="BT592" s="3038"/>
      <c r="BU592" s="3038"/>
    </row>
    <row r="593" spans="3:73">
      <c r="C593" s="3038"/>
      <c r="D593" s="3038"/>
      <c r="E593" s="3038"/>
      <c r="H593" s="3038"/>
      <c r="I593" s="3038"/>
      <c r="J593" s="3038"/>
      <c r="K593" s="3038"/>
      <c r="M593" s="3038"/>
      <c r="N593" s="3038"/>
      <c r="O593" s="3038"/>
      <c r="P593" s="3038"/>
      <c r="Q593" s="3038"/>
      <c r="R593" s="3038"/>
      <c r="S593" s="3038"/>
      <c r="T593" s="3038"/>
      <c r="W593" s="3038"/>
      <c r="X593" s="3038"/>
      <c r="Y593" s="3038"/>
      <c r="Z593" s="3038"/>
      <c r="AA593" s="3113"/>
      <c r="AB593" s="3038"/>
      <c r="AC593" s="3038"/>
      <c r="AD593" s="3038"/>
      <c r="AE593" s="3132"/>
      <c r="AF593" s="3038"/>
      <c r="AG593" s="3038"/>
      <c r="AH593" s="3038"/>
      <c r="AK593" s="3038"/>
      <c r="AL593" s="3038"/>
      <c r="AM593" s="3038"/>
      <c r="AN593" s="3038"/>
      <c r="AO593" s="3038"/>
      <c r="AP593" s="3038"/>
      <c r="AQ593" s="3038"/>
      <c r="AR593" s="3038"/>
      <c r="AS593" s="3038"/>
      <c r="AT593" s="3038"/>
      <c r="AU593" s="3038"/>
      <c r="AV593" s="3038"/>
      <c r="AW593" s="3038"/>
      <c r="AX593" s="3038"/>
      <c r="AY593" s="3038"/>
      <c r="AZ593" s="3038"/>
      <c r="BA593" s="3038"/>
      <c r="BB593" s="3038"/>
      <c r="BC593" s="3038"/>
      <c r="BD593" s="3038"/>
      <c r="BE593" s="3038"/>
      <c r="BF593" s="3038"/>
      <c r="BG593" s="3038"/>
      <c r="BH593" s="3038"/>
      <c r="BI593" s="3038"/>
      <c r="BJ593" s="3038"/>
      <c r="BK593" s="3038"/>
      <c r="BL593" s="3038"/>
      <c r="BM593" s="3038"/>
      <c r="BN593" s="3038"/>
      <c r="BO593" s="3038"/>
      <c r="BP593" s="3038"/>
      <c r="BQ593" s="3038"/>
      <c r="BR593" s="3038"/>
      <c r="BS593" s="3038"/>
      <c r="BT593" s="3038"/>
      <c r="BU593" s="3038"/>
    </row>
    <row r="594" spans="3:73">
      <c r="C594" s="3038"/>
      <c r="D594" s="3038"/>
      <c r="E594" s="3038"/>
      <c r="H594" s="3038"/>
      <c r="I594" s="3038"/>
      <c r="J594" s="3038"/>
      <c r="K594" s="3038"/>
      <c r="M594" s="3038"/>
      <c r="N594" s="3038"/>
      <c r="O594" s="3038"/>
      <c r="P594" s="3038"/>
      <c r="Q594" s="3038"/>
      <c r="R594" s="3038"/>
      <c r="S594" s="3038"/>
      <c r="T594" s="3038"/>
      <c r="W594" s="3038"/>
      <c r="X594" s="3038"/>
      <c r="Y594" s="3038"/>
      <c r="Z594" s="3038"/>
      <c r="AA594" s="3113"/>
      <c r="AB594" s="3038"/>
      <c r="AC594" s="3038"/>
      <c r="AD594" s="3038"/>
      <c r="AE594" s="3132"/>
      <c r="AF594" s="3038"/>
      <c r="AG594" s="3038"/>
      <c r="AH594" s="3038"/>
      <c r="AK594" s="3038"/>
      <c r="AL594" s="3038"/>
      <c r="AM594" s="3038"/>
      <c r="AN594" s="3038"/>
      <c r="AO594" s="3038"/>
      <c r="AP594" s="3038"/>
      <c r="AQ594" s="3038"/>
      <c r="AR594" s="3038"/>
      <c r="AS594" s="3038"/>
      <c r="AT594" s="3038"/>
      <c r="AU594" s="3038"/>
      <c r="AV594" s="3038"/>
      <c r="AW594" s="3038"/>
      <c r="AX594" s="3038"/>
      <c r="AY594" s="3038"/>
      <c r="AZ594" s="3038"/>
      <c r="BA594" s="3038"/>
      <c r="BB594" s="3038"/>
      <c r="BC594" s="3038"/>
      <c r="BD594" s="3038"/>
      <c r="BE594" s="3038"/>
      <c r="BF594" s="3038"/>
      <c r="BG594" s="3038"/>
      <c r="BH594" s="3038"/>
      <c r="BI594" s="3038"/>
      <c r="BJ594" s="3038"/>
      <c r="BK594" s="3038"/>
      <c r="BL594" s="3038"/>
      <c r="BM594" s="3038"/>
      <c r="BN594" s="3038"/>
      <c r="BO594" s="3038"/>
      <c r="BP594" s="3038"/>
      <c r="BQ594" s="3038"/>
      <c r="BR594" s="3038"/>
      <c r="BS594" s="3038"/>
      <c r="BT594" s="3038"/>
      <c r="BU594" s="3038"/>
    </row>
    <row r="595" spans="3:73">
      <c r="C595" s="3038"/>
      <c r="D595" s="3038"/>
      <c r="E595" s="3038"/>
      <c r="H595" s="3038"/>
      <c r="I595" s="3038"/>
      <c r="J595" s="3038"/>
      <c r="K595" s="3038"/>
      <c r="M595" s="3038"/>
      <c r="N595" s="3038"/>
      <c r="O595" s="3038"/>
      <c r="P595" s="3038"/>
      <c r="Q595" s="3038"/>
      <c r="R595" s="3038"/>
      <c r="S595" s="3038"/>
      <c r="T595" s="3038"/>
      <c r="W595" s="3038"/>
      <c r="X595" s="3038"/>
      <c r="Y595" s="3038"/>
      <c r="Z595" s="3038"/>
      <c r="AA595" s="3113"/>
      <c r="AB595" s="3038"/>
      <c r="AC595" s="3038"/>
      <c r="AD595" s="3038"/>
      <c r="AE595" s="3132"/>
      <c r="AF595" s="3038"/>
      <c r="AG595" s="3038"/>
      <c r="AH595" s="3038"/>
      <c r="AK595" s="3038"/>
      <c r="AL595" s="3038"/>
      <c r="AM595" s="3038"/>
      <c r="AN595" s="3038"/>
      <c r="AO595" s="3038"/>
      <c r="AP595" s="3038"/>
      <c r="AQ595" s="3038"/>
      <c r="AR595" s="3038"/>
      <c r="AS595" s="3038"/>
      <c r="AT595" s="3038"/>
      <c r="AU595" s="3038"/>
      <c r="AV595" s="3038"/>
      <c r="AW595" s="3038"/>
      <c r="AX595" s="3038"/>
      <c r="AY595" s="3038"/>
      <c r="AZ595" s="3038"/>
      <c r="BA595" s="3038"/>
      <c r="BB595" s="3038"/>
      <c r="BC595" s="3038"/>
      <c r="BD595" s="3038"/>
      <c r="BE595" s="3038"/>
      <c r="BF595" s="3038"/>
      <c r="BG595" s="3038"/>
      <c r="BH595" s="3038"/>
      <c r="BI595" s="3038"/>
      <c r="BJ595" s="3038"/>
      <c r="BK595" s="3038"/>
      <c r="BL595" s="3038"/>
      <c r="BM595" s="3038"/>
      <c r="BN595" s="3038"/>
      <c r="BO595" s="3038"/>
      <c r="BP595" s="3038"/>
      <c r="BQ595" s="3038"/>
      <c r="BR595" s="3038"/>
      <c r="BS595" s="3038"/>
      <c r="BT595" s="3038"/>
      <c r="BU595" s="3038"/>
    </row>
    <row r="596" spans="3:73">
      <c r="C596" s="3038"/>
      <c r="D596" s="3038"/>
      <c r="E596" s="3038"/>
      <c r="H596" s="3038"/>
      <c r="I596" s="3038"/>
      <c r="J596" s="3038"/>
      <c r="K596" s="3038"/>
      <c r="M596" s="3038"/>
      <c r="N596" s="3038"/>
      <c r="O596" s="3038"/>
      <c r="P596" s="3038"/>
      <c r="Q596" s="3038"/>
      <c r="R596" s="3038"/>
      <c r="S596" s="3038"/>
      <c r="T596" s="3038"/>
      <c r="W596" s="3038"/>
      <c r="X596" s="3038"/>
      <c r="Y596" s="3038"/>
      <c r="Z596" s="3038"/>
      <c r="AA596" s="3113"/>
      <c r="AB596" s="3038"/>
      <c r="AC596" s="3038"/>
      <c r="AD596" s="3038"/>
      <c r="AE596" s="3132"/>
      <c r="AF596" s="3038"/>
      <c r="AG596" s="3038"/>
      <c r="AH596" s="3038"/>
      <c r="AK596" s="3038"/>
      <c r="AL596" s="3038"/>
      <c r="AM596" s="3038"/>
      <c r="AN596" s="3038"/>
      <c r="AO596" s="3038"/>
      <c r="AP596" s="3038"/>
      <c r="AQ596" s="3038"/>
      <c r="AR596" s="3038"/>
      <c r="AS596" s="3038"/>
      <c r="AT596" s="3038"/>
      <c r="AU596" s="3038"/>
      <c r="AV596" s="3038"/>
      <c r="AW596" s="3038"/>
      <c r="AX596" s="3038"/>
      <c r="AY596" s="3038"/>
      <c r="AZ596" s="3038"/>
      <c r="BA596" s="3038"/>
      <c r="BB596" s="3038"/>
      <c r="BC596" s="3038"/>
      <c r="BD596" s="3038"/>
      <c r="BE596" s="3038"/>
      <c r="BF596" s="3038"/>
      <c r="BG596" s="3038"/>
      <c r="BH596" s="3038"/>
      <c r="BI596" s="3038"/>
      <c r="BJ596" s="3038"/>
      <c r="BK596" s="3038"/>
      <c r="BL596" s="3038"/>
      <c r="BM596" s="3038"/>
      <c r="BN596" s="3038"/>
      <c r="BO596" s="3038"/>
      <c r="BP596" s="3038"/>
      <c r="BQ596" s="3038"/>
      <c r="BR596" s="3038"/>
      <c r="BS596" s="3038"/>
      <c r="BT596" s="3038"/>
      <c r="BU596" s="3038"/>
    </row>
    <row r="597" spans="3:73">
      <c r="C597" s="3038"/>
      <c r="D597" s="3038"/>
      <c r="E597" s="3038"/>
      <c r="H597" s="3038"/>
      <c r="I597" s="3038"/>
      <c r="J597" s="3038"/>
      <c r="K597" s="3038"/>
      <c r="M597" s="3038"/>
      <c r="N597" s="3038"/>
      <c r="O597" s="3038"/>
      <c r="P597" s="3038"/>
      <c r="Q597" s="3038"/>
      <c r="R597" s="3038"/>
      <c r="S597" s="3038"/>
      <c r="T597" s="3038"/>
      <c r="W597" s="3038"/>
      <c r="X597" s="3038"/>
      <c r="Y597" s="3038"/>
      <c r="Z597" s="3038"/>
      <c r="AA597" s="3113"/>
      <c r="AB597" s="3038"/>
      <c r="AC597" s="3038"/>
      <c r="AD597" s="3038"/>
      <c r="AE597" s="3132"/>
      <c r="AF597" s="3038"/>
      <c r="AG597" s="3038"/>
      <c r="AH597" s="3038"/>
      <c r="AK597" s="3038"/>
      <c r="AL597" s="3038"/>
      <c r="AM597" s="3038"/>
      <c r="AN597" s="3038"/>
      <c r="AO597" s="3038"/>
      <c r="AP597" s="3038"/>
      <c r="AQ597" s="3038"/>
      <c r="AR597" s="3038"/>
      <c r="AS597" s="3038"/>
      <c r="AT597" s="3038"/>
      <c r="AU597" s="3038"/>
      <c r="AV597" s="3038"/>
      <c r="AW597" s="3038"/>
      <c r="AX597" s="3038"/>
      <c r="AY597" s="3038"/>
      <c r="AZ597" s="3038"/>
      <c r="BA597" s="3038"/>
      <c r="BB597" s="3038"/>
      <c r="BC597" s="3038"/>
      <c r="BD597" s="3038"/>
      <c r="BE597" s="3038"/>
      <c r="BF597" s="3038"/>
      <c r="BG597" s="3038"/>
      <c r="BH597" s="3038"/>
      <c r="BI597" s="3038"/>
      <c r="BJ597" s="3038"/>
      <c r="BK597" s="3038"/>
      <c r="BL597" s="3038"/>
      <c r="BM597" s="3038"/>
      <c r="BN597" s="3038"/>
      <c r="BO597" s="3038"/>
      <c r="BP597" s="3038"/>
      <c r="BQ597" s="3038"/>
      <c r="BR597" s="3038"/>
      <c r="BS597" s="3038"/>
      <c r="BT597" s="3038"/>
      <c r="BU597" s="3038"/>
    </row>
    <row r="598" spans="3:73">
      <c r="C598" s="3038"/>
      <c r="D598" s="3038"/>
      <c r="E598" s="3038"/>
      <c r="H598" s="3038"/>
      <c r="I598" s="3038"/>
      <c r="J598" s="3038"/>
      <c r="K598" s="3038"/>
      <c r="M598" s="3038"/>
      <c r="N598" s="3038"/>
      <c r="O598" s="3038"/>
      <c r="P598" s="3038"/>
      <c r="Q598" s="3038"/>
      <c r="R598" s="3038"/>
      <c r="S598" s="3038"/>
      <c r="T598" s="3038"/>
      <c r="W598" s="3038"/>
      <c r="X598" s="3038"/>
      <c r="Y598" s="3038"/>
      <c r="Z598" s="3038"/>
      <c r="AA598" s="3113"/>
      <c r="AB598" s="3038"/>
      <c r="AC598" s="3038"/>
      <c r="AD598" s="3038"/>
      <c r="AE598" s="3132"/>
      <c r="AF598" s="3038"/>
      <c r="AG598" s="3038"/>
      <c r="AH598" s="3038"/>
      <c r="AK598" s="3038"/>
      <c r="AL598" s="3038"/>
      <c r="AM598" s="3038"/>
      <c r="AN598" s="3038"/>
      <c r="AO598" s="3038"/>
      <c r="AP598" s="3038"/>
      <c r="AQ598" s="3038"/>
      <c r="AR598" s="3038"/>
      <c r="AS598" s="3038"/>
      <c r="AT598" s="3038"/>
      <c r="AU598" s="3038"/>
      <c r="AV598" s="3038"/>
      <c r="AW598" s="3038"/>
      <c r="AX598" s="3038"/>
      <c r="AY598" s="3038"/>
      <c r="AZ598" s="3038"/>
      <c r="BA598" s="3038"/>
      <c r="BB598" s="3038"/>
      <c r="BC598" s="3038"/>
      <c r="BD598" s="3038"/>
      <c r="BE598" s="3038"/>
      <c r="BF598" s="3038"/>
      <c r="BG598" s="3038"/>
      <c r="BH598" s="3038"/>
      <c r="BI598" s="3038"/>
      <c r="BJ598" s="3038"/>
      <c r="BK598" s="3038"/>
      <c r="BL598" s="3038"/>
      <c r="BM598" s="3038"/>
      <c r="BN598" s="3038"/>
      <c r="BO598" s="3038"/>
      <c r="BP598" s="3038"/>
      <c r="BQ598" s="3038"/>
      <c r="BR598" s="3038"/>
      <c r="BS598" s="3038"/>
      <c r="BT598" s="3038"/>
      <c r="BU598" s="3038"/>
    </row>
    <row r="599" spans="3:73">
      <c r="C599" s="3038"/>
      <c r="D599" s="3038"/>
      <c r="E599" s="3038"/>
      <c r="H599" s="3038"/>
      <c r="I599" s="3038"/>
      <c r="J599" s="3038"/>
      <c r="K599" s="3038"/>
      <c r="M599" s="3038"/>
      <c r="N599" s="3038"/>
      <c r="O599" s="3038"/>
      <c r="P599" s="3038"/>
      <c r="Q599" s="3038"/>
      <c r="R599" s="3038"/>
      <c r="S599" s="3038"/>
      <c r="T599" s="3038"/>
      <c r="W599" s="3038"/>
      <c r="X599" s="3038"/>
      <c r="Y599" s="3038"/>
      <c r="Z599" s="3038"/>
      <c r="AA599" s="3113"/>
      <c r="AB599" s="3038"/>
      <c r="AC599" s="3038"/>
      <c r="AD599" s="3038"/>
      <c r="AE599" s="3132"/>
      <c r="AF599" s="3038"/>
      <c r="AG599" s="3038"/>
      <c r="AH599" s="3038"/>
      <c r="AK599" s="3038"/>
      <c r="AL599" s="3038"/>
      <c r="AM599" s="3038"/>
      <c r="AN599" s="3038"/>
      <c r="AO599" s="3038"/>
      <c r="AP599" s="3038"/>
      <c r="AQ599" s="3038"/>
      <c r="AR599" s="3038"/>
      <c r="AS599" s="3038"/>
      <c r="AT599" s="3038"/>
      <c r="AU599" s="3038"/>
      <c r="AV599" s="3038"/>
      <c r="AW599" s="3038"/>
      <c r="AX599" s="3038"/>
      <c r="AY599" s="3038"/>
      <c r="AZ599" s="3038"/>
      <c r="BA599" s="3038"/>
      <c r="BB599" s="3038"/>
      <c r="BC599" s="3038"/>
      <c r="BD599" s="3038"/>
      <c r="BE599" s="3038"/>
      <c r="BF599" s="3038"/>
      <c r="BG599" s="3038"/>
      <c r="BH599" s="3038"/>
      <c r="BI599" s="3038"/>
      <c r="BJ599" s="3038"/>
      <c r="BK599" s="3038"/>
      <c r="BL599" s="3038"/>
      <c r="BM599" s="3038"/>
      <c r="BN599" s="3038"/>
      <c r="BO599" s="3038"/>
      <c r="BP599" s="3038"/>
      <c r="BQ599" s="3038"/>
      <c r="BR599" s="3038"/>
      <c r="BS599" s="3038"/>
      <c r="BT599" s="3038"/>
      <c r="BU599" s="3038"/>
    </row>
    <row r="600" spans="3:73">
      <c r="C600" s="3038"/>
      <c r="D600" s="3038"/>
      <c r="E600" s="3038"/>
      <c r="H600" s="3038"/>
      <c r="I600" s="3038"/>
      <c r="J600" s="3038"/>
      <c r="K600" s="3038"/>
      <c r="M600" s="3038"/>
      <c r="N600" s="3038"/>
      <c r="O600" s="3038"/>
      <c r="P600" s="3038"/>
      <c r="Q600" s="3038"/>
      <c r="R600" s="3038"/>
      <c r="S600" s="3038"/>
      <c r="T600" s="3038"/>
      <c r="W600" s="3038"/>
      <c r="X600" s="3038"/>
      <c r="Y600" s="3038"/>
      <c r="Z600" s="3038"/>
      <c r="AA600" s="3113"/>
      <c r="AB600" s="3038"/>
      <c r="AC600" s="3038"/>
      <c r="AD600" s="3038"/>
      <c r="AE600" s="3132"/>
      <c r="AF600" s="3038"/>
      <c r="AG600" s="3038"/>
      <c r="AH600" s="3038"/>
      <c r="AK600" s="3038"/>
      <c r="AL600" s="3038"/>
      <c r="AM600" s="3038"/>
      <c r="AN600" s="3038"/>
      <c r="AO600" s="3038"/>
      <c r="AP600" s="3038"/>
      <c r="AQ600" s="3038"/>
      <c r="AR600" s="3038"/>
      <c r="AS600" s="3038"/>
      <c r="AT600" s="3038"/>
      <c r="AU600" s="3038"/>
      <c r="AV600" s="3038"/>
      <c r="AW600" s="3038"/>
      <c r="AX600" s="3038"/>
      <c r="AY600" s="3038"/>
      <c r="AZ600" s="3038"/>
      <c r="BA600" s="3038"/>
      <c r="BB600" s="3038"/>
      <c r="BC600" s="3038"/>
      <c r="BD600" s="3038"/>
      <c r="BE600" s="3038"/>
      <c r="BF600" s="3038"/>
      <c r="BG600" s="3038"/>
      <c r="BH600" s="3038"/>
      <c r="BI600" s="3038"/>
      <c r="BJ600" s="3038"/>
      <c r="BK600" s="3038"/>
      <c r="BL600" s="3038"/>
      <c r="BM600" s="3038"/>
      <c r="BN600" s="3038"/>
      <c r="BO600" s="3038"/>
      <c r="BP600" s="3038"/>
      <c r="BQ600" s="3038"/>
      <c r="BR600" s="3038"/>
      <c r="BS600" s="3038"/>
      <c r="BT600" s="3038"/>
      <c r="BU600" s="3038"/>
    </row>
    <row r="601" spans="3:73">
      <c r="C601" s="3038"/>
      <c r="D601" s="3038"/>
      <c r="E601" s="3038"/>
      <c r="H601" s="3038"/>
      <c r="I601" s="3038"/>
      <c r="J601" s="3038"/>
      <c r="K601" s="3038"/>
      <c r="M601" s="3038"/>
      <c r="N601" s="3038"/>
      <c r="O601" s="3038"/>
      <c r="P601" s="3038"/>
      <c r="Q601" s="3038"/>
      <c r="R601" s="3038"/>
      <c r="S601" s="3038"/>
      <c r="T601" s="3038"/>
      <c r="W601" s="3038"/>
      <c r="X601" s="3038"/>
      <c r="Y601" s="3038"/>
      <c r="Z601" s="3038"/>
      <c r="AA601" s="3113"/>
      <c r="AB601" s="3038"/>
      <c r="AC601" s="3038"/>
      <c r="AD601" s="3038"/>
      <c r="AE601" s="3132"/>
      <c r="AF601" s="3038"/>
      <c r="AG601" s="3038"/>
      <c r="AH601" s="3038"/>
      <c r="AK601" s="3038"/>
      <c r="AL601" s="3038"/>
      <c r="AM601" s="3038"/>
      <c r="AN601" s="3038"/>
      <c r="AO601" s="3038"/>
      <c r="AP601" s="3038"/>
      <c r="AQ601" s="3038"/>
      <c r="AR601" s="3038"/>
      <c r="AS601" s="3038"/>
      <c r="AT601" s="3038"/>
      <c r="AU601" s="3038"/>
      <c r="AV601" s="3038"/>
      <c r="AW601" s="3038"/>
      <c r="AX601" s="3038"/>
      <c r="AY601" s="3038"/>
      <c r="AZ601" s="3038"/>
      <c r="BA601" s="3038"/>
      <c r="BB601" s="3038"/>
      <c r="BC601" s="3038"/>
      <c r="BD601" s="3038"/>
      <c r="BE601" s="3038"/>
      <c r="BF601" s="3038"/>
      <c r="BG601" s="3038"/>
      <c r="BH601" s="3038"/>
      <c r="BI601" s="3038"/>
      <c r="BJ601" s="3038"/>
      <c r="BK601" s="3038"/>
      <c r="BL601" s="3038"/>
      <c r="BM601" s="3038"/>
      <c r="BN601" s="3038"/>
      <c r="BO601" s="3038"/>
      <c r="BP601" s="3038"/>
      <c r="BQ601" s="3038"/>
      <c r="BR601" s="3038"/>
      <c r="BS601" s="3038"/>
      <c r="BT601" s="3038"/>
      <c r="BU601" s="3038"/>
    </row>
    <row r="602" spans="3:73">
      <c r="C602" s="3038"/>
      <c r="D602" s="3038"/>
      <c r="E602" s="3038"/>
      <c r="H602" s="3038"/>
      <c r="I602" s="3038"/>
      <c r="J602" s="3038"/>
      <c r="K602" s="3038"/>
      <c r="M602" s="3038"/>
      <c r="N602" s="3038"/>
      <c r="O602" s="3038"/>
      <c r="P602" s="3038"/>
      <c r="Q602" s="3038"/>
      <c r="R602" s="3038"/>
      <c r="S602" s="3038"/>
      <c r="T602" s="3038"/>
      <c r="W602" s="3038"/>
      <c r="X602" s="3038"/>
      <c r="Y602" s="3038"/>
      <c r="Z602" s="3038"/>
      <c r="AA602" s="3113"/>
      <c r="AB602" s="3038"/>
      <c r="AC602" s="3038"/>
      <c r="AD602" s="3038"/>
      <c r="AE602" s="3132"/>
      <c r="AF602" s="3038"/>
      <c r="AG602" s="3038"/>
      <c r="AH602" s="3038"/>
      <c r="AK602" s="3038"/>
      <c r="AL602" s="3038"/>
      <c r="AM602" s="3038"/>
      <c r="AN602" s="3038"/>
      <c r="AO602" s="3038"/>
      <c r="AP602" s="3038"/>
      <c r="AQ602" s="3038"/>
      <c r="AR602" s="3038"/>
      <c r="AS602" s="3038"/>
      <c r="AT602" s="3038"/>
      <c r="AU602" s="3038"/>
      <c r="AV602" s="3038"/>
      <c r="AW602" s="3038"/>
      <c r="AX602" s="3038"/>
      <c r="AY602" s="3038"/>
      <c r="AZ602" s="3038"/>
      <c r="BA602" s="3038"/>
      <c r="BB602" s="3038"/>
      <c r="BC602" s="3038"/>
      <c r="BD602" s="3038"/>
      <c r="BE602" s="3038"/>
      <c r="BF602" s="3038"/>
      <c r="BG602" s="3038"/>
      <c r="BH602" s="3038"/>
      <c r="BI602" s="3038"/>
      <c r="BJ602" s="3038"/>
      <c r="BK602" s="3038"/>
      <c r="BL602" s="3038"/>
      <c r="BM602" s="3038"/>
      <c r="BN602" s="3038"/>
      <c r="BO602" s="3038"/>
      <c r="BP602" s="3038"/>
      <c r="BQ602" s="3038"/>
      <c r="BR602" s="3038"/>
      <c r="BS602" s="3038"/>
      <c r="BT602" s="3038"/>
      <c r="BU602" s="3038"/>
    </row>
    <row r="603" spans="3:73">
      <c r="C603" s="3038"/>
      <c r="D603" s="3038"/>
      <c r="E603" s="3038"/>
      <c r="H603" s="3038"/>
      <c r="I603" s="3038"/>
      <c r="J603" s="3038"/>
      <c r="K603" s="3038"/>
      <c r="M603" s="3038"/>
      <c r="N603" s="3038"/>
      <c r="O603" s="3038"/>
      <c r="P603" s="3038"/>
      <c r="Q603" s="3038"/>
      <c r="R603" s="3038"/>
      <c r="S603" s="3038"/>
      <c r="T603" s="3038"/>
      <c r="W603" s="3038"/>
      <c r="X603" s="3038"/>
      <c r="Y603" s="3038"/>
      <c r="Z603" s="3038"/>
      <c r="AA603" s="3113"/>
      <c r="AB603" s="3038"/>
      <c r="AC603" s="3038"/>
      <c r="AD603" s="3038"/>
      <c r="AE603" s="3132"/>
      <c r="AF603" s="3038"/>
      <c r="AG603" s="3038"/>
      <c r="AH603" s="3038"/>
      <c r="AK603" s="3038"/>
      <c r="AL603" s="3038"/>
      <c r="AM603" s="3038"/>
      <c r="AN603" s="3038"/>
      <c r="AO603" s="3038"/>
      <c r="AP603" s="3038"/>
      <c r="AQ603" s="3038"/>
      <c r="AR603" s="3038"/>
      <c r="AS603" s="3038"/>
      <c r="AT603" s="3038"/>
      <c r="AU603" s="3038"/>
      <c r="AV603" s="3038"/>
      <c r="AW603" s="3038"/>
      <c r="AX603" s="3038"/>
      <c r="AY603" s="3038"/>
      <c r="AZ603" s="3038"/>
      <c r="BA603" s="3038"/>
      <c r="BB603" s="3038"/>
      <c r="BC603" s="3038"/>
      <c r="BD603" s="3038"/>
      <c r="BE603" s="3038"/>
      <c r="BF603" s="3038"/>
      <c r="BG603" s="3038"/>
      <c r="BH603" s="3038"/>
      <c r="BI603" s="3038"/>
      <c r="BJ603" s="3038"/>
      <c r="BK603" s="3038"/>
      <c r="BL603" s="3038"/>
      <c r="BM603" s="3038"/>
      <c r="BN603" s="3038"/>
      <c r="BO603" s="3038"/>
      <c r="BP603" s="3038"/>
      <c r="BQ603" s="3038"/>
      <c r="BR603" s="3038"/>
      <c r="BS603" s="3038"/>
      <c r="BT603" s="3038"/>
      <c r="BU603" s="3038"/>
    </row>
    <row r="604" spans="3:73">
      <c r="C604" s="3038"/>
      <c r="D604" s="3038"/>
      <c r="E604" s="3038"/>
      <c r="H604" s="3038"/>
      <c r="I604" s="3038"/>
      <c r="J604" s="3038"/>
      <c r="K604" s="3038"/>
      <c r="M604" s="3038"/>
      <c r="N604" s="3038"/>
      <c r="O604" s="3038"/>
      <c r="P604" s="3038"/>
      <c r="Q604" s="3038"/>
      <c r="R604" s="3038"/>
      <c r="S604" s="3038"/>
      <c r="T604" s="3038"/>
      <c r="W604" s="3038"/>
      <c r="X604" s="3038"/>
      <c r="Y604" s="3038"/>
      <c r="Z604" s="3038"/>
      <c r="AA604" s="3113"/>
      <c r="AB604" s="3038"/>
      <c r="AC604" s="3038"/>
      <c r="AD604" s="3038"/>
      <c r="AE604" s="3132"/>
      <c r="AF604" s="3038"/>
      <c r="AG604" s="3038"/>
      <c r="AH604" s="3038"/>
      <c r="AK604" s="3038"/>
      <c r="AL604" s="3038"/>
      <c r="AM604" s="3038"/>
      <c r="AN604" s="3038"/>
      <c r="AO604" s="3038"/>
      <c r="AP604" s="3038"/>
      <c r="AQ604" s="3038"/>
      <c r="AR604" s="3038"/>
      <c r="AS604" s="3038"/>
      <c r="AT604" s="3038"/>
      <c r="AU604" s="3038"/>
      <c r="AV604" s="3038"/>
      <c r="AW604" s="3038"/>
      <c r="AX604" s="3038"/>
      <c r="AY604" s="3038"/>
      <c r="AZ604" s="3038"/>
      <c r="BA604" s="3038"/>
      <c r="BB604" s="3038"/>
      <c r="BC604" s="3038"/>
      <c r="BD604" s="3038"/>
      <c r="BE604" s="3038"/>
      <c r="BF604" s="3038"/>
      <c r="BG604" s="3038"/>
      <c r="BH604" s="3038"/>
      <c r="BI604" s="3038"/>
      <c r="BJ604" s="3038"/>
      <c r="BK604" s="3038"/>
      <c r="BL604" s="3038"/>
      <c r="BM604" s="3038"/>
      <c r="BN604" s="3038"/>
      <c r="BO604" s="3038"/>
      <c r="BP604" s="3038"/>
      <c r="BQ604" s="3038"/>
      <c r="BR604" s="3038"/>
      <c r="BS604" s="3038"/>
      <c r="BT604" s="3038"/>
      <c r="BU604" s="3038"/>
    </row>
    <row r="605" spans="3:73">
      <c r="C605" s="3038"/>
      <c r="D605" s="3038"/>
      <c r="E605" s="3038"/>
      <c r="H605" s="3038"/>
      <c r="I605" s="3038"/>
      <c r="J605" s="3038"/>
      <c r="K605" s="3038"/>
      <c r="M605" s="3038"/>
      <c r="N605" s="3038"/>
      <c r="O605" s="3038"/>
      <c r="P605" s="3038"/>
      <c r="Q605" s="3038"/>
      <c r="R605" s="3038"/>
      <c r="S605" s="3038"/>
      <c r="T605" s="3038"/>
      <c r="W605" s="3038"/>
      <c r="X605" s="3038"/>
      <c r="Y605" s="3038"/>
      <c r="Z605" s="3038"/>
      <c r="AA605" s="3113"/>
      <c r="AB605" s="3038"/>
      <c r="AC605" s="3038"/>
      <c r="AD605" s="3038"/>
      <c r="AE605" s="3132"/>
      <c r="AF605" s="3038"/>
      <c r="AG605" s="3038"/>
      <c r="AH605" s="3038"/>
      <c r="AK605" s="3038"/>
      <c r="AL605" s="3038"/>
      <c r="AM605" s="3038"/>
      <c r="AN605" s="3038"/>
      <c r="AO605" s="3038"/>
      <c r="AP605" s="3038"/>
      <c r="AQ605" s="3038"/>
      <c r="AR605" s="3038"/>
      <c r="AS605" s="3038"/>
      <c r="AT605" s="3038"/>
      <c r="AU605" s="3038"/>
      <c r="AV605" s="3038"/>
      <c r="AW605" s="3038"/>
      <c r="AX605" s="3038"/>
      <c r="AY605" s="3038"/>
      <c r="AZ605" s="3038"/>
      <c r="BA605" s="3038"/>
      <c r="BB605" s="3038"/>
      <c r="BC605" s="3038"/>
      <c r="BD605" s="3038"/>
      <c r="BE605" s="3038"/>
      <c r="BF605" s="3038"/>
      <c r="BG605" s="3038"/>
      <c r="BH605" s="3038"/>
      <c r="BI605" s="3038"/>
      <c r="BJ605" s="3038"/>
      <c r="BK605" s="3038"/>
      <c r="BL605" s="3038"/>
      <c r="BM605" s="3038"/>
      <c r="BN605" s="3038"/>
      <c r="BO605" s="3038"/>
      <c r="BP605" s="3038"/>
      <c r="BQ605" s="3038"/>
      <c r="BR605" s="3038"/>
      <c r="BS605" s="3038"/>
      <c r="BT605" s="3038"/>
      <c r="BU605" s="3038"/>
    </row>
    <row r="606" spans="3:73">
      <c r="C606" s="3038"/>
      <c r="D606" s="3038"/>
      <c r="E606" s="3038"/>
      <c r="H606" s="3038"/>
      <c r="I606" s="3038"/>
      <c r="J606" s="3038"/>
      <c r="K606" s="3038"/>
      <c r="M606" s="3038"/>
      <c r="N606" s="3038"/>
      <c r="O606" s="3038"/>
      <c r="P606" s="3038"/>
      <c r="Q606" s="3038"/>
      <c r="R606" s="3038"/>
      <c r="S606" s="3038"/>
      <c r="T606" s="3038"/>
      <c r="W606" s="3038"/>
      <c r="X606" s="3038"/>
      <c r="Y606" s="3038"/>
      <c r="Z606" s="3038"/>
      <c r="AA606" s="3113"/>
      <c r="AB606" s="3038"/>
      <c r="AC606" s="3038"/>
      <c r="AD606" s="3038"/>
      <c r="AE606" s="3132"/>
      <c r="AF606" s="3038"/>
      <c r="AG606" s="3038"/>
      <c r="AH606" s="3038"/>
      <c r="AK606" s="3038"/>
      <c r="AL606" s="3038"/>
      <c r="AM606" s="3038"/>
      <c r="AN606" s="3038"/>
      <c r="AO606" s="3038"/>
      <c r="AP606" s="3038"/>
      <c r="AQ606" s="3038"/>
      <c r="AR606" s="3038"/>
      <c r="AS606" s="3038"/>
      <c r="AT606" s="3038"/>
      <c r="AU606" s="3038"/>
      <c r="AV606" s="3038"/>
      <c r="AW606" s="3038"/>
      <c r="AX606" s="3038"/>
      <c r="AY606" s="3038"/>
      <c r="AZ606" s="3038"/>
      <c r="BA606" s="3038"/>
      <c r="BB606" s="3038"/>
      <c r="BC606" s="3038"/>
      <c r="BD606" s="3038"/>
      <c r="BE606" s="3038"/>
      <c r="BF606" s="3038"/>
      <c r="BG606" s="3038"/>
      <c r="BH606" s="3038"/>
      <c r="BI606" s="3038"/>
      <c r="BJ606" s="3038"/>
      <c r="BK606" s="3038"/>
      <c r="BL606" s="3038"/>
      <c r="BM606" s="3038"/>
      <c r="BN606" s="3038"/>
      <c r="BO606" s="3038"/>
      <c r="BP606" s="3038"/>
      <c r="BQ606" s="3038"/>
      <c r="BR606" s="3038"/>
      <c r="BS606" s="3038"/>
      <c r="BT606" s="3038"/>
      <c r="BU606" s="3038"/>
    </row>
    <row r="607" spans="3:73">
      <c r="C607" s="3038"/>
      <c r="D607" s="3038"/>
      <c r="E607" s="3038"/>
      <c r="H607" s="3038"/>
      <c r="I607" s="3038"/>
      <c r="J607" s="3038"/>
      <c r="K607" s="3038"/>
      <c r="M607" s="3038"/>
      <c r="N607" s="3038"/>
      <c r="O607" s="3038"/>
      <c r="P607" s="3038"/>
      <c r="Q607" s="3038"/>
      <c r="R607" s="3038"/>
      <c r="S607" s="3038"/>
      <c r="T607" s="3038"/>
      <c r="W607" s="3038"/>
      <c r="X607" s="3038"/>
      <c r="Y607" s="3038"/>
      <c r="Z607" s="3038"/>
      <c r="AA607" s="3113"/>
      <c r="AB607" s="3038"/>
      <c r="AC607" s="3038"/>
      <c r="AD607" s="3038"/>
      <c r="AE607" s="3132"/>
      <c r="AF607" s="3038"/>
      <c r="AG607" s="3038"/>
      <c r="AH607" s="3038"/>
      <c r="AK607" s="3038"/>
      <c r="AL607" s="3038"/>
      <c r="AM607" s="3038"/>
      <c r="AN607" s="3038"/>
      <c r="AO607" s="3038"/>
      <c r="AP607" s="3038"/>
      <c r="AQ607" s="3038"/>
      <c r="AR607" s="3038"/>
      <c r="AS607" s="3038"/>
      <c r="AT607" s="3038"/>
      <c r="AU607" s="3038"/>
      <c r="AV607" s="3038"/>
      <c r="AW607" s="3038"/>
      <c r="AX607" s="3038"/>
      <c r="AY607" s="3038"/>
      <c r="AZ607" s="3038"/>
      <c r="BA607" s="3038"/>
      <c r="BB607" s="3038"/>
      <c r="BC607" s="3038"/>
      <c r="BD607" s="3038"/>
      <c r="BE607" s="3038"/>
      <c r="BF607" s="3038"/>
      <c r="BG607" s="3038"/>
      <c r="BH607" s="3038"/>
      <c r="BI607" s="3038"/>
      <c r="BJ607" s="3038"/>
      <c r="BK607" s="3038"/>
      <c r="BL607" s="3038"/>
      <c r="BM607" s="3038"/>
      <c r="BN607" s="3038"/>
      <c r="BO607" s="3038"/>
      <c r="BP607" s="3038"/>
      <c r="BQ607" s="3038"/>
      <c r="BR607" s="3038"/>
      <c r="BS607" s="3038"/>
      <c r="BT607" s="3038"/>
      <c r="BU607" s="3038"/>
    </row>
    <row r="608" spans="3:73">
      <c r="C608" s="3038"/>
      <c r="D608" s="3038"/>
      <c r="E608" s="3038"/>
      <c r="H608" s="3038"/>
      <c r="I608" s="3038"/>
      <c r="J608" s="3038"/>
      <c r="K608" s="3038"/>
      <c r="M608" s="3038"/>
      <c r="N608" s="3038"/>
      <c r="O608" s="3038"/>
      <c r="P608" s="3038"/>
      <c r="Q608" s="3038"/>
      <c r="R608" s="3038"/>
      <c r="S608" s="3038"/>
      <c r="T608" s="3038"/>
      <c r="W608" s="3038"/>
      <c r="X608" s="3038"/>
      <c r="Y608" s="3038"/>
      <c r="Z608" s="3038"/>
      <c r="AA608" s="3113"/>
      <c r="AB608" s="3038"/>
      <c r="AC608" s="3038"/>
      <c r="AD608" s="3038"/>
      <c r="AE608" s="3132"/>
      <c r="AF608" s="3038"/>
      <c r="AG608" s="3038"/>
      <c r="AH608" s="3038"/>
      <c r="AK608" s="3038"/>
      <c r="AL608" s="3038"/>
      <c r="AM608" s="3038"/>
      <c r="AN608" s="3038"/>
      <c r="AO608" s="3038"/>
      <c r="AP608" s="3038"/>
      <c r="AQ608" s="3038"/>
      <c r="AR608" s="3038"/>
      <c r="AS608" s="3038"/>
      <c r="AT608" s="3038"/>
      <c r="AU608" s="3038"/>
      <c r="AV608" s="3038"/>
      <c r="AW608" s="3038"/>
      <c r="AX608" s="3038"/>
      <c r="AY608" s="3038"/>
      <c r="AZ608" s="3038"/>
      <c r="BA608" s="3038"/>
      <c r="BB608" s="3038"/>
      <c r="BC608" s="3038"/>
      <c r="BD608" s="3038"/>
      <c r="BE608" s="3038"/>
      <c r="BF608" s="3038"/>
      <c r="BG608" s="3038"/>
      <c r="BH608" s="3038"/>
      <c r="BI608" s="3038"/>
      <c r="BJ608" s="3038"/>
      <c r="BK608" s="3038"/>
      <c r="BL608" s="3038"/>
      <c r="BM608" s="3038"/>
      <c r="BN608" s="3038"/>
      <c r="BO608" s="3038"/>
      <c r="BP608" s="3038"/>
      <c r="BQ608" s="3038"/>
      <c r="BR608" s="3038"/>
      <c r="BS608" s="3038"/>
      <c r="BT608" s="3038"/>
      <c r="BU608" s="3038"/>
    </row>
    <row r="609" spans="3:73">
      <c r="C609" s="3038"/>
      <c r="D609" s="3038"/>
      <c r="E609" s="3038"/>
      <c r="H609" s="3038"/>
      <c r="I609" s="3038"/>
      <c r="J609" s="3038"/>
      <c r="K609" s="3038"/>
      <c r="M609" s="3038"/>
      <c r="N609" s="3038"/>
      <c r="O609" s="3038"/>
      <c r="P609" s="3038"/>
      <c r="Q609" s="3038"/>
      <c r="R609" s="3038"/>
      <c r="S609" s="3038"/>
      <c r="T609" s="3038"/>
      <c r="W609" s="3038"/>
      <c r="X609" s="3038"/>
      <c r="Y609" s="3038"/>
      <c r="Z609" s="3038"/>
      <c r="AA609" s="3113"/>
      <c r="AB609" s="3038"/>
      <c r="AC609" s="3038"/>
      <c r="AD609" s="3038"/>
      <c r="AE609" s="3132"/>
      <c r="AF609" s="3038"/>
      <c r="AG609" s="3038"/>
      <c r="AH609" s="3038"/>
      <c r="AK609" s="3038"/>
      <c r="AL609" s="3038"/>
      <c r="AM609" s="3038"/>
      <c r="AN609" s="3038"/>
      <c r="AO609" s="3038"/>
      <c r="AP609" s="3038"/>
      <c r="AQ609" s="3038"/>
      <c r="AR609" s="3038"/>
      <c r="AS609" s="3038"/>
      <c r="AT609" s="3038"/>
      <c r="AU609" s="3038"/>
      <c r="AV609" s="3038"/>
      <c r="AW609" s="3038"/>
      <c r="AX609" s="3038"/>
      <c r="AY609" s="3038"/>
      <c r="AZ609" s="3038"/>
      <c r="BA609" s="3038"/>
      <c r="BB609" s="3038"/>
      <c r="BC609" s="3038"/>
      <c r="BD609" s="3038"/>
      <c r="BE609" s="3038"/>
      <c r="BF609" s="3038"/>
      <c r="BG609" s="3038"/>
      <c r="BH609" s="3038"/>
      <c r="BI609" s="3038"/>
      <c r="BJ609" s="3038"/>
      <c r="BK609" s="3038"/>
      <c r="BL609" s="3038"/>
      <c r="BM609" s="3038"/>
      <c r="BN609" s="3038"/>
      <c r="BO609" s="3038"/>
      <c r="BP609" s="3038"/>
      <c r="BQ609" s="3038"/>
      <c r="BR609" s="3038"/>
      <c r="BS609" s="3038"/>
      <c r="BT609" s="3038"/>
      <c r="BU609" s="3038"/>
    </row>
    <row r="610" spans="3:73">
      <c r="C610" s="3038"/>
      <c r="D610" s="3038"/>
      <c r="E610" s="3038"/>
      <c r="H610" s="3038"/>
      <c r="I610" s="3038"/>
      <c r="J610" s="3038"/>
      <c r="K610" s="3038"/>
      <c r="M610" s="3038"/>
      <c r="N610" s="3038"/>
      <c r="O610" s="3038"/>
      <c r="P610" s="3038"/>
      <c r="Q610" s="3038"/>
      <c r="R610" s="3038"/>
      <c r="S610" s="3038"/>
      <c r="T610" s="3038"/>
      <c r="W610" s="3038"/>
      <c r="X610" s="3038"/>
      <c r="Y610" s="3038"/>
      <c r="Z610" s="3038"/>
      <c r="AA610" s="3113"/>
      <c r="AB610" s="3038"/>
      <c r="AC610" s="3038"/>
      <c r="AD610" s="3038"/>
      <c r="AE610" s="3132"/>
      <c r="AF610" s="3038"/>
      <c r="AG610" s="3038"/>
      <c r="AH610" s="3038"/>
      <c r="AK610" s="3038"/>
      <c r="AL610" s="3038"/>
      <c r="AM610" s="3038"/>
      <c r="AN610" s="3038"/>
      <c r="AO610" s="3038"/>
      <c r="AP610" s="3038"/>
      <c r="AQ610" s="3038"/>
      <c r="AR610" s="3038"/>
      <c r="AS610" s="3038"/>
      <c r="AT610" s="3038"/>
      <c r="AU610" s="3038"/>
      <c r="AV610" s="3038"/>
      <c r="AW610" s="3038"/>
      <c r="AX610" s="3038"/>
      <c r="AY610" s="3038"/>
      <c r="AZ610" s="3038"/>
      <c r="BA610" s="3038"/>
      <c r="BB610" s="3038"/>
      <c r="BC610" s="3038"/>
      <c r="BD610" s="3038"/>
      <c r="BE610" s="3038"/>
      <c r="BF610" s="3038"/>
      <c r="BG610" s="3038"/>
      <c r="BH610" s="3038"/>
      <c r="BI610" s="3038"/>
      <c r="BJ610" s="3038"/>
      <c r="BK610" s="3038"/>
      <c r="BL610" s="3038"/>
      <c r="BM610" s="3038"/>
      <c r="BN610" s="3038"/>
      <c r="BO610" s="3038"/>
      <c r="BP610" s="3038"/>
      <c r="BQ610" s="3038"/>
      <c r="BR610" s="3038"/>
      <c r="BS610" s="3038"/>
      <c r="BT610" s="3038"/>
      <c r="BU610" s="3038"/>
    </row>
    <row r="611" spans="3:73">
      <c r="C611" s="3038"/>
      <c r="D611" s="3038"/>
      <c r="E611" s="3038"/>
      <c r="H611" s="3038"/>
      <c r="I611" s="3038"/>
      <c r="J611" s="3038"/>
      <c r="K611" s="3038"/>
      <c r="M611" s="3038"/>
      <c r="N611" s="3038"/>
      <c r="O611" s="3038"/>
      <c r="P611" s="3038"/>
      <c r="Q611" s="3038"/>
      <c r="R611" s="3038"/>
      <c r="S611" s="3038"/>
      <c r="T611" s="3038"/>
      <c r="W611" s="3038"/>
      <c r="X611" s="3038"/>
      <c r="Y611" s="3038"/>
      <c r="Z611" s="3038"/>
      <c r="AA611" s="3113"/>
      <c r="AB611" s="3038"/>
      <c r="AC611" s="3038"/>
      <c r="AD611" s="3038"/>
      <c r="AE611" s="3132"/>
      <c r="AF611" s="3038"/>
      <c r="AG611" s="3038"/>
      <c r="AH611" s="3038"/>
      <c r="AK611" s="3038"/>
      <c r="AL611" s="3038"/>
      <c r="AM611" s="3038"/>
      <c r="AN611" s="3038"/>
      <c r="AO611" s="3038"/>
      <c r="AP611" s="3038"/>
      <c r="AQ611" s="3038"/>
      <c r="AR611" s="3038"/>
      <c r="AS611" s="3038"/>
      <c r="AT611" s="3038"/>
      <c r="AU611" s="3038"/>
      <c r="AV611" s="3038"/>
      <c r="AW611" s="3038"/>
      <c r="AX611" s="3038"/>
      <c r="AY611" s="3038"/>
      <c r="AZ611" s="3038"/>
      <c r="BA611" s="3038"/>
      <c r="BB611" s="3038"/>
      <c r="BC611" s="3038"/>
      <c r="BD611" s="3038"/>
      <c r="BE611" s="3038"/>
      <c r="BF611" s="3038"/>
      <c r="BG611" s="3038"/>
      <c r="BH611" s="3038"/>
      <c r="BI611" s="3038"/>
      <c r="BJ611" s="3038"/>
      <c r="BK611" s="3038"/>
      <c r="BL611" s="3038"/>
      <c r="BM611" s="3038"/>
      <c r="BN611" s="3038"/>
      <c r="BO611" s="3038"/>
      <c r="BP611" s="3038"/>
      <c r="BQ611" s="3038"/>
      <c r="BR611" s="3038"/>
      <c r="BS611" s="3038"/>
      <c r="BT611" s="3038"/>
      <c r="BU611" s="3038"/>
    </row>
    <row r="612" spans="3:73">
      <c r="C612" s="3038"/>
      <c r="D612" s="3038"/>
      <c r="E612" s="3038"/>
      <c r="H612" s="3038"/>
      <c r="I612" s="3038"/>
      <c r="J612" s="3038"/>
      <c r="K612" s="3038"/>
      <c r="M612" s="3038"/>
      <c r="N612" s="3038"/>
      <c r="O612" s="3038"/>
      <c r="P612" s="3038"/>
      <c r="Q612" s="3038"/>
      <c r="R612" s="3038"/>
      <c r="S612" s="3038"/>
      <c r="T612" s="3038"/>
      <c r="W612" s="3038"/>
      <c r="X612" s="3038"/>
      <c r="Y612" s="3038"/>
      <c r="Z612" s="3038"/>
      <c r="AA612" s="3113"/>
      <c r="AB612" s="3038"/>
      <c r="AC612" s="3038"/>
      <c r="AD612" s="3038"/>
      <c r="AE612" s="3132"/>
      <c r="AF612" s="3038"/>
      <c r="AG612" s="3038"/>
      <c r="AH612" s="3038"/>
      <c r="AK612" s="3038"/>
      <c r="AL612" s="3038"/>
      <c r="AM612" s="3038"/>
      <c r="AN612" s="3038"/>
      <c r="AO612" s="3038"/>
      <c r="AP612" s="3038"/>
      <c r="AQ612" s="3038"/>
      <c r="AR612" s="3038"/>
      <c r="AS612" s="3038"/>
      <c r="AT612" s="3038"/>
      <c r="AU612" s="3038"/>
      <c r="AV612" s="3038"/>
      <c r="AW612" s="3038"/>
      <c r="AX612" s="3038"/>
      <c r="AY612" s="3038"/>
      <c r="AZ612" s="3038"/>
      <c r="BA612" s="3038"/>
      <c r="BB612" s="3038"/>
      <c r="BC612" s="3038"/>
      <c r="BD612" s="3038"/>
      <c r="BE612" s="3038"/>
      <c r="BF612" s="3038"/>
      <c r="BG612" s="3038"/>
      <c r="BH612" s="3038"/>
      <c r="BI612" s="3038"/>
      <c r="BJ612" s="3038"/>
      <c r="BK612" s="3038"/>
      <c r="BL612" s="3038"/>
      <c r="BM612" s="3038"/>
      <c r="BN612" s="3038"/>
      <c r="BO612" s="3038"/>
      <c r="BP612" s="3038"/>
      <c r="BQ612" s="3038"/>
      <c r="BR612" s="3038"/>
      <c r="BS612" s="3038"/>
      <c r="BT612" s="3038"/>
      <c r="BU612" s="3038"/>
    </row>
    <row r="613" spans="3:73">
      <c r="C613" s="3038"/>
      <c r="D613" s="3038"/>
      <c r="E613" s="3038"/>
      <c r="H613" s="3038"/>
      <c r="I613" s="3038"/>
      <c r="J613" s="3038"/>
      <c r="K613" s="3038"/>
      <c r="M613" s="3038"/>
      <c r="N613" s="3038"/>
      <c r="O613" s="3038"/>
      <c r="P613" s="3038"/>
      <c r="Q613" s="3038"/>
      <c r="R613" s="3038"/>
      <c r="S613" s="3038"/>
      <c r="T613" s="3038"/>
      <c r="W613" s="3038"/>
      <c r="X613" s="3038"/>
      <c r="Y613" s="3038"/>
      <c r="Z613" s="3038"/>
      <c r="AA613" s="3113"/>
      <c r="AB613" s="3038"/>
      <c r="AC613" s="3038"/>
      <c r="AD613" s="3038"/>
      <c r="AE613" s="3132"/>
      <c r="AF613" s="3038"/>
      <c r="AG613" s="3038"/>
      <c r="AH613" s="3038"/>
      <c r="AK613" s="3038"/>
      <c r="AL613" s="3038"/>
      <c r="AM613" s="3038"/>
      <c r="AN613" s="3038"/>
      <c r="AO613" s="3038"/>
      <c r="AP613" s="3038"/>
      <c r="AQ613" s="3038"/>
      <c r="AR613" s="3038"/>
      <c r="AS613" s="3038"/>
      <c r="AT613" s="3038"/>
      <c r="AU613" s="3038"/>
      <c r="AV613" s="3038"/>
      <c r="AW613" s="3038"/>
      <c r="AX613" s="3038"/>
      <c r="AY613" s="3038"/>
      <c r="AZ613" s="3038"/>
      <c r="BA613" s="3038"/>
      <c r="BB613" s="3038"/>
      <c r="BC613" s="3038"/>
      <c r="BD613" s="3038"/>
      <c r="BE613" s="3038"/>
      <c r="BF613" s="3038"/>
      <c r="BG613" s="3038"/>
      <c r="BH613" s="3038"/>
      <c r="BI613" s="3038"/>
      <c r="BJ613" s="3038"/>
      <c r="BK613" s="3038"/>
      <c r="BL613" s="3038"/>
      <c r="BM613" s="3038"/>
      <c r="BN613" s="3038"/>
      <c r="BO613" s="3038"/>
      <c r="BP613" s="3038"/>
      <c r="BQ613" s="3038"/>
      <c r="BR613" s="3038"/>
      <c r="BS613" s="3038"/>
      <c r="BT613" s="3038"/>
      <c r="BU613" s="3038"/>
    </row>
    <row r="614" spans="3:73">
      <c r="C614" s="3038"/>
      <c r="D614" s="3038"/>
      <c r="E614" s="3038"/>
      <c r="H614" s="3038"/>
      <c r="I614" s="3038"/>
      <c r="J614" s="3038"/>
      <c r="K614" s="3038"/>
      <c r="M614" s="3038"/>
      <c r="N614" s="3038"/>
      <c r="O614" s="3038"/>
      <c r="P614" s="3038"/>
      <c r="Q614" s="3038"/>
      <c r="R614" s="3038"/>
      <c r="S614" s="3038"/>
      <c r="T614" s="3038"/>
      <c r="W614" s="3038"/>
      <c r="X614" s="3038"/>
      <c r="Y614" s="3038"/>
      <c r="Z614" s="3038"/>
      <c r="AA614" s="3113"/>
      <c r="AB614" s="3038"/>
      <c r="AC614" s="3038"/>
      <c r="AD614" s="3038"/>
      <c r="AE614" s="3132"/>
      <c r="AF614" s="3038"/>
      <c r="AG614" s="3038"/>
      <c r="AH614" s="3038"/>
      <c r="AK614" s="3038"/>
      <c r="AL614" s="3038"/>
      <c r="AM614" s="3038"/>
      <c r="AN614" s="3038"/>
      <c r="AO614" s="3038"/>
      <c r="AP614" s="3038"/>
      <c r="AQ614" s="3038"/>
      <c r="AR614" s="3038"/>
      <c r="AS614" s="3038"/>
      <c r="AT614" s="3038"/>
      <c r="AU614" s="3038"/>
      <c r="AV614" s="3038"/>
      <c r="AW614" s="3038"/>
      <c r="AX614" s="3038"/>
      <c r="AY614" s="3038"/>
      <c r="AZ614" s="3038"/>
      <c r="BA614" s="3038"/>
      <c r="BB614" s="3038"/>
      <c r="BC614" s="3038"/>
      <c r="BD614" s="3038"/>
      <c r="BE614" s="3038"/>
      <c r="BF614" s="3038"/>
      <c r="BG614" s="3038"/>
      <c r="BH614" s="3038"/>
      <c r="BI614" s="3038"/>
      <c r="BJ614" s="3038"/>
      <c r="BK614" s="3038"/>
      <c r="BL614" s="3038"/>
      <c r="BM614" s="3038"/>
      <c r="BN614" s="3038"/>
      <c r="BO614" s="3038"/>
      <c r="BP614" s="3038"/>
      <c r="BQ614" s="3038"/>
      <c r="BR614" s="3038"/>
      <c r="BS614" s="3038"/>
      <c r="BT614" s="3038"/>
      <c r="BU614" s="3038"/>
    </row>
    <row r="615" spans="3:73">
      <c r="C615" s="3038"/>
      <c r="D615" s="3038"/>
      <c r="E615" s="3038"/>
      <c r="H615" s="3038"/>
      <c r="I615" s="3038"/>
      <c r="J615" s="3038"/>
      <c r="K615" s="3038"/>
      <c r="M615" s="3038"/>
      <c r="N615" s="3038"/>
      <c r="O615" s="3038"/>
      <c r="P615" s="3038"/>
      <c r="Q615" s="3038"/>
      <c r="R615" s="3038"/>
      <c r="S615" s="3038"/>
      <c r="T615" s="3038"/>
      <c r="W615" s="3038"/>
      <c r="X615" s="3038"/>
      <c r="Y615" s="3038"/>
      <c r="Z615" s="3038"/>
      <c r="AA615" s="3113"/>
      <c r="AB615" s="3038"/>
      <c r="AC615" s="3038"/>
      <c r="AD615" s="3038"/>
      <c r="AE615" s="3132"/>
      <c r="AF615" s="3038"/>
      <c r="AG615" s="3038"/>
      <c r="AH615" s="3038"/>
      <c r="AK615" s="3038"/>
      <c r="AL615" s="3038"/>
      <c r="AM615" s="3038"/>
      <c r="AN615" s="3038"/>
      <c r="AO615" s="3038"/>
      <c r="AP615" s="3038"/>
      <c r="AQ615" s="3038"/>
      <c r="AR615" s="3038"/>
      <c r="AS615" s="3038"/>
      <c r="AT615" s="3038"/>
      <c r="AU615" s="3038"/>
      <c r="AV615" s="3038"/>
      <c r="AW615" s="3038"/>
      <c r="AX615" s="3038"/>
      <c r="AY615" s="3038"/>
      <c r="AZ615" s="3038"/>
      <c r="BA615" s="3038"/>
      <c r="BB615" s="3038"/>
      <c r="BC615" s="3038"/>
      <c r="BD615" s="3038"/>
      <c r="BE615" s="3038"/>
      <c r="BF615" s="3038"/>
      <c r="BG615" s="3038"/>
      <c r="BH615" s="3038"/>
      <c r="BI615" s="3038"/>
      <c r="BJ615" s="3038"/>
      <c r="BK615" s="3038"/>
      <c r="BL615" s="3038"/>
      <c r="BM615" s="3038"/>
      <c r="BN615" s="3038"/>
      <c r="BO615" s="3038"/>
      <c r="BP615" s="3038"/>
      <c r="BQ615" s="3038"/>
      <c r="BR615" s="3038"/>
      <c r="BS615" s="3038"/>
      <c r="BT615" s="3038"/>
      <c r="BU615" s="3038"/>
    </row>
    <row r="616" spans="3:73">
      <c r="C616" s="3038"/>
      <c r="D616" s="3038"/>
      <c r="E616" s="3038"/>
      <c r="H616" s="3038"/>
      <c r="I616" s="3038"/>
      <c r="J616" s="3038"/>
      <c r="K616" s="3038"/>
      <c r="M616" s="3038"/>
      <c r="N616" s="3038"/>
      <c r="O616" s="3038"/>
      <c r="P616" s="3038"/>
      <c r="Q616" s="3038"/>
      <c r="R616" s="3038"/>
      <c r="S616" s="3038"/>
      <c r="T616" s="3038"/>
      <c r="W616" s="3038"/>
      <c r="X616" s="3038"/>
      <c r="Y616" s="3038"/>
      <c r="Z616" s="3038"/>
      <c r="AA616" s="3113"/>
      <c r="AB616" s="3038"/>
      <c r="AC616" s="3038"/>
      <c r="AD616" s="3038"/>
      <c r="AE616" s="3132"/>
      <c r="AF616" s="3038"/>
      <c r="AG616" s="3038"/>
      <c r="AH616" s="3038"/>
      <c r="AK616" s="3038"/>
      <c r="AL616" s="3038"/>
      <c r="AM616" s="3038"/>
      <c r="AN616" s="3038"/>
      <c r="AO616" s="3038"/>
      <c r="AP616" s="3038"/>
      <c r="AQ616" s="3038"/>
      <c r="AR616" s="3038"/>
      <c r="AS616" s="3038"/>
      <c r="AT616" s="3038"/>
      <c r="AU616" s="3038"/>
      <c r="AV616" s="3038"/>
      <c r="AW616" s="3038"/>
      <c r="AX616" s="3038"/>
      <c r="AY616" s="3038"/>
      <c r="AZ616" s="3038"/>
      <c r="BA616" s="3038"/>
      <c r="BB616" s="3038"/>
      <c r="BC616" s="3038"/>
      <c r="BD616" s="3038"/>
      <c r="BE616" s="3038"/>
      <c r="BF616" s="3038"/>
      <c r="BG616" s="3038"/>
      <c r="BH616" s="3038"/>
      <c r="BI616" s="3038"/>
      <c r="BJ616" s="3038"/>
      <c r="BK616" s="3038"/>
      <c r="BL616" s="3038"/>
      <c r="BM616" s="3038"/>
      <c r="BN616" s="3038"/>
      <c r="BO616" s="3038"/>
      <c r="BP616" s="3038"/>
      <c r="BQ616" s="3038"/>
      <c r="BR616" s="3038"/>
      <c r="BS616" s="3038"/>
      <c r="BT616" s="3038"/>
      <c r="BU616" s="3038"/>
    </row>
    <row r="617" spans="3:73">
      <c r="C617" s="3038"/>
      <c r="D617" s="3038"/>
      <c r="E617" s="3038"/>
      <c r="H617" s="3038"/>
      <c r="I617" s="3038"/>
      <c r="J617" s="3038"/>
      <c r="K617" s="3038"/>
      <c r="M617" s="3038"/>
      <c r="N617" s="3038"/>
      <c r="O617" s="3038"/>
      <c r="P617" s="3038"/>
      <c r="Q617" s="3038"/>
      <c r="R617" s="3038"/>
      <c r="S617" s="3038"/>
      <c r="T617" s="3038"/>
      <c r="W617" s="3038"/>
      <c r="X617" s="3038"/>
      <c r="Y617" s="3038"/>
      <c r="Z617" s="3038"/>
      <c r="AA617" s="3113"/>
      <c r="AB617" s="3038"/>
      <c r="AC617" s="3038"/>
      <c r="AD617" s="3038"/>
      <c r="AE617" s="3132"/>
      <c r="AF617" s="3038"/>
      <c r="AG617" s="3038"/>
      <c r="AH617" s="3038"/>
      <c r="AK617" s="3038"/>
      <c r="AL617" s="3038"/>
      <c r="AM617" s="3038"/>
      <c r="AN617" s="3038"/>
      <c r="AO617" s="3038"/>
      <c r="AP617" s="3038"/>
      <c r="AQ617" s="3038"/>
      <c r="AR617" s="3038"/>
      <c r="AS617" s="3038"/>
      <c r="AT617" s="3038"/>
      <c r="AU617" s="3038"/>
      <c r="AV617" s="3038"/>
      <c r="AW617" s="3038"/>
      <c r="AX617" s="3038"/>
      <c r="AY617" s="3038"/>
      <c r="AZ617" s="3038"/>
      <c r="BA617" s="3038"/>
      <c r="BB617" s="3038"/>
      <c r="BC617" s="3038"/>
      <c r="BD617" s="3038"/>
      <c r="BE617" s="3038"/>
      <c r="BF617" s="3038"/>
      <c r="BG617" s="3038"/>
      <c r="BH617" s="3038"/>
      <c r="BI617" s="3038"/>
      <c r="BJ617" s="3038"/>
      <c r="BK617" s="3038"/>
      <c r="BL617" s="3038"/>
      <c r="BM617" s="3038"/>
      <c r="BN617" s="3038"/>
      <c r="BO617" s="3038"/>
      <c r="BP617" s="3038"/>
      <c r="BQ617" s="3038"/>
      <c r="BR617" s="3038"/>
      <c r="BS617" s="3038"/>
      <c r="BT617" s="3038"/>
      <c r="BU617" s="3038"/>
    </row>
    <row r="618" spans="3:73">
      <c r="C618" s="3038"/>
      <c r="D618" s="3038"/>
      <c r="E618" s="3038"/>
      <c r="H618" s="3038"/>
      <c r="I618" s="3038"/>
      <c r="J618" s="3038"/>
      <c r="K618" s="3038"/>
      <c r="M618" s="3038"/>
      <c r="N618" s="3038"/>
      <c r="O618" s="3038"/>
      <c r="P618" s="3038"/>
      <c r="Q618" s="3038"/>
      <c r="R618" s="3038"/>
      <c r="S618" s="3038"/>
      <c r="T618" s="3038"/>
      <c r="W618" s="3038"/>
      <c r="X618" s="3038"/>
      <c r="Y618" s="3038"/>
      <c r="Z618" s="3038"/>
      <c r="AA618" s="3113"/>
      <c r="AB618" s="3038"/>
      <c r="AC618" s="3038"/>
      <c r="AD618" s="3038"/>
      <c r="AE618" s="3132"/>
      <c r="AF618" s="3038"/>
      <c r="AG618" s="3038"/>
      <c r="AH618" s="3038"/>
      <c r="AK618" s="3038"/>
      <c r="AL618" s="3038"/>
      <c r="AM618" s="3038"/>
      <c r="AN618" s="3038"/>
      <c r="AO618" s="3038"/>
      <c r="AP618" s="3038"/>
      <c r="AQ618" s="3038"/>
      <c r="AR618" s="3038"/>
      <c r="AS618" s="3038"/>
      <c r="AT618" s="3038"/>
      <c r="AU618" s="3038"/>
      <c r="AV618" s="3038"/>
      <c r="AW618" s="3038"/>
      <c r="AX618" s="3038"/>
      <c r="AY618" s="3038"/>
      <c r="AZ618" s="3038"/>
      <c r="BA618" s="3038"/>
      <c r="BB618" s="3038"/>
      <c r="BC618" s="3038"/>
      <c r="BD618" s="3038"/>
      <c r="BE618" s="3038"/>
      <c r="BF618" s="3038"/>
      <c r="BG618" s="3038"/>
      <c r="BH618" s="3038"/>
      <c r="BI618" s="3038"/>
      <c r="BJ618" s="3038"/>
      <c r="BK618" s="3038"/>
      <c r="BL618" s="3038"/>
      <c r="BM618" s="3038"/>
      <c r="BN618" s="3038"/>
      <c r="BO618" s="3038"/>
      <c r="BP618" s="3038"/>
      <c r="BQ618" s="3038"/>
      <c r="BR618" s="3038"/>
      <c r="BS618" s="3038"/>
      <c r="BT618" s="3038"/>
      <c r="BU618" s="3038"/>
    </row>
    <row r="619" spans="3:73">
      <c r="C619" s="3038"/>
      <c r="D619" s="3038"/>
      <c r="E619" s="3038"/>
      <c r="H619" s="3038"/>
      <c r="I619" s="3038"/>
      <c r="J619" s="3038"/>
      <c r="K619" s="3038"/>
      <c r="M619" s="3038"/>
      <c r="N619" s="3038"/>
      <c r="O619" s="3038"/>
      <c r="P619" s="3038"/>
      <c r="Q619" s="3038"/>
      <c r="R619" s="3038"/>
      <c r="S619" s="3038"/>
      <c r="T619" s="3038"/>
      <c r="W619" s="3038"/>
      <c r="X619" s="3038"/>
      <c r="Y619" s="3038"/>
      <c r="Z619" s="3038"/>
      <c r="AA619" s="3113"/>
      <c r="AB619" s="3038"/>
      <c r="AC619" s="3038"/>
      <c r="AD619" s="3038"/>
      <c r="AE619" s="3132"/>
      <c r="AF619" s="3038"/>
      <c r="AG619" s="3038"/>
      <c r="AH619" s="3038"/>
      <c r="AK619" s="3038"/>
      <c r="AL619" s="3038"/>
      <c r="AM619" s="3038"/>
      <c r="AN619" s="3038"/>
      <c r="AO619" s="3038"/>
      <c r="AP619" s="3038"/>
      <c r="AQ619" s="3038"/>
      <c r="AR619" s="3038"/>
      <c r="AS619" s="3038"/>
      <c r="AT619" s="3038"/>
      <c r="AU619" s="3038"/>
      <c r="AV619" s="3038"/>
      <c r="AW619" s="3038"/>
      <c r="AX619" s="3038"/>
      <c r="AY619" s="3038"/>
      <c r="AZ619" s="3038"/>
      <c r="BA619" s="3038"/>
      <c r="BB619" s="3038"/>
      <c r="BC619" s="3038"/>
      <c r="BD619" s="3038"/>
      <c r="BE619" s="3038"/>
      <c r="BF619" s="3038"/>
      <c r="BG619" s="3038"/>
      <c r="BH619" s="3038"/>
      <c r="BI619" s="3038"/>
      <c r="BJ619" s="3038"/>
      <c r="BK619" s="3038"/>
      <c r="BL619" s="3038"/>
      <c r="BM619" s="3038"/>
      <c r="BN619" s="3038"/>
      <c r="BO619" s="3038"/>
      <c r="BP619" s="3038"/>
      <c r="BQ619" s="3038"/>
      <c r="BR619" s="3038"/>
      <c r="BS619" s="3038"/>
      <c r="BT619" s="3038"/>
      <c r="BU619" s="3038"/>
    </row>
    <row r="620" spans="3:73">
      <c r="C620" s="3038"/>
      <c r="D620" s="3038"/>
      <c r="E620" s="3038"/>
      <c r="H620" s="3038"/>
      <c r="I620" s="3038"/>
      <c r="J620" s="3038"/>
      <c r="K620" s="3038"/>
      <c r="M620" s="3038"/>
      <c r="N620" s="3038"/>
      <c r="O620" s="3038"/>
      <c r="P620" s="3038"/>
      <c r="Q620" s="3038"/>
      <c r="R620" s="3038"/>
      <c r="S620" s="3038"/>
      <c r="T620" s="3038"/>
      <c r="W620" s="3038"/>
      <c r="X620" s="3038"/>
      <c r="Y620" s="3038"/>
      <c r="Z620" s="3038"/>
      <c r="AA620" s="3113"/>
      <c r="AB620" s="3038"/>
      <c r="AC620" s="3038"/>
      <c r="AD620" s="3038"/>
      <c r="AE620" s="3132"/>
      <c r="AF620" s="3038"/>
      <c r="AG620" s="3038"/>
      <c r="AH620" s="3038"/>
      <c r="AK620" s="3038"/>
      <c r="AL620" s="3038"/>
      <c r="AM620" s="3038"/>
      <c r="AN620" s="3038"/>
      <c r="AO620" s="3038"/>
      <c r="AP620" s="3038"/>
      <c r="AQ620" s="3038"/>
      <c r="AR620" s="3038"/>
      <c r="AS620" s="3038"/>
      <c r="AT620" s="3038"/>
      <c r="AU620" s="3038"/>
      <c r="AV620" s="3038"/>
      <c r="AW620" s="3038"/>
      <c r="AX620" s="3038"/>
      <c r="AY620" s="3038"/>
      <c r="AZ620" s="3038"/>
      <c r="BA620" s="3038"/>
      <c r="BB620" s="3038"/>
      <c r="BC620" s="3038"/>
      <c r="BD620" s="3038"/>
      <c r="BE620" s="3038"/>
      <c r="BF620" s="3038"/>
      <c r="BG620" s="3038"/>
      <c r="BH620" s="3038"/>
      <c r="BI620" s="3038"/>
      <c r="BJ620" s="3038"/>
      <c r="BK620" s="3038"/>
      <c r="BL620" s="3038"/>
      <c r="BM620" s="3038"/>
      <c r="BN620" s="3038"/>
      <c r="BO620" s="3038"/>
      <c r="BP620" s="3038"/>
      <c r="BQ620" s="3038"/>
      <c r="BR620" s="3038"/>
      <c r="BS620" s="3038"/>
      <c r="BT620" s="3038"/>
      <c r="BU620" s="3038"/>
    </row>
    <row r="621" spans="3:73">
      <c r="C621" s="3038"/>
      <c r="D621" s="3038"/>
      <c r="E621" s="3038"/>
      <c r="H621" s="3038"/>
      <c r="I621" s="3038"/>
      <c r="J621" s="3038"/>
      <c r="K621" s="3038"/>
      <c r="M621" s="3038"/>
      <c r="N621" s="3038"/>
      <c r="O621" s="3038"/>
      <c r="P621" s="3038"/>
      <c r="Q621" s="3038"/>
      <c r="R621" s="3038"/>
      <c r="S621" s="3038"/>
      <c r="T621" s="3038"/>
      <c r="W621" s="3038"/>
      <c r="X621" s="3038"/>
      <c r="Y621" s="3038"/>
      <c r="Z621" s="3038"/>
      <c r="AA621" s="3113"/>
      <c r="AB621" s="3038"/>
      <c r="AC621" s="3038"/>
      <c r="AD621" s="3038"/>
      <c r="AE621" s="3132"/>
      <c r="AF621" s="3038"/>
      <c r="AG621" s="3038"/>
      <c r="AH621" s="3038"/>
      <c r="AK621" s="3038"/>
      <c r="AL621" s="3038"/>
      <c r="AM621" s="3038"/>
      <c r="AN621" s="3038"/>
      <c r="AO621" s="3038"/>
      <c r="AP621" s="3038"/>
      <c r="AQ621" s="3038"/>
      <c r="AR621" s="3038"/>
      <c r="AS621" s="3038"/>
      <c r="AT621" s="3038"/>
      <c r="AU621" s="3038"/>
      <c r="AV621" s="3038"/>
      <c r="AW621" s="3038"/>
      <c r="AX621" s="3038"/>
      <c r="AY621" s="3038"/>
      <c r="AZ621" s="3038"/>
      <c r="BA621" s="3038"/>
      <c r="BB621" s="3038"/>
      <c r="BC621" s="3038"/>
      <c r="BD621" s="3038"/>
      <c r="BE621" s="3038"/>
      <c r="BF621" s="3038"/>
      <c r="BG621" s="3038"/>
      <c r="BH621" s="3038"/>
      <c r="BI621" s="3038"/>
      <c r="BJ621" s="3038"/>
      <c r="BK621" s="3038"/>
      <c r="BL621" s="3038"/>
      <c r="BM621" s="3038"/>
      <c r="BN621" s="3038"/>
      <c r="BO621" s="3038"/>
      <c r="BP621" s="3038"/>
      <c r="BQ621" s="3038"/>
      <c r="BR621" s="3038"/>
      <c r="BS621" s="3038"/>
      <c r="BT621" s="3038"/>
      <c r="BU621" s="3038"/>
    </row>
    <row r="622" spans="3:73">
      <c r="C622" s="3038"/>
      <c r="D622" s="3038"/>
      <c r="E622" s="3038"/>
      <c r="H622" s="3038"/>
      <c r="I622" s="3038"/>
      <c r="J622" s="3038"/>
      <c r="K622" s="3038"/>
      <c r="M622" s="3038"/>
      <c r="N622" s="3038"/>
      <c r="O622" s="3038"/>
      <c r="P622" s="3038"/>
      <c r="Q622" s="3038"/>
      <c r="R622" s="3038"/>
      <c r="S622" s="3038"/>
      <c r="T622" s="3038"/>
      <c r="W622" s="3038"/>
      <c r="X622" s="3038"/>
      <c r="Y622" s="3038"/>
      <c r="Z622" s="3038"/>
      <c r="AA622" s="3113"/>
      <c r="AB622" s="3038"/>
      <c r="AC622" s="3038"/>
      <c r="AD622" s="3038"/>
      <c r="AE622" s="3132"/>
      <c r="AF622" s="3038"/>
      <c r="AG622" s="3038"/>
      <c r="AH622" s="3038"/>
      <c r="AK622" s="3038"/>
      <c r="AL622" s="3038"/>
      <c r="AM622" s="3038"/>
      <c r="AN622" s="3038"/>
      <c r="AO622" s="3038"/>
      <c r="AP622" s="3038"/>
      <c r="AQ622" s="3038"/>
      <c r="AR622" s="3038"/>
      <c r="AS622" s="3038"/>
      <c r="AT622" s="3038"/>
      <c r="AU622" s="3038"/>
      <c r="AV622" s="3038"/>
      <c r="AW622" s="3038"/>
      <c r="AX622" s="3038"/>
      <c r="AY622" s="3038"/>
      <c r="AZ622" s="3038"/>
      <c r="BA622" s="3038"/>
      <c r="BB622" s="3038"/>
      <c r="BC622" s="3038"/>
      <c r="BD622" s="3038"/>
      <c r="BE622" s="3038"/>
      <c r="BF622" s="3038"/>
      <c r="BG622" s="3038"/>
      <c r="BH622" s="3038"/>
      <c r="BI622" s="3038"/>
      <c r="BJ622" s="3038"/>
      <c r="BK622" s="3038"/>
      <c r="BL622" s="3038"/>
      <c r="BM622" s="3038"/>
      <c r="BN622" s="3038"/>
      <c r="BO622" s="3038"/>
      <c r="BP622" s="3038"/>
      <c r="BQ622" s="3038"/>
      <c r="BR622" s="3038"/>
      <c r="BS622" s="3038"/>
      <c r="BT622" s="3038"/>
      <c r="BU622" s="3038"/>
    </row>
    <row r="623" spans="3:73">
      <c r="C623" s="3038"/>
      <c r="D623" s="3038"/>
      <c r="E623" s="3038"/>
      <c r="H623" s="3038"/>
      <c r="I623" s="3038"/>
      <c r="J623" s="3038"/>
      <c r="K623" s="3038"/>
      <c r="M623" s="3038"/>
      <c r="N623" s="3038"/>
      <c r="O623" s="3038"/>
      <c r="P623" s="3038"/>
      <c r="Q623" s="3038"/>
      <c r="R623" s="3038"/>
      <c r="S623" s="3038"/>
      <c r="T623" s="3038"/>
      <c r="W623" s="3038"/>
      <c r="X623" s="3038"/>
      <c r="Y623" s="3038"/>
      <c r="Z623" s="3038"/>
      <c r="AA623" s="3113"/>
      <c r="AB623" s="3038"/>
      <c r="AC623" s="3038"/>
      <c r="AD623" s="3038"/>
      <c r="AE623" s="3132"/>
      <c r="AF623" s="3038"/>
      <c r="AG623" s="3038"/>
      <c r="AH623" s="3038"/>
      <c r="AK623" s="3038"/>
      <c r="AL623" s="3038"/>
      <c r="AM623" s="3038"/>
      <c r="AN623" s="3038"/>
      <c r="AO623" s="3038"/>
      <c r="AP623" s="3038"/>
      <c r="AQ623" s="3038"/>
      <c r="AR623" s="3038"/>
      <c r="AS623" s="3038"/>
      <c r="AT623" s="3038"/>
      <c r="AU623" s="3038"/>
      <c r="AV623" s="3038"/>
      <c r="AW623" s="3038"/>
      <c r="AX623" s="3038"/>
      <c r="AY623" s="3038"/>
      <c r="AZ623" s="3038"/>
      <c r="BA623" s="3038"/>
      <c r="BB623" s="3038"/>
      <c r="BC623" s="3038"/>
      <c r="BD623" s="3038"/>
      <c r="BE623" s="3038"/>
      <c r="BF623" s="3038"/>
      <c r="BG623" s="3038"/>
      <c r="BH623" s="3038"/>
      <c r="BI623" s="3038"/>
      <c r="BJ623" s="3038"/>
      <c r="BK623" s="3038"/>
      <c r="BL623" s="3038"/>
      <c r="BM623" s="3038"/>
      <c r="BN623" s="3038"/>
      <c r="BO623" s="3038"/>
      <c r="BP623" s="3038"/>
      <c r="BQ623" s="3038"/>
      <c r="BR623" s="3038"/>
      <c r="BS623" s="3038"/>
      <c r="BT623" s="3038"/>
      <c r="BU623" s="3038"/>
    </row>
    <row r="624" spans="3:73">
      <c r="C624" s="3038"/>
      <c r="D624" s="3038"/>
      <c r="E624" s="3038"/>
      <c r="H624" s="3038"/>
      <c r="I624" s="3038"/>
      <c r="J624" s="3038"/>
      <c r="K624" s="3038"/>
      <c r="M624" s="3038"/>
      <c r="N624" s="3038"/>
      <c r="O624" s="3038"/>
      <c r="P624" s="3038"/>
      <c r="Q624" s="3038"/>
      <c r="R624" s="3038"/>
      <c r="S624" s="3038"/>
      <c r="T624" s="3038"/>
      <c r="W624" s="3038"/>
      <c r="X624" s="3038"/>
      <c r="Y624" s="3038"/>
      <c r="Z624" s="3038"/>
      <c r="AA624" s="3113"/>
      <c r="AB624" s="3038"/>
      <c r="AC624" s="3038"/>
      <c r="AD624" s="3038"/>
      <c r="AE624" s="3132"/>
      <c r="AF624" s="3038"/>
      <c r="AG624" s="3038"/>
      <c r="AH624" s="3038"/>
      <c r="AK624" s="3038"/>
      <c r="AL624" s="3038"/>
      <c r="AM624" s="3038"/>
      <c r="AN624" s="3038"/>
      <c r="AO624" s="3038"/>
      <c r="AP624" s="3038"/>
      <c r="AQ624" s="3038"/>
      <c r="AR624" s="3038"/>
      <c r="AS624" s="3038"/>
      <c r="AT624" s="3038"/>
      <c r="AU624" s="3038"/>
      <c r="AV624" s="3038"/>
      <c r="AW624" s="3038"/>
      <c r="AX624" s="3038"/>
      <c r="AY624" s="3038"/>
      <c r="AZ624" s="3038"/>
      <c r="BA624" s="3038"/>
      <c r="BB624" s="3038"/>
      <c r="BC624" s="3038"/>
      <c r="BD624" s="3038"/>
      <c r="BE624" s="3038"/>
      <c r="BF624" s="3038"/>
      <c r="BG624" s="3038"/>
      <c r="BH624" s="3038"/>
      <c r="BI624" s="3038"/>
      <c r="BJ624" s="3038"/>
      <c r="BK624" s="3038"/>
      <c r="BL624" s="3038"/>
      <c r="BM624" s="3038"/>
      <c r="BN624" s="3038"/>
      <c r="BO624" s="3038"/>
      <c r="BP624" s="3038"/>
      <c r="BQ624" s="3038"/>
      <c r="BR624" s="3038"/>
      <c r="BS624" s="3038"/>
      <c r="BT624" s="3038"/>
      <c r="BU624" s="3038"/>
    </row>
    <row r="625" spans="3:73">
      <c r="C625" s="3038"/>
      <c r="D625" s="3038"/>
      <c r="E625" s="3038"/>
      <c r="H625" s="3038"/>
      <c r="I625" s="3038"/>
      <c r="J625" s="3038"/>
      <c r="K625" s="3038"/>
      <c r="M625" s="3038"/>
      <c r="N625" s="3038"/>
      <c r="O625" s="3038"/>
      <c r="P625" s="3038"/>
      <c r="Q625" s="3038"/>
      <c r="R625" s="3038"/>
      <c r="S625" s="3038"/>
      <c r="T625" s="3038"/>
      <c r="W625" s="3038"/>
      <c r="X625" s="3038"/>
      <c r="Y625" s="3038"/>
      <c r="Z625" s="3038"/>
      <c r="AA625" s="3113"/>
      <c r="AB625" s="3038"/>
      <c r="AC625" s="3038"/>
      <c r="AD625" s="3038"/>
      <c r="AE625" s="3132"/>
      <c r="AF625" s="3038"/>
      <c r="AG625" s="3038"/>
      <c r="AH625" s="3038"/>
      <c r="AK625" s="3038"/>
      <c r="AL625" s="3038"/>
      <c r="AM625" s="3038"/>
      <c r="AN625" s="3038"/>
      <c r="AO625" s="3038"/>
      <c r="AP625" s="3038"/>
      <c r="AQ625" s="3038"/>
      <c r="AR625" s="3038"/>
      <c r="AS625" s="3038"/>
      <c r="AT625" s="3038"/>
      <c r="AU625" s="3038"/>
      <c r="AV625" s="3038"/>
      <c r="AW625" s="3038"/>
      <c r="AX625" s="3038"/>
      <c r="AY625" s="3038"/>
      <c r="AZ625" s="3038"/>
      <c r="BA625" s="3038"/>
      <c r="BB625" s="3038"/>
      <c r="BC625" s="3038"/>
      <c r="BD625" s="3038"/>
      <c r="BE625" s="3038"/>
      <c r="BF625" s="3038"/>
      <c r="BG625" s="3038"/>
      <c r="BH625" s="3038"/>
      <c r="BI625" s="3038"/>
      <c r="BJ625" s="3038"/>
      <c r="BK625" s="3038"/>
      <c r="BL625" s="3038"/>
      <c r="BM625" s="3038"/>
      <c r="BN625" s="3038"/>
      <c r="BO625" s="3038"/>
      <c r="BP625" s="3038"/>
      <c r="BQ625" s="3038"/>
      <c r="BR625" s="3038"/>
      <c r="BS625" s="3038"/>
      <c r="BT625" s="3038"/>
      <c r="BU625" s="3038"/>
    </row>
    <row r="626" spans="3:73">
      <c r="C626" s="3038"/>
      <c r="D626" s="3038"/>
      <c r="E626" s="3038"/>
      <c r="H626" s="3038"/>
      <c r="I626" s="3038"/>
      <c r="J626" s="3038"/>
      <c r="K626" s="3038"/>
      <c r="M626" s="3038"/>
      <c r="N626" s="3038"/>
      <c r="O626" s="3038"/>
      <c r="P626" s="3038"/>
      <c r="Q626" s="3038"/>
      <c r="R626" s="3038"/>
      <c r="S626" s="3038"/>
      <c r="T626" s="3038"/>
      <c r="W626" s="3038"/>
      <c r="X626" s="3038"/>
      <c r="Y626" s="3038"/>
      <c r="Z626" s="3038"/>
      <c r="AA626" s="3113"/>
      <c r="AB626" s="3038"/>
      <c r="AC626" s="3038"/>
      <c r="AD626" s="3038"/>
      <c r="AE626" s="3132"/>
      <c r="AF626" s="3038"/>
      <c r="AG626" s="3038"/>
      <c r="AH626" s="3038"/>
      <c r="AK626" s="3038"/>
      <c r="AL626" s="3038"/>
      <c r="AM626" s="3038"/>
      <c r="AN626" s="3038"/>
      <c r="AO626" s="3038"/>
      <c r="AP626" s="3038"/>
      <c r="AQ626" s="3038"/>
      <c r="AR626" s="3038"/>
      <c r="AS626" s="3038"/>
      <c r="AT626" s="3038"/>
      <c r="AU626" s="3038"/>
      <c r="AV626" s="3038"/>
      <c r="AW626" s="3038"/>
      <c r="AX626" s="3038"/>
      <c r="AY626" s="3038"/>
      <c r="AZ626" s="3038"/>
      <c r="BA626" s="3038"/>
      <c r="BB626" s="3038"/>
      <c r="BC626" s="3038"/>
      <c r="BD626" s="3038"/>
      <c r="BE626" s="3038"/>
      <c r="BF626" s="3038"/>
      <c r="BG626" s="3038"/>
      <c r="BH626" s="3038"/>
      <c r="BI626" s="3038"/>
      <c r="BJ626" s="3038"/>
      <c r="BK626" s="3038"/>
      <c r="BL626" s="3038"/>
      <c r="BM626" s="3038"/>
      <c r="BN626" s="3038"/>
      <c r="BO626" s="3038"/>
      <c r="BP626" s="3038"/>
      <c r="BQ626" s="3038"/>
      <c r="BR626" s="3038"/>
      <c r="BS626" s="3038"/>
      <c r="BT626" s="3038"/>
      <c r="BU626" s="3038"/>
    </row>
    <row r="627" spans="3:73">
      <c r="C627" s="3038"/>
      <c r="D627" s="3038"/>
      <c r="E627" s="3038"/>
      <c r="H627" s="3038"/>
      <c r="I627" s="3038"/>
      <c r="J627" s="3038"/>
      <c r="K627" s="3038"/>
      <c r="M627" s="3038"/>
      <c r="N627" s="3038"/>
      <c r="O627" s="3038"/>
      <c r="P627" s="3038"/>
      <c r="Q627" s="3038"/>
      <c r="R627" s="3038"/>
      <c r="S627" s="3038"/>
      <c r="T627" s="3038"/>
      <c r="W627" s="3038"/>
      <c r="X627" s="3038"/>
      <c r="Y627" s="3038"/>
      <c r="Z627" s="3038"/>
      <c r="AA627" s="3113"/>
      <c r="AB627" s="3038"/>
      <c r="AC627" s="3038"/>
      <c r="AD627" s="3038"/>
      <c r="AE627" s="3132"/>
      <c r="AF627" s="3038"/>
      <c r="AG627" s="3038"/>
      <c r="AH627" s="3038"/>
      <c r="AK627" s="3038"/>
      <c r="AL627" s="3038"/>
      <c r="AM627" s="3038"/>
      <c r="AN627" s="3038"/>
      <c r="AO627" s="3038"/>
      <c r="AP627" s="3038"/>
      <c r="AQ627" s="3038"/>
      <c r="AR627" s="3038"/>
      <c r="AS627" s="3038"/>
      <c r="AT627" s="3038"/>
      <c r="AU627" s="3038"/>
      <c r="AV627" s="3038"/>
      <c r="AW627" s="3038"/>
      <c r="AX627" s="3038"/>
      <c r="AY627" s="3038"/>
      <c r="AZ627" s="3038"/>
      <c r="BA627" s="3038"/>
      <c r="BB627" s="3038"/>
      <c r="BC627" s="3038"/>
      <c r="BD627" s="3038"/>
      <c r="BE627" s="3038"/>
      <c r="BF627" s="3038"/>
      <c r="BG627" s="3038"/>
      <c r="BH627" s="3038"/>
      <c r="BI627" s="3038"/>
      <c r="BJ627" s="3038"/>
      <c r="BK627" s="3038"/>
      <c r="BL627" s="3038"/>
      <c r="BM627" s="3038"/>
      <c r="BN627" s="3038"/>
      <c r="BO627" s="3038"/>
      <c r="BP627" s="3038"/>
      <c r="BQ627" s="3038"/>
      <c r="BR627" s="3038"/>
      <c r="BS627" s="3038"/>
      <c r="BT627" s="3038"/>
      <c r="BU627" s="3038"/>
    </row>
    <row r="628" spans="3:73">
      <c r="C628" s="3038"/>
      <c r="D628" s="3038"/>
      <c r="E628" s="3038"/>
      <c r="H628" s="3038"/>
      <c r="I628" s="3038"/>
      <c r="J628" s="3038"/>
      <c r="K628" s="3038"/>
      <c r="M628" s="3038"/>
      <c r="N628" s="3038"/>
      <c r="O628" s="3038"/>
      <c r="P628" s="3038"/>
      <c r="Q628" s="3038"/>
      <c r="R628" s="3038"/>
      <c r="S628" s="3038"/>
      <c r="T628" s="3038"/>
      <c r="W628" s="3038"/>
      <c r="X628" s="3038"/>
      <c r="Y628" s="3038"/>
      <c r="Z628" s="3038"/>
      <c r="AA628" s="3113"/>
      <c r="AB628" s="3038"/>
      <c r="AC628" s="3038"/>
      <c r="AD628" s="3038"/>
      <c r="AE628" s="3132"/>
      <c r="AF628" s="3038"/>
      <c r="AG628" s="3038"/>
      <c r="AH628" s="3038"/>
      <c r="AK628" s="3038"/>
      <c r="AL628" s="3038"/>
      <c r="AM628" s="3038"/>
      <c r="AN628" s="3038"/>
      <c r="AO628" s="3038"/>
      <c r="AP628" s="3038"/>
      <c r="AQ628" s="3038"/>
      <c r="AR628" s="3038"/>
      <c r="AS628" s="3038"/>
      <c r="AT628" s="3038"/>
      <c r="AU628" s="3038"/>
      <c r="AV628" s="3038"/>
      <c r="AW628" s="3038"/>
      <c r="AX628" s="3038"/>
      <c r="AY628" s="3038"/>
      <c r="AZ628" s="3038"/>
      <c r="BA628" s="3038"/>
      <c r="BB628" s="3038"/>
      <c r="BC628" s="3038"/>
      <c r="BD628" s="3038"/>
      <c r="BE628" s="3038"/>
      <c r="BF628" s="3038"/>
      <c r="BG628" s="3038"/>
      <c r="BH628" s="3038"/>
      <c r="BI628" s="3038"/>
      <c r="BJ628" s="3038"/>
      <c r="BK628" s="3038"/>
      <c r="BL628" s="3038"/>
      <c r="BM628" s="3038"/>
      <c r="BN628" s="3038"/>
      <c r="BO628" s="3038"/>
      <c r="BP628" s="3038"/>
      <c r="BQ628" s="3038"/>
      <c r="BR628" s="3038"/>
      <c r="BS628" s="3038"/>
      <c r="BT628" s="3038"/>
      <c r="BU628" s="3038"/>
    </row>
    <row r="629" spans="3:73">
      <c r="C629" s="3038"/>
      <c r="D629" s="3038"/>
      <c r="E629" s="3038"/>
      <c r="H629" s="3038"/>
      <c r="I629" s="3038"/>
      <c r="J629" s="3038"/>
      <c r="K629" s="3038"/>
      <c r="M629" s="3038"/>
      <c r="N629" s="3038"/>
      <c r="O629" s="3038"/>
      <c r="P629" s="3038"/>
      <c r="Q629" s="3038"/>
      <c r="R629" s="3038"/>
      <c r="S629" s="3038"/>
      <c r="T629" s="3038"/>
      <c r="W629" s="3038"/>
      <c r="X629" s="3038"/>
      <c r="Y629" s="3038"/>
      <c r="Z629" s="3038"/>
      <c r="AA629" s="3113"/>
      <c r="AB629" s="3038"/>
      <c r="AC629" s="3038"/>
      <c r="AD629" s="3038"/>
      <c r="AE629" s="3132"/>
      <c r="AF629" s="3038"/>
      <c r="AG629" s="3038"/>
      <c r="AH629" s="3038"/>
      <c r="AK629" s="3038"/>
      <c r="AL629" s="3038"/>
      <c r="AM629" s="3038"/>
      <c r="AN629" s="3038"/>
      <c r="AO629" s="3038"/>
      <c r="AP629" s="3038"/>
      <c r="AQ629" s="3038"/>
      <c r="AR629" s="3038"/>
      <c r="AS629" s="3038"/>
      <c r="AT629" s="3038"/>
      <c r="AU629" s="3038"/>
      <c r="AV629" s="3038"/>
      <c r="AW629" s="3038"/>
      <c r="AX629" s="3038"/>
      <c r="AY629" s="3038"/>
      <c r="AZ629" s="3038"/>
      <c r="BA629" s="3038"/>
      <c r="BB629" s="3038"/>
      <c r="BC629" s="3038"/>
      <c r="BD629" s="3038"/>
      <c r="BE629" s="3038"/>
      <c r="BF629" s="3038"/>
      <c r="BG629" s="3038"/>
      <c r="BH629" s="3038"/>
      <c r="BI629" s="3038"/>
      <c r="BJ629" s="3038"/>
      <c r="BK629" s="3038"/>
      <c r="BL629" s="3038"/>
      <c r="BM629" s="3038"/>
      <c r="BN629" s="3038"/>
      <c r="BO629" s="3038"/>
      <c r="BP629" s="3038"/>
      <c r="BQ629" s="3038"/>
      <c r="BR629" s="3038"/>
      <c r="BS629" s="3038"/>
      <c r="BT629" s="3038"/>
      <c r="BU629" s="3038"/>
    </row>
    <row r="630" spans="3:73">
      <c r="C630" s="3038"/>
      <c r="D630" s="3038"/>
      <c r="E630" s="3038"/>
      <c r="H630" s="3038"/>
      <c r="I630" s="3038"/>
      <c r="J630" s="3038"/>
      <c r="K630" s="3038"/>
      <c r="M630" s="3038"/>
      <c r="N630" s="3038"/>
      <c r="O630" s="3038"/>
      <c r="P630" s="3038"/>
      <c r="Q630" s="3038"/>
      <c r="R630" s="3038"/>
      <c r="S630" s="3038"/>
      <c r="T630" s="3038"/>
      <c r="W630" s="3038"/>
      <c r="X630" s="3038"/>
      <c r="Y630" s="3038"/>
      <c r="Z630" s="3038"/>
      <c r="AA630" s="3113"/>
      <c r="AB630" s="3038"/>
      <c r="AC630" s="3038"/>
      <c r="AD630" s="3038"/>
      <c r="AE630" s="3132"/>
      <c r="AF630" s="3038"/>
      <c r="AG630" s="3038"/>
      <c r="AH630" s="3038"/>
      <c r="AK630" s="3038"/>
      <c r="AL630" s="3038"/>
      <c r="AM630" s="3038"/>
      <c r="AN630" s="3038"/>
      <c r="AO630" s="3038"/>
      <c r="AP630" s="3038"/>
      <c r="AQ630" s="3038"/>
      <c r="AR630" s="3038"/>
      <c r="AS630" s="3038"/>
      <c r="AT630" s="3038"/>
      <c r="AU630" s="3038"/>
      <c r="AV630" s="3038"/>
      <c r="AW630" s="3038"/>
      <c r="AX630" s="3038"/>
      <c r="AY630" s="3038"/>
      <c r="AZ630" s="3038"/>
      <c r="BA630" s="3038"/>
      <c r="BB630" s="3038"/>
      <c r="BC630" s="3038"/>
      <c r="BD630" s="3038"/>
      <c r="BE630" s="3038"/>
      <c r="BF630" s="3038"/>
      <c r="BG630" s="3038"/>
      <c r="BH630" s="3038"/>
      <c r="BI630" s="3038"/>
      <c r="BJ630" s="3038"/>
      <c r="BK630" s="3038"/>
      <c r="BL630" s="3038"/>
      <c r="BM630" s="3038"/>
      <c r="BN630" s="3038"/>
      <c r="BO630" s="3038"/>
      <c r="BP630" s="3038"/>
      <c r="BQ630" s="3038"/>
      <c r="BR630" s="3038"/>
      <c r="BS630" s="3038"/>
      <c r="BT630" s="3038"/>
      <c r="BU630" s="3038"/>
    </row>
    <row r="631" spans="3:73">
      <c r="C631" s="3038"/>
      <c r="D631" s="3038"/>
      <c r="E631" s="3038"/>
      <c r="H631" s="3038"/>
      <c r="I631" s="3038"/>
      <c r="J631" s="3038"/>
      <c r="K631" s="3038"/>
      <c r="M631" s="3038"/>
      <c r="N631" s="3038"/>
      <c r="O631" s="3038"/>
      <c r="P631" s="3038"/>
      <c r="Q631" s="3038"/>
      <c r="R631" s="3038"/>
      <c r="S631" s="3038"/>
      <c r="T631" s="3038"/>
      <c r="W631" s="3038"/>
      <c r="X631" s="3038"/>
      <c r="Y631" s="3038"/>
      <c r="Z631" s="3038"/>
      <c r="AA631" s="3113"/>
      <c r="AB631" s="3038"/>
      <c r="AC631" s="3038"/>
      <c r="AD631" s="3038"/>
      <c r="AE631" s="3132"/>
      <c r="AF631" s="3038"/>
      <c r="AG631" s="3038"/>
      <c r="AH631" s="3038"/>
      <c r="AK631" s="3038"/>
      <c r="AL631" s="3038"/>
      <c r="AM631" s="3038"/>
      <c r="AN631" s="3038"/>
      <c r="AO631" s="3038"/>
      <c r="AP631" s="3038"/>
      <c r="AQ631" s="3038"/>
      <c r="AR631" s="3038"/>
      <c r="AS631" s="3038"/>
      <c r="AT631" s="3038"/>
      <c r="AU631" s="3038"/>
      <c r="AV631" s="3038"/>
      <c r="AW631" s="3038"/>
      <c r="AX631" s="3038"/>
      <c r="AY631" s="3038"/>
      <c r="AZ631" s="3038"/>
      <c r="BA631" s="3038"/>
      <c r="BB631" s="3038"/>
      <c r="BC631" s="3038"/>
      <c r="BD631" s="3038"/>
      <c r="BE631" s="3038"/>
      <c r="BF631" s="3038"/>
      <c r="BG631" s="3038"/>
      <c r="BH631" s="3038"/>
      <c r="BI631" s="3038"/>
      <c r="BJ631" s="3038"/>
      <c r="BK631" s="3038"/>
      <c r="BL631" s="3038"/>
      <c r="BM631" s="3038"/>
      <c r="BN631" s="3038"/>
      <c r="BO631" s="3038"/>
      <c r="BP631" s="3038"/>
      <c r="BQ631" s="3038"/>
      <c r="BR631" s="3038"/>
      <c r="BS631" s="3038"/>
      <c r="BT631" s="3038"/>
      <c r="BU631" s="3038"/>
    </row>
    <row r="632" spans="3:73">
      <c r="C632" s="3038"/>
      <c r="D632" s="3038"/>
      <c r="E632" s="3038"/>
      <c r="H632" s="3038"/>
      <c r="I632" s="3038"/>
      <c r="J632" s="3038"/>
      <c r="K632" s="3038"/>
      <c r="M632" s="3038"/>
      <c r="N632" s="3038"/>
      <c r="O632" s="3038"/>
      <c r="P632" s="3038"/>
      <c r="Q632" s="3038"/>
      <c r="R632" s="3038"/>
      <c r="S632" s="3038"/>
      <c r="T632" s="3038"/>
      <c r="W632" s="3038"/>
      <c r="X632" s="3038"/>
      <c r="Y632" s="3038"/>
      <c r="Z632" s="3038"/>
      <c r="AA632" s="3113"/>
      <c r="AB632" s="3038"/>
      <c r="AC632" s="3038"/>
      <c r="AD632" s="3038"/>
      <c r="AE632" s="3132"/>
      <c r="AF632" s="3038"/>
      <c r="AG632" s="3038"/>
      <c r="AH632" s="3038"/>
      <c r="AK632" s="3038"/>
      <c r="AL632" s="3038"/>
      <c r="AM632" s="3038"/>
      <c r="AN632" s="3038"/>
      <c r="AO632" s="3038"/>
      <c r="AP632" s="3038"/>
      <c r="AQ632" s="3038"/>
      <c r="AR632" s="3038"/>
      <c r="AS632" s="3038"/>
      <c r="AT632" s="3038"/>
      <c r="AU632" s="3038"/>
      <c r="AV632" s="3038"/>
      <c r="AW632" s="3038"/>
      <c r="AX632" s="3038"/>
      <c r="AY632" s="3038"/>
      <c r="AZ632" s="3038"/>
      <c r="BA632" s="3038"/>
      <c r="BB632" s="3038"/>
      <c r="BC632" s="3038"/>
      <c r="BD632" s="3038"/>
      <c r="BE632" s="3038"/>
      <c r="BF632" s="3038"/>
      <c r="BG632" s="3038"/>
      <c r="BH632" s="3038"/>
      <c r="BI632" s="3038"/>
      <c r="BJ632" s="3038"/>
      <c r="BK632" s="3038"/>
      <c r="BL632" s="3038"/>
      <c r="BM632" s="3038"/>
      <c r="BN632" s="3038"/>
      <c r="BO632" s="3038"/>
      <c r="BP632" s="3038"/>
      <c r="BQ632" s="3038"/>
      <c r="BR632" s="3038"/>
      <c r="BS632" s="3038"/>
      <c r="BT632" s="3038"/>
      <c r="BU632" s="3038"/>
    </row>
    <row r="633" spans="3:73">
      <c r="C633" s="3038"/>
      <c r="D633" s="3038"/>
      <c r="E633" s="3038"/>
      <c r="H633" s="3038"/>
      <c r="I633" s="3038"/>
      <c r="J633" s="3038"/>
      <c r="K633" s="3038"/>
      <c r="M633" s="3038"/>
      <c r="N633" s="3038"/>
      <c r="O633" s="3038"/>
      <c r="P633" s="3038"/>
      <c r="Q633" s="3038"/>
      <c r="R633" s="3038"/>
      <c r="S633" s="3038"/>
      <c r="T633" s="3038"/>
      <c r="W633" s="3038"/>
      <c r="X633" s="3038"/>
      <c r="Y633" s="3038"/>
      <c r="Z633" s="3038"/>
      <c r="AA633" s="3113"/>
      <c r="AB633" s="3038"/>
      <c r="AC633" s="3038"/>
      <c r="AD633" s="3038"/>
      <c r="AE633" s="3132"/>
      <c r="AF633" s="3038"/>
      <c r="AG633" s="3038"/>
      <c r="AH633" s="3038"/>
      <c r="AK633" s="3038"/>
      <c r="AL633" s="3038"/>
      <c r="AM633" s="3038"/>
      <c r="AN633" s="3038"/>
      <c r="AO633" s="3038"/>
      <c r="AP633" s="3038"/>
      <c r="AQ633" s="3038"/>
      <c r="AR633" s="3038"/>
      <c r="AS633" s="3038"/>
      <c r="AT633" s="3038"/>
      <c r="AU633" s="3038"/>
      <c r="AV633" s="3038"/>
      <c r="AW633" s="3038"/>
      <c r="AX633" s="3038"/>
      <c r="AY633" s="3038"/>
      <c r="AZ633" s="3038"/>
      <c r="BA633" s="3038"/>
      <c r="BB633" s="3038"/>
      <c r="BC633" s="3038"/>
      <c r="BD633" s="3038"/>
      <c r="BE633" s="3038"/>
      <c r="BF633" s="3038"/>
      <c r="BG633" s="3038"/>
      <c r="BH633" s="3038"/>
      <c r="BI633" s="3038"/>
      <c r="BJ633" s="3038"/>
      <c r="BK633" s="3038"/>
      <c r="BL633" s="3038"/>
      <c r="BM633" s="3038"/>
      <c r="BN633" s="3038"/>
      <c r="BO633" s="3038"/>
      <c r="BP633" s="3038"/>
      <c r="BQ633" s="3038"/>
      <c r="BR633" s="3038"/>
      <c r="BS633" s="3038"/>
      <c r="BT633" s="3038"/>
      <c r="BU633" s="3038"/>
    </row>
    <row r="634" spans="3:73">
      <c r="C634" s="3038"/>
      <c r="D634" s="3038"/>
      <c r="E634" s="3038"/>
      <c r="H634" s="3038"/>
      <c r="I634" s="3038"/>
      <c r="J634" s="3038"/>
      <c r="K634" s="3038"/>
      <c r="M634" s="3038"/>
      <c r="N634" s="3038"/>
      <c r="O634" s="3038"/>
      <c r="P634" s="3038"/>
      <c r="Q634" s="3038"/>
      <c r="R634" s="3038"/>
      <c r="S634" s="3038"/>
      <c r="T634" s="3038"/>
      <c r="W634" s="3038"/>
      <c r="X634" s="3038"/>
      <c r="Y634" s="3038"/>
      <c r="Z634" s="3038"/>
      <c r="AA634" s="3113"/>
      <c r="AB634" s="3038"/>
      <c r="AC634" s="3038"/>
      <c r="AD634" s="3038"/>
      <c r="AE634" s="3132"/>
      <c r="AF634" s="3038"/>
      <c r="AG634" s="3038"/>
      <c r="AH634" s="3038"/>
      <c r="AK634" s="3038"/>
      <c r="AL634" s="3038"/>
      <c r="AM634" s="3038"/>
      <c r="AN634" s="3038"/>
      <c r="AO634" s="3038"/>
      <c r="AP634" s="3038"/>
      <c r="AQ634" s="3038"/>
      <c r="AR634" s="3038"/>
      <c r="AS634" s="3038"/>
      <c r="AT634" s="3038"/>
      <c r="AU634" s="3038"/>
      <c r="AV634" s="3038"/>
      <c r="AW634" s="3038"/>
      <c r="AX634" s="3038"/>
      <c r="AY634" s="3038"/>
      <c r="AZ634" s="3038"/>
      <c r="BA634" s="3038"/>
      <c r="BB634" s="3038"/>
      <c r="BC634" s="3038"/>
      <c r="BD634" s="3038"/>
      <c r="BE634" s="3038"/>
      <c r="BF634" s="3038"/>
      <c r="BG634" s="3038"/>
      <c r="BH634" s="3038"/>
      <c r="BI634" s="3038"/>
      <c r="BJ634" s="3038"/>
      <c r="BK634" s="3038"/>
      <c r="BL634" s="3038"/>
      <c r="BM634" s="3038"/>
      <c r="BN634" s="3038"/>
      <c r="BO634" s="3038"/>
      <c r="BP634" s="3038"/>
      <c r="BQ634" s="3038"/>
      <c r="BR634" s="3038"/>
      <c r="BS634" s="3038"/>
      <c r="BT634" s="3038"/>
      <c r="BU634" s="3038"/>
    </row>
    <row r="635" spans="3:73">
      <c r="C635" s="3038"/>
      <c r="D635" s="3038"/>
      <c r="E635" s="3038"/>
      <c r="H635" s="3038"/>
      <c r="I635" s="3038"/>
      <c r="J635" s="3038"/>
      <c r="K635" s="3038"/>
      <c r="M635" s="3038"/>
      <c r="N635" s="3038"/>
      <c r="O635" s="3038"/>
      <c r="P635" s="3038"/>
      <c r="Q635" s="3038"/>
      <c r="R635" s="3038"/>
      <c r="S635" s="3038"/>
      <c r="T635" s="3038"/>
      <c r="W635" s="3038"/>
      <c r="X635" s="3038"/>
      <c r="Y635" s="3038"/>
      <c r="Z635" s="3038"/>
      <c r="AA635" s="3113"/>
      <c r="AB635" s="3038"/>
      <c r="AC635" s="3038"/>
      <c r="AD635" s="3038"/>
      <c r="AE635" s="3132"/>
      <c r="AF635" s="3038"/>
      <c r="AG635" s="3038"/>
      <c r="AH635" s="3038"/>
      <c r="AK635" s="3038"/>
      <c r="AL635" s="3038"/>
      <c r="AM635" s="3038"/>
      <c r="AN635" s="3038"/>
      <c r="AO635" s="3038"/>
      <c r="AP635" s="3038"/>
      <c r="AQ635" s="3038"/>
      <c r="AR635" s="3038"/>
      <c r="AS635" s="3038"/>
      <c r="AT635" s="3038"/>
      <c r="AU635" s="3038"/>
      <c r="AV635" s="3038"/>
      <c r="AW635" s="3038"/>
      <c r="AX635" s="3038"/>
      <c r="AY635" s="3038"/>
      <c r="AZ635" s="3038"/>
      <c r="BA635" s="3038"/>
      <c r="BB635" s="3038"/>
      <c r="BC635" s="3038"/>
      <c r="BD635" s="3038"/>
      <c r="BE635" s="3038"/>
      <c r="BF635" s="3038"/>
      <c r="BG635" s="3038"/>
      <c r="BH635" s="3038"/>
      <c r="BI635" s="3038"/>
      <c r="BJ635" s="3038"/>
      <c r="BK635" s="3038"/>
      <c r="BL635" s="3038"/>
      <c r="BM635" s="3038"/>
      <c r="BN635" s="3038"/>
      <c r="BO635" s="3038"/>
      <c r="BP635" s="3038"/>
      <c r="BQ635" s="3038"/>
      <c r="BR635" s="3038"/>
      <c r="BS635" s="3038"/>
      <c r="BT635" s="3038"/>
      <c r="BU635" s="3038"/>
    </row>
    <row r="636" spans="3:73">
      <c r="C636" s="3038"/>
      <c r="D636" s="3038"/>
      <c r="E636" s="3038"/>
      <c r="H636" s="3038"/>
      <c r="I636" s="3038"/>
      <c r="J636" s="3038"/>
      <c r="K636" s="3038"/>
      <c r="M636" s="3038"/>
      <c r="N636" s="3038"/>
      <c r="O636" s="3038"/>
      <c r="P636" s="3038"/>
      <c r="Q636" s="3038"/>
      <c r="R636" s="3038"/>
      <c r="S636" s="3038"/>
      <c r="T636" s="3038"/>
      <c r="W636" s="3038"/>
      <c r="X636" s="3038"/>
      <c r="Y636" s="3038"/>
      <c r="Z636" s="3038"/>
      <c r="AA636" s="3113"/>
      <c r="AB636" s="3038"/>
      <c r="AC636" s="3038"/>
      <c r="AD636" s="3038"/>
      <c r="AE636" s="3132"/>
      <c r="AF636" s="3038"/>
      <c r="AG636" s="3038"/>
      <c r="AH636" s="3038"/>
      <c r="AK636" s="3038"/>
      <c r="AL636" s="3038"/>
      <c r="AM636" s="3038"/>
      <c r="AN636" s="3038"/>
      <c r="AO636" s="3038"/>
      <c r="AP636" s="3038"/>
      <c r="AQ636" s="3038"/>
      <c r="AR636" s="3038"/>
      <c r="AS636" s="3038"/>
      <c r="AT636" s="3038"/>
      <c r="AU636" s="3038"/>
      <c r="AV636" s="3038"/>
      <c r="AW636" s="3038"/>
      <c r="AX636" s="3038"/>
      <c r="AY636" s="3038"/>
      <c r="AZ636" s="3038"/>
      <c r="BA636" s="3038"/>
      <c r="BB636" s="3038"/>
      <c r="BC636" s="3038"/>
      <c r="BD636" s="3038"/>
      <c r="BE636" s="3038"/>
      <c r="BF636" s="3038"/>
      <c r="BG636" s="3038"/>
      <c r="BH636" s="3038"/>
      <c r="BI636" s="3038"/>
      <c r="BJ636" s="3038"/>
      <c r="BK636" s="3038"/>
      <c r="BL636" s="3038"/>
      <c r="BM636" s="3038"/>
      <c r="BN636" s="3038"/>
      <c r="BO636" s="3038"/>
      <c r="BP636" s="3038"/>
      <c r="BQ636" s="3038"/>
      <c r="BR636" s="3038"/>
      <c r="BS636" s="3038"/>
      <c r="BT636" s="3038"/>
      <c r="BU636" s="3038"/>
    </row>
    <row r="637" spans="3:73">
      <c r="C637" s="3038"/>
      <c r="D637" s="3038"/>
      <c r="E637" s="3038"/>
      <c r="H637" s="3038"/>
      <c r="I637" s="3038"/>
      <c r="J637" s="3038"/>
      <c r="K637" s="3038"/>
      <c r="M637" s="3038"/>
      <c r="N637" s="3038"/>
      <c r="O637" s="3038"/>
      <c r="P637" s="3038"/>
      <c r="Q637" s="3038"/>
      <c r="R637" s="3038"/>
      <c r="S637" s="3038"/>
      <c r="T637" s="3038"/>
      <c r="W637" s="3038"/>
      <c r="X637" s="3038"/>
      <c r="Y637" s="3038"/>
      <c r="Z637" s="3038"/>
      <c r="AA637" s="3113"/>
      <c r="AB637" s="3038"/>
      <c r="AC637" s="3038"/>
      <c r="AD637" s="3038"/>
      <c r="AE637" s="3132"/>
      <c r="AF637" s="3038"/>
      <c r="AG637" s="3038"/>
      <c r="AH637" s="3038"/>
      <c r="AK637" s="3038"/>
      <c r="AL637" s="3038"/>
      <c r="AM637" s="3038"/>
      <c r="AN637" s="3038"/>
      <c r="AO637" s="3038"/>
      <c r="AP637" s="3038"/>
      <c r="AQ637" s="3038"/>
      <c r="AR637" s="3038"/>
      <c r="AS637" s="3038"/>
      <c r="AT637" s="3038"/>
      <c r="AU637" s="3038"/>
      <c r="AV637" s="3038"/>
      <c r="AW637" s="3038"/>
      <c r="AX637" s="3038"/>
      <c r="AY637" s="3038"/>
      <c r="AZ637" s="3038"/>
      <c r="BA637" s="3038"/>
      <c r="BB637" s="3038"/>
      <c r="BC637" s="3038"/>
      <c r="BD637" s="3038"/>
      <c r="BE637" s="3038"/>
      <c r="BF637" s="3038"/>
      <c r="BG637" s="3038"/>
      <c r="BH637" s="3038"/>
      <c r="BI637" s="3038"/>
      <c r="BJ637" s="3038"/>
      <c r="BK637" s="3038"/>
      <c r="BL637" s="3038"/>
      <c r="BM637" s="3038"/>
      <c r="BN637" s="3038"/>
      <c r="BO637" s="3038"/>
      <c r="BP637" s="3038"/>
      <c r="BQ637" s="3038"/>
      <c r="BR637" s="3038"/>
      <c r="BS637" s="3038"/>
      <c r="BT637" s="3038"/>
      <c r="BU637" s="3038"/>
    </row>
    <row r="638" spans="3:73">
      <c r="C638" s="3038"/>
      <c r="D638" s="3038"/>
      <c r="E638" s="3038"/>
      <c r="H638" s="3038"/>
      <c r="I638" s="3038"/>
      <c r="J638" s="3038"/>
      <c r="K638" s="3038"/>
      <c r="M638" s="3038"/>
      <c r="N638" s="3038"/>
      <c r="O638" s="3038"/>
      <c r="P638" s="3038"/>
      <c r="Q638" s="3038"/>
      <c r="R638" s="3038"/>
      <c r="S638" s="3038"/>
      <c r="T638" s="3038"/>
      <c r="W638" s="3038"/>
      <c r="X638" s="3038"/>
      <c r="Y638" s="3038"/>
      <c r="Z638" s="3038"/>
      <c r="AA638" s="3113"/>
      <c r="AB638" s="3038"/>
      <c r="AC638" s="3038"/>
      <c r="AD638" s="3038"/>
      <c r="AE638" s="3132"/>
      <c r="AF638" s="3038"/>
      <c r="AG638" s="3038"/>
      <c r="AH638" s="3038"/>
      <c r="AK638" s="3038"/>
      <c r="AL638" s="3038"/>
      <c r="AM638" s="3038"/>
      <c r="AN638" s="3038"/>
      <c r="AO638" s="3038"/>
      <c r="AP638" s="3038"/>
      <c r="AQ638" s="3038"/>
      <c r="AR638" s="3038"/>
      <c r="AS638" s="3038"/>
      <c r="AT638" s="3038"/>
      <c r="AU638" s="3038"/>
      <c r="AV638" s="3038"/>
      <c r="AW638" s="3038"/>
      <c r="AX638" s="3038"/>
      <c r="AY638" s="3038"/>
      <c r="AZ638" s="3038"/>
      <c r="BA638" s="3038"/>
      <c r="BB638" s="3038"/>
      <c r="BC638" s="3038"/>
      <c r="BD638" s="3038"/>
      <c r="BE638" s="3038"/>
      <c r="BF638" s="3038"/>
      <c r="BG638" s="3038"/>
      <c r="BH638" s="3038"/>
      <c r="BI638" s="3038"/>
      <c r="BJ638" s="3038"/>
      <c r="BK638" s="3038"/>
      <c r="BL638" s="3038"/>
      <c r="BM638" s="3038"/>
      <c r="BN638" s="3038"/>
      <c r="BO638" s="3038"/>
      <c r="BP638" s="3038"/>
      <c r="BQ638" s="3038"/>
      <c r="BR638" s="3038"/>
      <c r="BS638" s="3038"/>
      <c r="BT638" s="3038"/>
      <c r="BU638" s="3038"/>
    </row>
    <row r="639" spans="3:73">
      <c r="C639" s="3038"/>
      <c r="D639" s="3038"/>
      <c r="E639" s="3038"/>
      <c r="H639" s="3038"/>
      <c r="I639" s="3038"/>
      <c r="J639" s="3038"/>
      <c r="K639" s="3038"/>
      <c r="M639" s="3038"/>
      <c r="N639" s="3038"/>
      <c r="O639" s="3038"/>
      <c r="P639" s="3038"/>
      <c r="Q639" s="3038"/>
      <c r="R639" s="3038"/>
      <c r="S639" s="3038"/>
      <c r="T639" s="3038"/>
      <c r="W639" s="3038"/>
      <c r="X639" s="3038"/>
      <c r="Y639" s="3038"/>
      <c r="Z639" s="3038"/>
      <c r="AA639" s="3113"/>
      <c r="AB639" s="3038"/>
      <c r="AC639" s="3038"/>
      <c r="AD639" s="3038"/>
      <c r="AE639" s="3132"/>
      <c r="AF639" s="3038"/>
      <c r="AG639" s="3038"/>
      <c r="AH639" s="3038"/>
      <c r="AK639" s="3038"/>
      <c r="AL639" s="3038"/>
      <c r="AM639" s="3038"/>
      <c r="AN639" s="3038"/>
      <c r="AO639" s="3038"/>
      <c r="AP639" s="3038"/>
      <c r="AQ639" s="3038"/>
      <c r="AR639" s="3038"/>
      <c r="AS639" s="3038"/>
      <c r="AT639" s="3038"/>
      <c r="AU639" s="3038"/>
      <c r="AV639" s="3038"/>
      <c r="AW639" s="3038"/>
      <c r="AX639" s="3038"/>
      <c r="AY639" s="3038"/>
      <c r="AZ639" s="3038"/>
      <c r="BA639" s="3038"/>
      <c r="BB639" s="3038"/>
      <c r="BC639" s="3038"/>
      <c r="BD639" s="3038"/>
      <c r="BE639" s="3038"/>
      <c r="BF639" s="3038"/>
      <c r="BG639" s="3038"/>
      <c r="BH639" s="3038"/>
      <c r="BI639" s="3038"/>
      <c r="BJ639" s="3038"/>
      <c r="BK639" s="3038"/>
      <c r="BL639" s="3038"/>
      <c r="BM639" s="3038"/>
      <c r="BN639" s="3038"/>
      <c r="BO639" s="3038"/>
      <c r="BP639" s="3038"/>
      <c r="BQ639" s="3038"/>
      <c r="BR639" s="3038"/>
      <c r="BS639" s="3038"/>
      <c r="BT639" s="3038"/>
      <c r="BU639" s="3038"/>
    </row>
    <row r="640" spans="3:73">
      <c r="C640" s="3038"/>
      <c r="D640" s="3038"/>
      <c r="E640" s="3038"/>
      <c r="H640" s="3038"/>
      <c r="I640" s="3038"/>
      <c r="J640" s="3038"/>
      <c r="K640" s="3038"/>
      <c r="M640" s="3038"/>
      <c r="N640" s="3038"/>
      <c r="O640" s="3038"/>
      <c r="P640" s="3038"/>
      <c r="Q640" s="3038"/>
      <c r="R640" s="3038"/>
      <c r="S640" s="3038"/>
      <c r="T640" s="3038"/>
      <c r="W640" s="3038"/>
      <c r="X640" s="3038"/>
      <c r="Y640" s="3038"/>
      <c r="Z640" s="3038"/>
      <c r="AA640" s="3113"/>
      <c r="AB640" s="3038"/>
      <c r="AC640" s="3038"/>
      <c r="AD640" s="3038"/>
      <c r="AE640" s="3132"/>
      <c r="AF640" s="3038"/>
      <c r="AG640" s="3038"/>
      <c r="AH640" s="3038"/>
      <c r="AK640" s="3038"/>
      <c r="AL640" s="3038"/>
      <c r="AM640" s="3038"/>
      <c r="AN640" s="3038"/>
      <c r="AO640" s="3038"/>
      <c r="AP640" s="3038"/>
      <c r="AQ640" s="3038"/>
      <c r="AR640" s="3038"/>
      <c r="AS640" s="3038"/>
      <c r="AT640" s="3038"/>
      <c r="AU640" s="3038"/>
      <c r="AV640" s="3038"/>
      <c r="AW640" s="3038"/>
      <c r="AX640" s="3038"/>
      <c r="AY640" s="3038"/>
      <c r="AZ640" s="3038"/>
      <c r="BA640" s="3038"/>
      <c r="BB640" s="3038"/>
      <c r="BC640" s="3038"/>
      <c r="BD640" s="3038"/>
      <c r="BE640" s="3038"/>
      <c r="BF640" s="3038"/>
      <c r="BG640" s="3038"/>
      <c r="BH640" s="3038"/>
      <c r="BI640" s="3038"/>
      <c r="BJ640" s="3038"/>
      <c r="BK640" s="3038"/>
      <c r="BL640" s="3038"/>
      <c r="BM640" s="3038"/>
      <c r="BN640" s="3038"/>
      <c r="BO640" s="3038"/>
      <c r="BP640" s="3038"/>
      <c r="BQ640" s="3038"/>
      <c r="BR640" s="3038"/>
      <c r="BS640" s="3038"/>
      <c r="BT640" s="3038"/>
      <c r="BU640" s="3038"/>
    </row>
    <row r="641" spans="3:73">
      <c r="C641" s="3038"/>
      <c r="D641" s="3038"/>
      <c r="E641" s="3038"/>
      <c r="H641" s="3038"/>
      <c r="I641" s="3038"/>
      <c r="J641" s="3038"/>
      <c r="K641" s="3038"/>
      <c r="M641" s="3038"/>
      <c r="N641" s="3038"/>
      <c r="O641" s="3038"/>
      <c r="P641" s="3038"/>
      <c r="Q641" s="3038"/>
      <c r="R641" s="3038"/>
      <c r="S641" s="3038"/>
      <c r="T641" s="3038"/>
      <c r="W641" s="3038"/>
      <c r="X641" s="3038"/>
      <c r="Y641" s="3038"/>
      <c r="Z641" s="3038"/>
      <c r="AA641" s="3113"/>
      <c r="AB641" s="3038"/>
      <c r="AC641" s="3038"/>
      <c r="AD641" s="3038"/>
      <c r="AE641" s="3132"/>
      <c r="AF641" s="3038"/>
      <c r="AG641" s="3038"/>
      <c r="AH641" s="3038"/>
      <c r="AK641" s="3038"/>
      <c r="AL641" s="3038"/>
      <c r="AM641" s="3038"/>
      <c r="AN641" s="3038"/>
      <c r="AO641" s="3038"/>
      <c r="AP641" s="3038"/>
      <c r="AQ641" s="3038"/>
      <c r="AR641" s="3038"/>
      <c r="AS641" s="3038"/>
      <c r="AT641" s="3038"/>
      <c r="AU641" s="3038"/>
      <c r="AV641" s="3038"/>
      <c r="AW641" s="3038"/>
      <c r="AX641" s="3038"/>
      <c r="AY641" s="3038"/>
      <c r="AZ641" s="3038"/>
      <c r="BA641" s="3038"/>
      <c r="BB641" s="3038"/>
      <c r="BC641" s="3038"/>
      <c r="BD641" s="3038"/>
      <c r="BE641" s="3038"/>
      <c r="BF641" s="3038"/>
      <c r="BG641" s="3038"/>
      <c r="BH641" s="3038"/>
      <c r="BI641" s="3038"/>
      <c r="BJ641" s="3038"/>
      <c r="BK641" s="3038"/>
      <c r="BL641" s="3038"/>
      <c r="BM641" s="3038"/>
      <c r="BN641" s="3038"/>
      <c r="BO641" s="3038"/>
      <c r="BP641" s="3038"/>
      <c r="BQ641" s="3038"/>
      <c r="BR641" s="3038"/>
      <c r="BS641" s="3038"/>
      <c r="BT641" s="3038"/>
      <c r="BU641" s="3038"/>
    </row>
    <row r="642" spans="3:73">
      <c r="C642" s="3038"/>
      <c r="D642" s="3038"/>
      <c r="E642" s="3038"/>
      <c r="H642" s="3038"/>
      <c r="I642" s="3038"/>
      <c r="J642" s="3038"/>
      <c r="K642" s="3038"/>
      <c r="M642" s="3038"/>
      <c r="N642" s="3038"/>
      <c r="O642" s="3038"/>
      <c r="P642" s="3038"/>
      <c r="Q642" s="3038"/>
      <c r="R642" s="3038"/>
      <c r="S642" s="3038"/>
      <c r="T642" s="3038"/>
      <c r="W642" s="3038"/>
      <c r="X642" s="3038"/>
      <c r="Y642" s="3038"/>
      <c r="Z642" s="3038"/>
      <c r="AA642" s="3113"/>
      <c r="AB642" s="3038"/>
      <c r="AC642" s="3038"/>
      <c r="AD642" s="3038"/>
      <c r="AE642" s="3132"/>
      <c r="AF642" s="3038"/>
      <c r="AG642" s="3038"/>
      <c r="AH642" s="3038"/>
      <c r="AK642" s="3038"/>
      <c r="AL642" s="3038"/>
      <c r="AM642" s="3038"/>
      <c r="AN642" s="3038"/>
      <c r="AO642" s="3038"/>
      <c r="AP642" s="3038"/>
      <c r="AQ642" s="3038"/>
      <c r="AR642" s="3038"/>
      <c r="AS642" s="3038"/>
      <c r="AT642" s="3038"/>
      <c r="AU642" s="3038"/>
      <c r="AV642" s="3038"/>
      <c r="AW642" s="3038"/>
      <c r="AX642" s="3038"/>
      <c r="AY642" s="3038"/>
      <c r="AZ642" s="3038"/>
      <c r="BA642" s="3038"/>
      <c r="BB642" s="3038"/>
      <c r="BC642" s="3038"/>
      <c r="BD642" s="3038"/>
      <c r="BE642" s="3038"/>
      <c r="BF642" s="3038"/>
      <c r="BG642" s="3038"/>
      <c r="BH642" s="3038"/>
      <c r="BI642" s="3038"/>
      <c r="BJ642" s="3038"/>
      <c r="BK642" s="3038"/>
      <c r="BL642" s="3038"/>
      <c r="BM642" s="3038"/>
      <c r="BN642" s="3038"/>
      <c r="BO642" s="3038"/>
      <c r="BP642" s="3038"/>
      <c r="BQ642" s="3038"/>
      <c r="BR642" s="3038"/>
      <c r="BS642" s="3038"/>
      <c r="BT642" s="3038"/>
      <c r="BU642" s="3038"/>
    </row>
    <row r="643" spans="3:73">
      <c r="C643" s="3038"/>
      <c r="D643" s="3038"/>
      <c r="E643" s="3038"/>
      <c r="H643" s="3038"/>
      <c r="I643" s="3038"/>
      <c r="J643" s="3038"/>
      <c r="K643" s="3038"/>
      <c r="M643" s="3038"/>
      <c r="N643" s="3038"/>
      <c r="O643" s="3038"/>
      <c r="P643" s="3038"/>
      <c r="Q643" s="3038"/>
      <c r="R643" s="3038"/>
      <c r="S643" s="3038"/>
      <c r="T643" s="3038"/>
      <c r="W643" s="3038"/>
      <c r="X643" s="3038"/>
      <c r="Y643" s="3038"/>
      <c r="Z643" s="3038"/>
      <c r="AA643" s="3113"/>
      <c r="AB643" s="3038"/>
      <c r="AC643" s="3038"/>
      <c r="AD643" s="3038"/>
      <c r="AE643" s="3132"/>
      <c r="AF643" s="3038"/>
      <c r="AG643" s="3038"/>
      <c r="AH643" s="3038"/>
      <c r="AK643" s="3038"/>
      <c r="AL643" s="3038"/>
      <c r="AM643" s="3038"/>
      <c r="AN643" s="3038"/>
      <c r="AO643" s="3038"/>
      <c r="AP643" s="3038"/>
      <c r="AQ643" s="3038"/>
      <c r="AR643" s="3038"/>
      <c r="AS643" s="3038"/>
      <c r="AT643" s="3038"/>
      <c r="AU643" s="3038"/>
      <c r="AV643" s="3038"/>
      <c r="AW643" s="3038"/>
      <c r="AX643" s="3038"/>
      <c r="AY643" s="3038"/>
      <c r="AZ643" s="3038"/>
      <c r="BA643" s="3038"/>
      <c r="BB643" s="3038"/>
      <c r="BC643" s="3038"/>
      <c r="BD643" s="3038"/>
      <c r="BE643" s="3038"/>
      <c r="BF643" s="3038"/>
      <c r="BG643" s="3038"/>
      <c r="BH643" s="3038"/>
      <c r="BI643" s="3038"/>
      <c r="BJ643" s="3038"/>
      <c r="BK643" s="3038"/>
      <c r="BL643" s="3038"/>
      <c r="BM643" s="3038"/>
      <c r="BN643" s="3038"/>
      <c r="BO643" s="3038"/>
      <c r="BP643" s="3038"/>
      <c r="BQ643" s="3038"/>
      <c r="BR643" s="3038"/>
      <c r="BS643" s="3038"/>
      <c r="BT643" s="3038"/>
      <c r="BU643" s="3038"/>
    </row>
    <row r="644" spans="3:73">
      <c r="C644" s="3038"/>
      <c r="D644" s="3038"/>
      <c r="E644" s="3038"/>
      <c r="H644" s="3038"/>
      <c r="I644" s="3038"/>
      <c r="J644" s="3038"/>
      <c r="K644" s="3038"/>
      <c r="M644" s="3038"/>
      <c r="N644" s="3038"/>
      <c r="O644" s="3038"/>
      <c r="P644" s="3038"/>
      <c r="Q644" s="3038"/>
      <c r="R644" s="3038"/>
      <c r="S644" s="3038"/>
      <c r="T644" s="3038"/>
      <c r="W644" s="3038"/>
      <c r="X644" s="3038"/>
      <c r="Y644" s="3038"/>
      <c r="Z644" s="3038"/>
      <c r="AA644" s="3113"/>
      <c r="AB644" s="3038"/>
      <c r="AC644" s="3038"/>
      <c r="AD644" s="3038"/>
      <c r="AE644" s="3132"/>
      <c r="AF644" s="3038"/>
      <c r="AG644" s="3038"/>
      <c r="AH644" s="3038"/>
      <c r="AK644" s="3038"/>
      <c r="AL644" s="3038"/>
      <c r="AM644" s="3038"/>
      <c r="AN644" s="3038"/>
      <c r="AO644" s="3038"/>
      <c r="AP644" s="3038"/>
      <c r="AQ644" s="3038"/>
      <c r="AR644" s="3038"/>
      <c r="AS644" s="3038"/>
      <c r="AT644" s="3038"/>
      <c r="AU644" s="3038"/>
      <c r="AV644" s="3038"/>
      <c r="AW644" s="3038"/>
      <c r="AX644" s="3038"/>
      <c r="AY644" s="3038"/>
      <c r="AZ644" s="3038"/>
      <c r="BA644" s="3038"/>
      <c r="BB644" s="3038"/>
      <c r="BC644" s="3038"/>
      <c r="BD644" s="3038"/>
      <c r="BE644" s="3038"/>
      <c r="BF644" s="3038"/>
      <c r="BG644" s="3038"/>
      <c r="BH644" s="3038"/>
      <c r="BI644" s="3038"/>
      <c r="BJ644" s="3038"/>
      <c r="BK644" s="3038"/>
      <c r="BL644" s="3038"/>
      <c r="BM644" s="3038"/>
      <c r="BN644" s="3038"/>
      <c r="BO644" s="3038"/>
      <c r="BP644" s="3038"/>
      <c r="BQ644" s="3038"/>
      <c r="BR644" s="3038"/>
      <c r="BS644" s="3038"/>
      <c r="BT644" s="3038"/>
      <c r="BU644" s="3038"/>
    </row>
    <row r="645" spans="3:73">
      <c r="C645" s="3038"/>
      <c r="D645" s="3038"/>
      <c r="E645" s="3038"/>
      <c r="H645" s="3038"/>
      <c r="I645" s="3038"/>
      <c r="J645" s="3038"/>
      <c r="K645" s="3038"/>
      <c r="M645" s="3038"/>
      <c r="N645" s="3038"/>
      <c r="O645" s="3038"/>
      <c r="P645" s="3038"/>
      <c r="Q645" s="3038"/>
      <c r="R645" s="3038"/>
      <c r="S645" s="3038"/>
      <c r="T645" s="3038"/>
      <c r="W645" s="3038"/>
      <c r="X645" s="3038"/>
      <c r="Y645" s="3038"/>
      <c r="Z645" s="3038"/>
      <c r="AA645" s="3113"/>
      <c r="AB645" s="3038"/>
      <c r="AC645" s="3038"/>
      <c r="AD645" s="3038"/>
      <c r="AE645" s="3132"/>
      <c r="AF645" s="3038"/>
      <c r="AG645" s="3038"/>
      <c r="AH645" s="3038"/>
      <c r="AK645" s="3038"/>
      <c r="AL645" s="3038"/>
      <c r="AM645" s="3038"/>
      <c r="AN645" s="3038"/>
      <c r="AO645" s="3038"/>
      <c r="AP645" s="3038"/>
      <c r="AQ645" s="3038"/>
      <c r="AR645" s="3038"/>
      <c r="AS645" s="3038"/>
      <c r="AT645" s="3038"/>
      <c r="AU645" s="3038"/>
      <c r="AV645" s="3038"/>
      <c r="AW645" s="3038"/>
      <c r="AX645" s="3038"/>
      <c r="AY645" s="3038"/>
      <c r="AZ645" s="3038"/>
      <c r="BA645" s="3038"/>
      <c r="BB645" s="3038"/>
      <c r="BC645" s="3038"/>
      <c r="BD645" s="3038"/>
      <c r="BE645" s="3038"/>
      <c r="BF645" s="3038"/>
      <c r="BG645" s="3038"/>
      <c r="BH645" s="3038"/>
      <c r="BI645" s="3038"/>
      <c r="BJ645" s="3038"/>
      <c r="BK645" s="3038"/>
      <c r="BL645" s="3038"/>
      <c r="BM645" s="3038"/>
      <c r="BN645" s="3038"/>
      <c r="BO645" s="3038"/>
      <c r="BP645" s="3038"/>
      <c r="BQ645" s="3038"/>
      <c r="BR645" s="3038"/>
      <c r="BS645" s="3038"/>
      <c r="BT645" s="3038"/>
      <c r="BU645" s="3038"/>
    </row>
    <row r="646" spans="3:73">
      <c r="C646" s="3038"/>
      <c r="D646" s="3038"/>
      <c r="E646" s="3038"/>
      <c r="H646" s="3038"/>
      <c r="I646" s="3038"/>
      <c r="J646" s="3038"/>
      <c r="K646" s="3038"/>
      <c r="M646" s="3038"/>
      <c r="N646" s="3038"/>
      <c r="O646" s="3038"/>
      <c r="P646" s="3038"/>
      <c r="Q646" s="3038"/>
      <c r="R646" s="3038"/>
      <c r="S646" s="3038"/>
      <c r="T646" s="3038"/>
      <c r="W646" s="3038"/>
      <c r="X646" s="3038"/>
      <c r="Y646" s="3038"/>
      <c r="Z646" s="3038"/>
      <c r="AA646" s="3113"/>
      <c r="AB646" s="3038"/>
      <c r="AC646" s="3038"/>
      <c r="AD646" s="3038"/>
      <c r="AE646" s="3132"/>
      <c r="AF646" s="3038"/>
      <c r="AG646" s="3038"/>
      <c r="AH646" s="3038"/>
      <c r="AK646" s="3038"/>
      <c r="AL646" s="3038"/>
      <c r="AM646" s="3038"/>
      <c r="AN646" s="3038"/>
      <c r="AO646" s="3038"/>
      <c r="AP646" s="3038"/>
      <c r="AQ646" s="3038"/>
      <c r="AR646" s="3038"/>
      <c r="AS646" s="3038"/>
      <c r="AT646" s="3038"/>
      <c r="AU646" s="3038"/>
      <c r="AV646" s="3038"/>
      <c r="AW646" s="3038"/>
      <c r="AX646" s="3038"/>
      <c r="AY646" s="3038"/>
      <c r="AZ646" s="3038"/>
      <c r="BA646" s="3038"/>
      <c r="BB646" s="3038"/>
      <c r="BC646" s="3038"/>
      <c r="BD646" s="3038"/>
      <c r="BE646" s="3038"/>
      <c r="BF646" s="3038"/>
      <c r="BG646" s="3038"/>
      <c r="BH646" s="3038"/>
      <c r="BI646" s="3038"/>
      <c r="BJ646" s="3038"/>
      <c r="BK646" s="3038"/>
      <c r="BL646" s="3038"/>
      <c r="BM646" s="3038"/>
      <c r="BN646" s="3038"/>
      <c r="BO646" s="3038"/>
      <c r="BP646" s="3038"/>
      <c r="BQ646" s="3038"/>
      <c r="BR646" s="3038"/>
      <c r="BS646" s="3038"/>
      <c r="BT646" s="3038"/>
      <c r="BU646" s="3038"/>
    </row>
    <row r="647" spans="3:73">
      <c r="C647" s="3038"/>
      <c r="D647" s="3038"/>
      <c r="E647" s="3038"/>
      <c r="H647" s="3038"/>
      <c r="I647" s="3038"/>
      <c r="J647" s="3038"/>
      <c r="K647" s="3038"/>
      <c r="M647" s="3038"/>
      <c r="N647" s="3038"/>
      <c r="O647" s="3038"/>
      <c r="P647" s="3038"/>
      <c r="Q647" s="3038"/>
      <c r="R647" s="3038"/>
      <c r="S647" s="3038"/>
      <c r="T647" s="3038"/>
      <c r="W647" s="3038"/>
      <c r="X647" s="3038"/>
      <c r="Y647" s="3038"/>
      <c r="Z647" s="3038"/>
      <c r="AA647" s="3113"/>
      <c r="AB647" s="3038"/>
      <c r="AC647" s="3038"/>
      <c r="AD647" s="3038"/>
      <c r="AE647" s="3132"/>
      <c r="AF647" s="3038"/>
      <c r="AG647" s="3038"/>
      <c r="AH647" s="3038"/>
      <c r="AK647" s="3038"/>
      <c r="AL647" s="3038"/>
      <c r="AM647" s="3038"/>
      <c r="AN647" s="3038"/>
      <c r="AO647" s="3038"/>
      <c r="AP647" s="3038"/>
      <c r="AQ647" s="3038"/>
      <c r="AR647" s="3038"/>
      <c r="AS647" s="3038"/>
      <c r="AT647" s="3038"/>
      <c r="AU647" s="3038"/>
      <c r="AV647" s="3038"/>
      <c r="AW647" s="3038"/>
      <c r="AX647" s="3038"/>
      <c r="AY647" s="3038"/>
      <c r="AZ647" s="3038"/>
      <c r="BA647" s="3038"/>
      <c r="BB647" s="3038"/>
      <c r="BC647" s="3038"/>
      <c r="BD647" s="3038"/>
      <c r="BE647" s="3038"/>
      <c r="BF647" s="3038"/>
      <c r="BG647" s="3038"/>
      <c r="BH647" s="3038"/>
      <c r="BI647" s="3038"/>
      <c r="BJ647" s="3038"/>
      <c r="BK647" s="3038"/>
      <c r="BL647" s="3038"/>
      <c r="BM647" s="3038"/>
      <c r="BN647" s="3038"/>
      <c r="BO647" s="3038"/>
      <c r="BP647" s="3038"/>
      <c r="BQ647" s="3038"/>
      <c r="BR647" s="3038"/>
      <c r="BS647" s="3038"/>
      <c r="BT647" s="3038"/>
      <c r="BU647" s="3038"/>
    </row>
    <row r="648" spans="3:73">
      <c r="C648" s="3038"/>
      <c r="D648" s="3038"/>
      <c r="E648" s="3038"/>
      <c r="H648" s="3038"/>
      <c r="I648" s="3038"/>
      <c r="J648" s="3038"/>
      <c r="K648" s="3038"/>
      <c r="M648" s="3038"/>
      <c r="N648" s="3038"/>
      <c r="O648" s="3038"/>
      <c r="P648" s="3038"/>
      <c r="Q648" s="3038"/>
      <c r="R648" s="3038"/>
      <c r="S648" s="3038"/>
      <c r="T648" s="3038"/>
      <c r="W648" s="3038"/>
      <c r="X648" s="3038"/>
      <c r="Y648" s="3038"/>
      <c r="Z648" s="3038"/>
      <c r="AA648" s="3113"/>
      <c r="AB648" s="3038"/>
      <c r="AC648" s="3038"/>
      <c r="AD648" s="3038"/>
      <c r="AE648" s="3132"/>
      <c r="AF648" s="3038"/>
      <c r="AG648" s="3038"/>
      <c r="AH648" s="3038"/>
      <c r="AK648" s="3038"/>
      <c r="AL648" s="3038"/>
      <c r="AM648" s="3038"/>
      <c r="AN648" s="3038"/>
      <c r="AO648" s="3038"/>
      <c r="AP648" s="3038"/>
      <c r="AQ648" s="3038"/>
      <c r="AR648" s="3038"/>
      <c r="AS648" s="3038"/>
      <c r="AT648" s="3038"/>
      <c r="AU648" s="3038"/>
      <c r="AV648" s="3038"/>
      <c r="AW648" s="3038"/>
      <c r="AX648" s="3038"/>
      <c r="AY648" s="3038"/>
      <c r="AZ648" s="3038"/>
      <c r="BA648" s="3038"/>
      <c r="BB648" s="3038"/>
      <c r="BC648" s="3038"/>
      <c r="BD648" s="3038"/>
      <c r="BE648" s="3038"/>
      <c r="BF648" s="3038"/>
      <c r="BG648" s="3038"/>
      <c r="BH648" s="3038"/>
      <c r="BI648" s="3038"/>
      <c r="BJ648" s="3038"/>
      <c r="BK648" s="3038"/>
      <c r="BL648" s="3038"/>
      <c r="BM648" s="3038"/>
      <c r="BN648" s="3038"/>
      <c r="BO648" s="3038"/>
      <c r="BP648" s="3038"/>
      <c r="BQ648" s="3038"/>
      <c r="BR648" s="3038"/>
      <c r="BS648" s="3038"/>
      <c r="BT648" s="3038"/>
      <c r="BU648" s="3038"/>
    </row>
    <row r="649" spans="3:73">
      <c r="C649" s="3038"/>
      <c r="D649" s="3038"/>
      <c r="E649" s="3038"/>
      <c r="H649" s="3038"/>
      <c r="I649" s="3038"/>
      <c r="J649" s="3038"/>
      <c r="K649" s="3038"/>
      <c r="M649" s="3038"/>
      <c r="N649" s="3038"/>
      <c r="O649" s="3038"/>
      <c r="P649" s="3038"/>
      <c r="Q649" s="3038"/>
      <c r="R649" s="3038"/>
      <c r="S649" s="3038"/>
      <c r="T649" s="3038"/>
      <c r="W649" s="3038"/>
      <c r="X649" s="3038"/>
      <c r="Y649" s="3038"/>
      <c r="Z649" s="3038"/>
      <c r="AA649" s="3113"/>
      <c r="AB649" s="3038"/>
      <c r="AC649" s="3038"/>
      <c r="AD649" s="3038"/>
      <c r="AE649" s="3132"/>
      <c r="AF649" s="3038"/>
      <c r="AG649" s="3038"/>
      <c r="AH649" s="3038"/>
      <c r="AK649" s="3038"/>
      <c r="AL649" s="3038"/>
      <c r="AM649" s="3038"/>
      <c r="AN649" s="3038"/>
      <c r="AO649" s="3038"/>
      <c r="AP649" s="3038"/>
      <c r="AQ649" s="3038"/>
      <c r="AR649" s="3038"/>
      <c r="AS649" s="3038"/>
      <c r="AT649" s="3038"/>
      <c r="AU649" s="3038"/>
      <c r="AV649" s="3038"/>
      <c r="AW649" s="3038"/>
      <c r="AX649" s="3038"/>
      <c r="AY649" s="3038"/>
      <c r="AZ649" s="3038"/>
      <c r="BA649" s="3038"/>
      <c r="BB649" s="3038"/>
      <c r="BC649" s="3038"/>
      <c r="BD649" s="3038"/>
      <c r="BE649" s="3038"/>
      <c r="BF649" s="3038"/>
      <c r="BG649" s="3038"/>
      <c r="BH649" s="3038"/>
      <c r="BI649" s="3038"/>
      <c r="BJ649" s="3038"/>
      <c r="BK649" s="3038"/>
      <c r="BL649" s="3038"/>
      <c r="BM649" s="3038"/>
      <c r="BN649" s="3038"/>
      <c r="BO649" s="3038"/>
      <c r="BP649" s="3038"/>
      <c r="BQ649" s="3038"/>
      <c r="BR649" s="3038"/>
      <c r="BS649" s="3038"/>
      <c r="BT649" s="3038"/>
      <c r="BU649" s="3038"/>
    </row>
    <row r="650" spans="3:73">
      <c r="C650" s="3038"/>
      <c r="D650" s="3038"/>
      <c r="E650" s="3038"/>
      <c r="H650" s="3038"/>
      <c r="I650" s="3038"/>
      <c r="J650" s="3038"/>
      <c r="K650" s="3038"/>
      <c r="M650" s="3038"/>
      <c r="N650" s="3038"/>
      <c r="O650" s="3038"/>
      <c r="P650" s="3038"/>
      <c r="Q650" s="3038"/>
      <c r="R650" s="3038"/>
      <c r="S650" s="3038"/>
      <c r="T650" s="3038"/>
      <c r="W650" s="3038"/>
      <c r="X650" s="3038"/>
      <c r="Y650" s="3038"/>
      <c r="Z650" s="3038"/>
      <c r="AA650" s="3113"/>
      <c r="AB650" s="3038"/>
      <c r="AC650" s="3038"/>
      <c r="AD650" s="3038"/>
      <c r="AE650" s="3132"/>
      <c r="AF650" s="3038"/>
      <c r="AG650" s="3038"/>
      <c r="AH650" s="3038"/>
      <c r="AK650" s="3038"/>
      <c r="AL650" s="3038"/>
      <c r="AM650" s="3038"/>
      <c r="AN650" s="3038"/>
      <c r="AO650" s="3038"/>
      <c r="AP650" s="3038"/>
      <c r="AQ650" s="3038"/>
      <c r="AR650" s="3038"/>
      <c r="AS650" s="3038"/>
      <c r="AT650" s="3038"/>
      <c r="AU650" s="3038"/>
      <c r="AV650" s="3038"/>
      <c r="AW650" s="3038"/>
      <c r="AX650" s="3038"/>
      <c r="AY650" s="3038"/>
      <c r="AZ650" s="3038"/>
      <c r="BA650" s="3038"/>
      <c r="BB650" s="3038"/>
      <c r="BC650" s="3038"/>
      <c r="BD650" s="3038"/>
      <c r="BE650" s="3038"/>
      <c r="BF650" s="3038"/>
      <c r="BG650" s="3038"/>
      <c r="BH650" s="3038"/>
      <c r="BI650" s="3038"/>
      <c r="BJ650" s="3038"/>
      <c r="BK650" s="3038"/>
      <c r="BL650" s="3038"/>
      <c r="BM650" s="3038"/>
      <c r="BN650" s="3038"/>
      <c r="BO650" s="3038"/>
      <c r="BP650" s="3038"/>
      <c r="BQ650" s="3038"/>
      <c r="BR650" s="3038"/>
      <c r="BS650" s="3038"/>
      <c r="BT650" s="3038"/>
      <c r="BU650" s="3038"/>
    </row>
    <row r="651" spans="3:73">
      <c r="C651" s="3038"/>
      <c r="D651" s="3038"/>
      <c r="E651" s="3038"/>
      <c r="H651" s="3038"/>
      <c r="I651" s="3038"/>
      <c r="J651" s="3038"/>
      <c r="K651" s="3038"/>
      <c r="M651" s="3038"/>
      <c r="N651" s="3038"/>
      <c r="O651" s="3038"/>
      <c r="P651" s="3038"/>
      <c r="Q651" s="3038"/>
      <c r="R651" s="3038"/>
      <c r="S651" s="3038"/>
      <c r="T651" s="3038"/>
      <c r="W651" s="3038"/>
      <c r="X651" s="3038"/>
      <c r="Y651" s="3038"/>
      <c r="Z651" s="3038"/>
      <c r="AA651" s="3113"/>
      <c r="AB651" s="3038"/>
      <c r="AC651" s="3038"/>
      <c r="AD651" s="3038"/>
      <c r="AE651" s="3132"/>
      <c r="AF651" s="3038"/>
      <c r="AG651" s="3038"/>
      <c r="AH651" s="3038"/>
      <c r="AK651" s="3038"/>
      <c r="AL651" s="3038"/>
      <c r="AM651" s="3038"/>
      <c r="AN651" s="3038"/>
      <c r="AO651" s="3038"/>
      <c r="AP651" s="3038"/>
      <c r="AQ651" s="3038"/>
      <c r="AR651" s="3038"/>
      <c r="AS651" s="3038"/>
      <c r="AT651" s="3038"/>
      <c r="AU651" s="3038"/>
      <c r="AV651" s="3038"/>
      <c r="AW651" s="3038"/>
      <c r="AX651" s="3038"/>
      <c r="AY651" s="3038"/>
      <c r="AZ651" s="3038"/>
      <c r="BA651" s="3038"/>
      <c r="BB651" s="3038"/>
      <c r="BC651" s="3038"/>
      <c r="BD651" s="3038"/>
      <c r="BE651" s="3038"/>
      <c r="BF651" s="3038"/>
      <c r="BG651" s="3038"/>
      <c r="BH651" s="3038"/>
      <c r="BI651" s="3038"/>
      <c r="BJ651" s="3038"/>
      <c r="BK651" s="3038"/>
      <c r="BL651" s="3038"/>
      <c r="BM651" s="3038"/>
      <c r="BN651" s="3038"/>
      <c r="BO651" s="3038"/>
      <c r="BP651" s="3038"/>
      <c r="BQ651" s="3038"/>
      <c r="BR651" s="3038"/>
      <c r="BS651" s="3038"/>
      <c r="BT651" s="3038"/>
      <c r="BU651" s="3038"/>
    </row>
    <row r="652" spans="3:73">
      <c r="C652" s="3038"/>
      <c r="D652" s="3038"/>
      <c r="E652" s="3038"/>
      <c r="H652" s="3038"/>
      <c r="I652" s="3038"/>
      <c r="J652" s="3038"/>
      <c r="K652" s="3038"/>
      <c r="M652" s="3038"/>
      <c r="N652" s="3038"/>
      <c r="O652" s="3038"/>
      <c r="P652" s="3038"/>
      <c r="Q652" s="3038"/>
      <c r="R652" s="3038"/>
      <c r="S652" s="3038"/>
      <c r="T652" s="3038"/>
      <c r="W652" s="3038"/>
      <c r="X652" s="3038"/>
      <c r="Y652" s="3038"/>
      <c r="Z652" s="3038"/>
      <c r="AA652" s="3113"/>
      <c r="AB652" s="3038"/>
      <c r="AC652" s="3038"/>
      <c r="AD652" s="3038"/>
      <c r="AE652" s="3132"/>
      <c r="AF652" s="3038"/>
      <c r="AG652" s="3038"/>
      <c r="AH652" s="3038"/>
      <c r="AK652" s="3038"/>
      <c r="AL652" s="3038"/>
      <c r="AM652" s="3038"/>
      <c r="AN652" s="3038"/>
      <c r="AO652" s="3038"/>
      <c r="AP652" s="3038"/>
      <c r="AQ652" s="3038"/>
      <c r="AR652" s="3038"/>
      <c r="AS652" s="3038"/>
      <c r="AT652" s="3038"/>
      <c r="AU652" s="3038"/>
      <c r="AV652" s="3038"/>
      <c r="AW652" s="3038"/>
      <c r="AX652" s="3038"/>
      <c r="AY652" s="3038"/>
      <c r="AZ652" s="3038"/>
      <c r="BA652" s="3038"/>
      <c r="BB652" s="3038"/>
      <c r="BC652" s="3038"/>
      <c r="BD652" s="3038"/>
      <c r="BE652" s="3038"/>
      <c r="BF652" s="3038"/>
      <c r="BG652" s="3038"/>
      <c r="BH652" s="3038"/>
      <c r="BI652" s="3038"/>
      <c r="BJ652" s="3038"/>
      <c r="BK652" s="3038"/>
      <c r="BL652" s="3038"/>
      <c r="BM652" s="3038"/>
      <c r="BN652" s="3038"/>
      <c r="BO652" s="3038"/>
      <c r="BP652" s="3038"/>
      <c r="BQ652" s="3038"/>
      <c r="BR652" s="3038"/>
      <c r="BS652" s="3038"/>
      <c r="BT652" s="3038"/>
      <c r="BU652" s="3038"/>
    </row>
    <row r="653" spans="3:73">
      <c r="C653" s="3038"/>
      <c r="D653" s="3038"/>
      <c r="E653" s="3038"/>
      <c r="H653" s="3038"/>
      <c r="I653" s="3038"/>
      <c r="J653" s="3038"/>
      <c r="K653" s="3038"/>
      <c r="M653" s="3038"/>
      <c r="N653" s="3038"/>
      <c r="O653" s="3038"/>
      <c r="P653" s="3038"/>
      <c r="Q653" s="3038"/>
      <c r="R653" s="3038"/>
      <c r="S653" s="3038"/>
      <c r="T653" s="3038"/>
      <c r="W653" s="3038"/>
      <c r="X653" s="3038"/>
      <c r="Y653" s="3038"/>
      <c r="Z653" s="3038"/>
      <c r="AA653" s="3113"/>
      <c r="AB653" s="3038"/>
      <c r="AC653" s="3038"/>
      <c r="AD653" s="3038"/>
      <c r="AE653" s="3132"/>
      <c r="AF653" s="3038"/>
      <c r="AG653" s="3038"/>
      <c r="AH653" s="3038"/>
      <c r="AK653" s="3038"/>
      <c r="AL653" s="3038"/>
      <c r="AM653" s="3038"/>
      <c r="AN653" s="3038"/>
      <c r="AO653" s="3038"/>
      <c r="AP653" s="3038"/>
      <c r="AQ653" s="3038"/>
      <c r="AR653" s="3038"/>
      <c r="AS653" s="3038"/>
      <c r="AT653" s="3038"/>
      <c r="AU653" s="3038"/>
      <c r="AV653" s="3038"/>
      <c r="AW653" s="3038"/>
      <c r="AX653" s="3038"/>
      <c r="AY653" s="3038"/>
      <c r="AZ653" s="3038"/>
      <c r="BA653" s="3038"/>
      <c r="BB653" s="3038"/>
      <c r="BC653" s="3038"/>
      <c r="BD653" s="3038"/>
      <c r="BE653" s="3038"/>
      <c r="BF653" s="3038"/>
      <c r="BG653" s="3038"/>
      <c r="BH653" s="3038"/>
      <c r="BI653" s="3038"/>
      <c r="BJ653" s="3038"/>
      <c r="BK653" s="3038"/>
      <c r="BL653" s="3038"/>
      <c r="BM653" s="3038"/>
      <c r="BN653" s="3038"/>
      <c r="BO653" s="3038"/>
      <c r="BP653" s="3038"/>
      <c r="BQ653" s="3038"/>
      <c r="BR653" s="3038"/>
      <c r="BS653" s="3038"/>
      <c r="BT653" s="3038"/>
      <c r="BU653" s="3038"/>
    </row>
    <row r="654" spans="3:73">
      <c r="C654" s="3038"/>
      <c r="D654" s="3038"/>
      <c r="E654" s="3038"/>
      <c r="H654" s="3038"/>
      <c r="I654" s="3038"/>
      <c r="J654" s="3038"/>
      <c r="K654" s="3038"/>
      <c r="M654" s="3038"/>
      <c r="N654" s="3038"/>
      <c r="O654" s="3038"/>
      <c r="P654" s="3038"/>
      <c r="Q654" s="3038"/>
      <c r="R654" s="3038"/>
      <c r="S654" s="3038"/>
      <c r="T654" s="3038"/>
      <c r="W654" s="3038"/>
      <c r="X654" s="3038"/>
      <c r="Y654" s="3038"/>
      <c r="Z654" s="3038"/>
      <c r="AA654" s="3113"/>
      <c r="AB654" s="3038"/>
      <c r="AC654" s="3038"/>
      <c r="AD654" s="3038"/>
      <c r="AE654" s="3132"/>
      <c r="AF654" s="3038"/>
      <c r="AG654" s="3038"/>
      <c r="AH654" s="3038"/>
      <c r="AK654" s="3038"/>
      <c r="AL654" s="3038"/>
      <c r="AM654" s="3038"/>
      <c r="AN654" s="3038"/>
      <c r="AO654" s="3038"/>
      <c r="AP654" s="3038"/>
      <c r="AQ654" s="3038"/>
      <c r="AR654" s="3038"/>
      <c r="AS654" s="3038"/>
      <c r="AT654" s="3038"/>
      <c r="AU654" s="3038"/>
      <c r="AV654" s="3038"/>
      <c r="AW654" s="3038"/>
      <c r="AX654" s="3038"/>
      <c r="AY654" s="3038"/>
      <c r="AZ654" s="3038"/>
      <c r="BA654" s="3038"/>
      <c r="BB654" s="3038"/>
      <c r="BC654" s="3038"/>
      <c r="BD654" s="3038"/>
      <c r="BE654" s="3038"/>
      <c r="BF654" s="3038"/>
      <c r="BG654" s="3038"/>
      <c r="BH654" s="3038"/>
      <c r="BI654" s="3038"/>
      <c r="BJ654" s="3038"/>
      <c r="BK654" s="3038"/>
      <c r="BL654" s="3038"/>
      <c r="BM654" s="3038"/>
      <c r="BN654" s="3038"/>
      <c r="BO654" s="3038"/>
      <c r="BP654" s="3038"/>
      <c r="BQ654" s="3038"/>
      <c r="BR654" s="3038"/>
      <c r="BS654" s="3038"/>
      <c r="BT654" s="3038"/>
      <c r="BU654" s="3038"/>
    </row>
    <row r="655" spans="3:73">
      <c r="C655" s="3038"/>
      <c r="D655" s="3038"/>
      <c r="E655" s="3038"/>
      <c r="H655" s="3038"/>
      <c r="I655" s="3038"/>
      <c r="J655" s="3038"/>
      <c r="K655" s="3038"/>
      <c r="M655" s="3038"/>
      <c r="N655" s="3038"/>
      <c r="O655" s="3038"/>
      <c r="P655" s="3038"/>
      <c r="Q655" s="3038"/>
      <c r="R655" s="3038"/>
      <c r="S655" s="3038"/>
      <c r="T655" s="3038"/>
      <c r="W655" s="3038"/>
      <c r="X655" s="3038"/>
      <c r="Y655" s="3038"/>
      <c r="Z655" s="3038"/>
      <c r="AA655" s="3113"/>
      <c r="AB655" s="3038"/>
      <c r="AC655" s="3038"/>
      <c r="AD655" s="3038"/>
      <c r="AE655" s="3132"/>
      <c r="AF655" s="3038"/>
      <c r="AG655" s="3038"/>
      <c r="AH655" s="3038"/>
      <c r="AK655" s="3038"/>
      <c r="AL655" s="3038"/>
      <c r="AM655" s="3038"/>
      <c r="AN655" s="3038"/>
      <c r="AO655" s="3038"/>
      <c r="AP655" s="3038"/>
      <c r="AQ655" s="3038"/>
      <c r="AR655" s="3038"/>
      <c r="AS655" s="3038"/>
      <c r="AT655" s="3038"/>
      <c r="AU655" s="3038"/>
      <c r="AV655" s="3038"/>
      <c r="AW655" s="3038"/>
      <c r="AX655" s="3038"/>
      <c r="AY655" s="3038"/>
      <c r="AZ655" s="3038"/>
      <c r="BA655" s="3038"/>
      <c r="BB655" s="3038"/>
      <c r="BC655" s="3038"/>
      <c r="BD655" s="3038"/>
      <c r="BE655" s="3038"/>
      <c r="BF655" s="3038"/>
      <c r="BG655" s="3038"/>
      <c r="BH655" s="3038"/>
      <c r="BI655" s="3038"/>
      <c r="BJ655" s="3038"/>
      <c r="BK655" s="3038"/>
      <c r="BL655" s="3038"/>
      <c r="BM655" s="3038"/>
      <c r="BN655" s="3038"/>
      <c r="BO655" s="3038"/>
      <c r="BP655" s="3038"/>
      <c r="BQ655" s="3038"/>
      <c r="BR655" s="3038"/>
      <c r="BS655" s="3038"/>
      <c r="BT655" s="3038"/>
      <c r="BU655" s="3038"/>
    </row>
    <row r="656" spans="3:73">
      <c r="C656" s="3038"/>
      <c r="D656" s="3038"/>
      <c r="E656" s="3038"/>
      <c r="H656" s="3038"/>
      <c r="I656" s="3038"/>
      <c r="J656" s="3038"/>
      <c r="K656" s="3038"/>
      <c r="M656" s="3038"/>
      <c r="N656" s="3038"/>
      <c r="O656" s="3038"/>
      <c r="P656" s="3038"/>
      <c r="Q656" s="3038"/>
      <c r="R656" s="3038"/>
      <c r="S656" s="3038"/>
      <c r="T656" s="3038"/>
      <c r="W656" s="3038"/>
      <c r="X656" s="3038"/>
      <c r="Y656" s="3038"/>
      <c r="Z656" s="3038"/>
      <c r="AA656" s="3113"/>
      <c r="AB656" s="3038"/>
      <c r="AC656" s="3038"/>
      <c r="AD656" s="3038"/>
      <c r="AE656" s="3132"/>
      <c r="AF656" s="3038"/>
      <c r="AG656" s="3038"/>
      <c r="AH656" s="3038"/>
      <c r="AK656" s="3038"/>
      <c r="AL656" s="3038"/>
      <c r="AM656" s="3038"/>
      <c r="AN656" s="3038"/>
      <c r="AO656" s="3038"/>
      <c r="AP656" s="3038"/>
      <c r="AQ656" s="3038"/>
      <c r="AR656" s="3038"/>
      <c r="AS656" s="3038"/>
      <c r="AT656" s="3038"/>
      <c r="AU656" s="3038"/>
      <c r="AV656" s="3038"/>
      <c r="AW656" s="3038"/>
      <c r="AX656" s="3038"/>
      <c r="AY656" s="3038"/>
      <c r="AZ656" s="3038"/>
      <c r="BA656" s="3038"/>
      <c r="BB656" s="3038"/>
      <c r="BC656" s="3038"/>
      <c r="BD656" s="3038"/>
      <c r="BE656" s="3038"/>
      <c r="BF656" s="3038"/>
      <c r="BG656" s="3038"/>
      <c r="BH656" s="3038"/>
      <c r="BI656" s="3038"/>
      <c r="BJ656" s="3038"/>
      <c r="BK656" s="3038"/>
      <c r="BL656" s="3038"/>
      <c r="BM656" s="3038"/>
      <c r="BN656" s="3038"/>
      <c r="BO656" s="3038"/>
      <c r="BP656" s="3038"/>
      <c r="BQ656" s="3038"/>
      <c r="BR656" s="3038"/>
      <c r="BS656" s="3038"/>
      <c r="BT656" s="3038"/>
      <c r="BU656" s="3038"/>
    </row>
    <row r="657" spans="3:73">
      <c r="C657" s="3038"/>
      <c r="D657" s="3038"/>
      <c r="E657" s="3038"/>
      <c r="H657" s="3038"/>
      <c r="I657" s="3038"/>
      <c r="J657" s="3038"/>
      <c r="K657" s="3038"/>
      <c r="M657" s="3038"/>
      <c r="N657" s="3038"/>
      <c r="O657" s="3038"/>
      <c r="P657" s="3038"/>
      <c r="Q657" s="3038"/>
      <c r="R657" s="3038"/>
      <c r="S657" s="3038"/>
      <c r="T657" s="3038"/>
      <c r="W657" s="3038"/>
      <c r="X657" s="3038"/>
      <c r="Y657" s="3038"/>
      <c r="Z657" s="3038"/>
      <c r="AA657" s="3113"/>
      <c r="AB657" s="3038"/>
      <c r="AC657" s="3038"/>
      <c r="AD657" s="3038"/>
      <c r="AE657" s="3132"/>
      <c r="AF657" s="3038"/>
      <c r="AG657" s="3038"/>
      <c r="AH657" s="3038"/>
      <c r="AK657" s="3038"/>
      <c r="AL657" s="3038"/>
      <c r="AM657" s="3038"/>
      <c r="AN657" s="3038"/>
      <c r="AO657" s="3038"/>
      <c r="AP657" s="3038"/>
      <c r="AQ657" s="3038"/>
      <c r="AR657" s="3038"/>
      <c r="AS657" s="3038"/>
      <c r="AT657" s="3038"/>
      <c r="AU657" s="3038"/>
      <c r="AV657" s="3038"/>
      <c r="AW657" s="3038"/>
      <c r="AX657" s="3038"/>
      <c r="AY657" s="3038"/>
      <c r="AZ657" s="3038"/>
      <c r="BA657" s="3038"/>
      <c r="BB657" s="3038"/>
      <c r="BC657" s="3038"/>
      <c r="BD657" s="3038"/>
      <c r="BE657" s="3038"/>
      <c r="BF657" s="3038"/>
      <c r="BG657" s="3038"/>
      <c r="BH657" s="3038"/>
      <c r="BI657" s="3038"/>
      <c r="BJ657" s="3038"/>
      <c r="BK657" s="3038"/>
      <c r="BL657" s="3038"/>
      <c r="BM657" s="3038"/>
      <c r="BN657" s="3038"/>
      <c r="BO657" s="3038"/>
      <c r="BP657" s="3038"/>
      <c r="BQ657" s="3038"/>
      <c r="BR657" s="3038"/>
      <c r="BS657" s="3038"/>
      <c r="BT657" s="3038"/>
      <c r="BU657" s="3038"/>
    </row>
    <row r="658" spans="3:73">
      <c r="C658" s="3038"/>
      <c r="D658" s="3038"/>
      <c r="E658" s="3038"/>
      <c r="H658" s="3038"/>
      <c r="I658" s="3038"/>
      <c r="J658" s="3038"/>
      <c r="K658" s="3038"/>
      <c r="M658" s="3038"/>
      <c r="N658" s="3038"/>
      <c r="O658" s="3038"/>
      <c r="P658" s="3038"/>
      <c r="Q658" s="3038"/>
      <c r="R658" s="3038"/>
      <c r="S658" s="3038"/>
      <c r="T658" s="3038"/>
      <c r="W658" s="3038"/>
      <c r="X658" s="3038"/>
      <c r="Y658" s="3038"/>
      <c r="Z658" s="3038"/>
      <c r="AA658" s="3113"/>
      <c r="AB658" s="3038"/>
      <c r="AC658" s="3038"/>
      <c r="AD658" s="3038"/>
      <c r="AE658" s="3132"/>
      <c r="AF658" s="3038"/>
      <c r="AG658" s="3038"/>
      <c r="AH658" s="3038"/>
      <c r="AK658" s="3038"/>
      <c r="AL658" s="3038"/>
      <c r="AM658" s="3038"/>
      <c r="AN658" s="3038"/>
      <c r="AO658" s="3038"/>
      <c r="AP658" s="3038"/>
      <c r="AQ658" s="3038"/>
      <c r="AR658" s="3038"/>
      <c r="AS658" s="3038"/>
      <c r="AT658" s="3038"/>
      <c r="AU658" s="3038"/>
      <c r="AV658" s="3038"/>
      <c r="AW658" s="3038"/>
      <c r="AX658" s="3038"/>
      <c r="AY658" s="3038"/>
      <c r="AZ658" s="3038"/>
      <c r="BA658" s="3038"/>
      <c r="BB658" s="3038"/>
      <c r="BC658" s="3038"/>
      <c r="BD658" s="3038"/>
      <c r="BE658" s="3038"/>
      <c r="BF658" s="3038"/>
      <c r="BG658" s="3038"/>
      <c r="BH658" s="3038"/>
      <c r="BI658" s="3038"/>
      <c r="BJ658" s="3038"/>
      <c r="BK658" s="3038"/>
      <c r="BL658" s="3038"/>
      <c r="BM658" s="3038"/>
      <c r="BN658" s="3038"/>
      <c r="BO658" s="3038"/>
      <c r="BP658" s="3038"/>
      <c r="BQ658" s="3038"/>
      <c r="BR658" s="3038"/>
      <c r="BS658" s="3038"/>
      <c r="BT658" s="3038"/>
      <c r="BU658" s="3038"/>
    </row>
    <row r="659" spans="3:73">
      <c r="C659" s="3038"/>
      <c r="D659" s="3038"/>
      <c r="E659" s="3038"/>
      <c r="H659" s="3038"/>
      <c r="I659" s="3038"/>
      <c r="J659" s="3038"/>
      <c r="K659" s="3038"/>
      <c r="M659" s="3038"/>
      <c r="N659" s="3038"/>
      <c r="O659" s="3038"/>
      <c r="P659" s="3038"/>
      <c r="Q659" s="3038"/>
      <c r="R659" s="3038"/>
      <c r="S659" s="3038"/>
      <c r="T659" s="3038"/>
      <c r="W659" s="3038"/>
      <c r="X659" s="3038"/>
      <c r="Y659" s="3038"/>
      <c r="Z659" s="3038"/>
      <c r="AA659" s="3113"/>
      <c r="AB659" s="3038"/>
      <c r="AC659" s="3038"/>
      <c r="AD659" s="3038"/>
      <c r="AE659" s="3132"/>
      <c r="AF659" s="3038"/>
      <c r="AG659" s="3038"/>
      <c r="AH659" s="3038"/>
      <c r="AK659" s="3038"/>
      <c r="AL659" s="3038"/>
      <c r="AM659" s="3038"/>
      <c r="AN659" s="3038"/>
      <c r="AO659" s="3038"/>
      <c r="AP659" s="3038"/>
      <c r="AQ659" s="3038"/>
      <c r="AR659" s="3038"/>
      <c r="AS659" s="3038"/>
      <c r="AT659" s="3038"/>
      <c r="AU659" s="3038"/>
      <c r="AV659" s="3038"/>
      <c r="AW659" s="3038"/>
      <c r="AX659" s="3038"/>
      <c r="AY659" s="3038"/>
      <c r="AZ659" s="3038"/>
      <c r="BA659" s="3038"/>
      <c r="BB659" s="3038"/>
      <c r="BC659" s="3038"/>
      <c r="BD659" s="3038"/>
      <c r="BE659" s="3038"/>
      <c r="BF659" s="3038"/>
      <c r="BG659" s="3038"/>
      <c r="BH659" s="3038"/>
      <c r="BI659" s="3038"/>
      <c r="BJ659" s="3038"/>
      <c r="BK659" s="3038"/>
      <c r="BL659" s="3038"/>
      <c r="BM659" s="3038"/>
      <c r="BN659" s="3038"/>
      <c r="BO659" s="3038"/>
      <c r="BP659" s="3038"/>
      <c r="BQ659" s="3038"/>
      <c r="BR659" s="3038"/>
      <c r="BS659" s="3038"/>
      <c r="BT659" s="3038"/>
      <c r="BU659" s="3038"/>
    </row>
    <row r="660" spans="3:73">
      <c r="C660" s="3038"/>
      <c r="D660" s="3038"/>
      <c r="E660" s="3038"/>
      <c r="H660" s="3038"/>
      <c r="I660" s="3038"/>
      <c r="J660" s="3038"/>
      <c r="K660" s="3038"/>
      <c r="M660" s="3038"/>
      <c r="N660" s="3038"/>
      <c r="O660" s="3038"/>
      <c r="P660" s="3038"/>
      <c r="Q660" s="3038"/>
      <c r="R660" s="3038"/>
      <c r="S660" s="3038"/>
      <c r="T660" s="3038"/>
      <c r="W660" s="3038"/>
      <c r="X660" s="3038"/>
      <c r="Y660" s="3038"/>
      <c r="Z660" s="3038"/>
      <c r="AA660" s="3113"/>
      <c r="AB660" s="3038"/>
      <c r="AC660" s="3038"/>
      <c r="AD660" s="3038"/>
      <c r="AE660" s="3132"/>
      <c r="AF660" s="3038"/>
      <c r="AG660" s="3038"/>
      <c r="AH660" s="3038"/>
      <c r="AK660" s="3038"/>
      <c r="AL660" s="3038"/>
      <c r="AM660" s="3038"/>
      <c r="AN660" s="3038"/>
      <c r="AO660" s="3038"/>
      <c r="AP660" s="3038"/>
      <c r="AQ660" s="3038"/>
      <c r="AR660" s="3038"/>
      <c r="AS660" s="3038"/>
      <c r="AT660" s="3038"/>
      <c r="AU660" s="3038"/>
      <c r="AV660" s="3038"/>
      <c r="AW660" s="3038"/>
      <c r="AX660" s="3038"/>
      <c r="AY660" s="3038"/>
      <c r="AZ660" s="3038"/>
      <c r="BA660" s="3038"/>
      <c r="BB660" s="3038"/>
      <c r="BC660" s="3038"/>
      <c r="BD660" s="3038"/>
      <c r="BE660" s="3038"/>
      <c r="BF660" s="3038"/>
      <c r="BG660" s="3038"/>
      <c r="BH660" s="3038"/>
      <c r="BI660" s="3038"/>
      <c r="BJ660" s="3038"/>
      <c r="BK660" s="3038"/>
      <c r="BL660" s="3038"/>
      <c r="BM660" s="3038"/>
      <c r="BN660" s="3038"/>
      <c r="BO660" s="3038"/>
      <c r="BP660" s="3038"/>
      <c r="BQ660" s="3038"/>
      <c r="BR660" s="3038"/>
      <c r="BS660" s="3038"/>
      <c r="BT660" s="3038"/>
      <c r="BU660" s="3038"/>
    </row>
    <row r="661" spans="3:73">
      <c r="C661" s="3038"/>
      <c r="D661" s="3038"/>
      <c r="E661" s="3038"/>
      <c r="H661" s="3038"/>
      <c r="I661" s="3038"/>
      <c r="J661" s="3038"/>
      <c r="K661" s="3038"/>
      <c r="M661" s="3038"/>
      <c r="N661" s="3038"/>
      <c r="O661" s="3038"/>
      <c r="P661" s="3038"/>
      <c r="Q661" s="3038"/>
      <c r="R661" s="3038"/>
      <c r="S661" s="3038"/>
      <c r="T661" s="3038"/>
      <c r="W661" s="3038"/>
      <c r="X661" s="3038"/>
      <c r="Y661" s="3038"/>
      <c r="Z661" s="3038"/>
      <c r="AA661" s="3113"/>
      <c r="AB661" s="3038"/>
      <c r="AC661" s="3038"/>
      <c r="AD661" s="3038"/>
      <c r="AE661" s="3132"/>
      <c r="AF661" s="3038"/>
      <c r="AG661" s="3038"/>
      <c r="AH661" s="3038"/>
      <c r="AK661" s="3038"/>
      <c r="AL661" s="3038"/>
      <c r="AM661" s="3038"/>
      <c r="AN661" s="3038"/>
      <c r="AO661" s="3038"/>
      <c r="AP661" s="3038"/>
      <c r="AQ661" s="3038"/>
      <c r="AR661" s="3038"/>
      <c r="AS661" s="3038"/>
      <c r="AT661" s="3038"/>
      <c r="AU661" s="3038"/>
      <c r="AV661" s="3038"/>
      <c r="AW661" s="3038"/>
      <c r="AX661" s="3038"/>
      <c r="AY661" s="3038"/>
      <c r="AZ661" s="3038"/>
      <c r="BA661" s="3038"/>
      <c r="BB661" s="3038"/>
      <c r="BC661" s="3038"/>
      <c r="BD661" s="3038"/>
      <c r="BE661" s="3038"/>
      <c r="BF661" s="3038"/>
      <c r="BG661" s="3038"/>
      <c r="BH661" s="3038"/>
      <c r="BI661" s="3038"/>
      <c r="BJ661" s="3038"/>
      <c r="BK661" s="3038"/>
      <c r="BL661" s="3038"/>
      <c r="BM661" s="3038"/>
      <c r="BN661" s="3038"/>
      <c r="BO661" s="3038"/>
      <c r="BP661" s="3038"/>
      <c r="BQ661" s="3038"/>
      <c r="BR661" s="3038"/>
      <c r="BS661" s="3038"/>
      <c r="BT661" s="3038"/>
      <c r="BU661" s="3038"/>
    </row>
    <row r="662" spans="3:73">
      <c r="C662" s="3038"/>
      <c r="D662" s="3038"/>
      <c r="E662" s="3038"/>
      <c r="H662" s="3038"/>
      <c r="I662" s="3038"/>
      <c r="J662" s="3038"/>
      <c r="K662" s="3038"/>
      <c r="M662" s="3038"/>
      <c r="N662" s="3038"/>
      <c r="O662" s="3038"/>
      <c r="P662" s="3038"/>
      <c r="Q662" s="3038"/>
      <c r="R662" s="3038"/>
      <c r="S662" s="3038"/>
      <c r="T662" s="3038"/>
      <c r="W662" s="3038"/>
      <c r="X662" s="3038"/>
      <c r="Y662" s="3038"/>
      <c r="Z662" s="3038"/>
      <c r="AA662" s="3113"/>
      <c r="AB662" s="3038"/>
      <c r="AC662" s="3038"/>
      <c r="AD662" s="3038"/>
      <c r="AE662" s="3132"/>
      <c r="AF662" s="3038"/>
      <c r="AG662" s="3038"/>
      <c r="AH662" s="3038"/>
      <c r="AK662" s="3038"/>
      <c r="AL662" s="3038"/>
      <c r="AM662" s="3038"/>
      <c r="AN662" s="3038"/>
      <c r="AO662" s="3038"/>
      <c r="AP662" s="3038"/>
      <c r="AQ662" s="3038"/>
      <c r="AR662" s="3038"/>
      <c r="AS662" s="3038"/>
      <c r="AT662" s="3038"/>
      <c r="AU662" s="3038"/>
      <c r="AV662" s="3038"/>
      <c r="AW662" s="3038"/>
      <c r="AX662" s="3038"/>
      <c r="AY662" s="3038"/>
      <c r="AZ662" s="3038"/>
      <c r="BA662" s="3038"/>
      <c r="BB662" s="3038"/>
      <c r="BC662" s="3038"/>
      <c r="BD662" s="3038"/>
      <c r="BE662" s="3038"/>
      <c r="BF662" s="3038"/>
      <c r="BG662" s="3038"/>
      <c r="BH662" s="3038"/>
      <c r="BI662" s="3038"/>
      <c r="BJ662" s="3038"/>
      <c r="BK662" s="3038"/>
      <c r="BL662" s="3038"/>
      <c r="BM662" s="3038"/>
      <c r="BN662" s="3038"/>
      <c r="BO662" s="3038"/>
      <c r="BP662" s="3038"/>
      <c r="BQ662" s="3038"/>
      <c r="BR662" s="3038"/>
      <c r="BS662" s="3038"/>
      <c r="BT662" s="3038"/>
      <c r="BU662" s="3038"/>
    </row>
    <row r="663" spans="3:73">
      <c r="C663" s="3038"/>
      <c r="D663" s="3038"/>
      <c r="E663" s="3038"/>
      <c r="H663" s="3038"/>
      <c r="I663" s="3038"/>
      <c r="J663" s="3038"/>
      <c r="K663" s="3038"/>
      <c r="M663" s="3038"/>
      <c r="N663" s="3038"/>
      <c r="O663" s="3038"/>
      <c r="P663" s="3038"/>
      <c r="Q663" s="3038"/>
      <c r="R663" s="3038"/>
      <c r="S663" s="3038"/>
      <c r="T663" s="3038"/>
      <c r="W663" s="3038"/>
      <c r="X663" s="3038"/>
      <c r="Y663" s="3038"/>
      <c r="Z663" s="3038"/>
      <c r="AA663" s="3113"/>
      <c r="AB663" s="3038"/>
      <c r="AC663" s="3038"/>
      <c r="AD663" s="3038"/>
      <c r="AE663" s="3132"/>
      <c r="AF663" s="3038"/>
      <c r="AG663" s="3038"/>
      <c r="AH663" s="3038"/>
      <c r="AK663" s="3038"/>
      <c r="AL663" s="3038"/>
      <c r="AM663" s="3038"/>
      <c r="AN663" s="3038"/>
      <c r="AO663" s="3038"/>
      <c r="AP663" s="3038"/>
      <c r="AQ663" s="3038"/>
      <c r="AR663" s="3038"/>
      <c r="AS663" s="3038"/>
      <c r="AT663" s="3038"/>
      <c r="AU663" s="3038"/>
      <c r="AV663" s="3038"/>
      <c r="AW663" s="3038"/>
      <c r="AX663" s="3038"/>
      <c r="AY663" s="3038"/>
      <c r="AZ663" s="3038"/>
      <c r="BA663" s="3038"/>
      <c r="BB663" s="3038"/>
      <c r="BC663" s="3038"/>
      <c r="BD663" s="3038"/>
      <c r="BE663" s="3038"/>
      <c r="BF663" s="3038"/>
      <c r="BG663" s="3038"/>
      <c r="BH663" s="3038"/>
      <c r="BI663" s="3038"/>
      <c r="BJ663" s="3038"/>
      <c r="BK663" s="3038"/>
      <c r="BL663" s="3038"/>
      <c r="BM663" s="3038"/>
      <c r="BN663" s="3038"/>
      <c r="BO663" s="3038"/>
      <c r="BP663" s="3038"/>
      <c r="BQ663" s="3038"/>
      <c r="BR663" s="3038"/>
      <c r="BS663" s="3038"/>
      <c r="BT663" s="3038"/>
      <c r="BU663" s="3038"/>
    </row>
    <row r="664" spans="3:73">
      <c r="C664" s="3038"/>
      <c r="D664" s="3038"/>
      <c r="E664" s="3038"/>
      <c r="H664" s="3038"/>
      <c r="I664" s="3038"/>
      <c r="J664" s="3038"/>
      <c r="K664" s="3038"/>
      <c r="M664" s="3038"/>
      <c r="N664" s="3038"/>
      <c r="O664" s="3038"/>
      <c r="P664" s="3038"/>
      <c r="Q664" s="3038"/>
      <c r="R664" s="3038"/>
      <c r="S664" s="3038"/>
      <c r="T664" s="3038"/>
      <c r="W664" s="3038"/>
      <c r="X664" s="3038"/>
      <c r="Y664" s="3038"/>
      <c r="Z664" s="3038"/>
      <c r="AA664" s="3113"/>
      <c r="AB664" s="3038"/>
      <c r="AC664" s="3038"/>
      <c r="AD664" s="3038"/>
      <c r="AE664" s="3132"/>
      <c r="AF664" s="3038"/>
      <c r="AG664" s="3038"/>
      <c r="AH664" s="3038"/>
      <c r="AK664" s="3038"/>
      <c r="AL664" s="3038"/>
      <c r="AM664" s="3038"/>
      <c r="AN664" s="3038"/>
      <c r="AO664" s="3038"/>
      <c r="AP664" s="3038"/>
      <c r="AQ664" s="3038"/>
      <c r="AR664" s="3038"/>
      <c r="AS664" s="3038"/>
      <c r="AT664" s="3038"/>
      <c r="AU664" s="3038"/>
      <c r="AV664" s="3038"/>
      <c r="AW664" s="3038"/>
      <c r="AX664" s="3038"/>
      <c r="AY664" s="3038"/>
      <c r="AZ664" s="3038"/>
      <c r="BA664" s="3038"/>
      <c r="BB664" s="3038"/>
      <c r="BC664" s="3038"/>
      <c r="BD664" s="3038"/>
      <c r="BE664" s="3038"/>
      <c r="BF664" s="3038"/>
      <c r="BG664" s="3038"/>
      <c r="BH664" s="3038"/>
      <c r="BI664" s="3038"/>
      <c r="BJ664" s="3038"/>
      <c r="BK664" s="3038"/>
      <c r="BL664" s="3038"/>
      <c r="BM664" s="3038"/>
      <c r="BN664" s="3038"/>
      <c r="BO664" s="3038"/>
      <c r="BP664" s="3038"/>
      <c r="BQ664" s="3038"/>
      <c r="BR664" s="3038"/>
      <c r="BS664" s="3038"/>
      <c r="BT664" s="3038"/>
      <c r="BU664" s="3038"/>
    </row>
    <row r="665" spans="3:73">
      <c r="C665" s="3038"/>
      <c r="D665" s="3038"/>
      <c r="E665" s="3038"/>
      <c r="H665" s="3038"/>
      <c r="I665" s="3038"/>
      <c r="J665" s="3038"/>
      <c r="K665" s="3038"/>
      <c r="M665" s="3038"/>
      <c r="N665" s="3038"/>
      <c r="O665" s="3038"/>
      <c r="P665" s="3038"/>
      <c r="Q665" s="3038"/>
      <c r="R665" s="3038"/>
      <c r="S665" s="3038"/>
      <c r="T665" s="3038"/>
      <c r="W665" s="3038"/>
      <c r="X665" s="3038"/>
      <c r="Y665" s="3038"/>
      <c r="Z665" s="3038"/>
      <c r="AA665" s="3113"/>
      <c r="AB665" s="3038"/>
      <c r="AC665" s="3038"/>
      <c r="AD665" s="3038"/>
      <c r="AE665" s="3132"/>
      <c r="AF665" s="3038"/>
      <c r="AG665" s="3038"/>
      <c r="AH665" s="3038"/>
      <c r="AK665" s="3038"/>
      <c r="AL665" s="3038"/>
      <c r="AM665" s="3038"/>
      <c r="AN665" s="3038"/>
      <c r="AO665" s="3038"/>
      <c r="AP665" s="3038"/>
      <c r="AQ665" s="3038"/>
      <c r="AR665" s="3038"/>
      <c r="AS665" s="3038"/>
      <c r="AT665" s="3038"/>
      <c r="AU665" s="3038"/>
      <c r="AV665" s="3038"/>
      <c r="AW665" s="3038"/>
      <c r="AX665" s="3038"/>
      <c r="AY665" s="3038"/>
      <c r="AZ665" s="3038"/>
      <c r="BA665" s="3038"/>
      <c r="BB665" s="3038"/>
      <c r="BC665" s="3038"/>
      <c r="BD665" s="3038"/>
      <c r="BE665" s="3038"/>
      <c r="BF665" s="3038"/>
      <c r="BG665" s="3038"/>
      <c r="BH665" s="3038"/>
      <c r="BI665" s="3038"/>
      <c r="BJ665" s="3038"/>
      <c r="BK665" s="3038"/>
      <c r="BL665" s="3038"/>
      <c r="BM665" s="3038"/>
      <c r="BN665" s="3038"/>
      <c r="BO665" s="3038"/>
      <c r="BP665" s="3038"/>
      <c r="BQ665" s="3038"/>
      <c r="BR665" s="3038"/>
      <c r="BS665" s="3038"/>
      <c r="BT665" s="3038"/>
      <c r="BU665" s="3038"/>
    </row>
    <row r="666" spans="3:73">
      <c r="C666" s="3038"/>
      <c r="D666" s="3038"/>
      <c r="E666" s="3038"/>
      <c r="H666" s="3038"/>
      <c r="I666" s="3038"/>
      <c r="J666" s="3038"/>
      <c r="K666" s="3038"/>
      <c r="M666" s="3038"/>
      <c r="N666" s="3038"/>
      <c r="O666" s="3038"/>
      <c r="P666" s="3038"/>
      <c r="Q666" s="3038"/>
      <c r="R666" s="3038"/>
      <c r="S666" s="3038"/>
      <c r="T666" s="3038"/>
      <c r="W666" s="3038"/>
      <c r="X666" s="3038"/>
      <c r="Y666" s="3038"/>
      <c r="Z666" s="3038"/>
      <c r="AA666" s="3113"/>
      <c r="AB666" s="3038"/>
      <c r="AC666" s="3038"/>
      <c r="AD666" s="3038"/>
      <c r="AE666" s="3132"/>
      <c r="AF666" s="3038"/>
      <c r="AG666" s="3038"/>
      <c r="AH666" s="3038"/>
      <c r="AK666" s="3038"/>
      <c r="AL666" s="3038"/>
      <c r="AM666" s="3038"/>
      <c r="AN666" s="3038"/>
      <c r="AO666" s="3038"/>
      <c r="AP666" s="3038"/>
      <c r="AQ666" s="3038"/>
      <c r="AR666" s="3038"/>
      <c r="AS666" s="3038"/>
      <c r="AT666" s="3038"/>
      <c r="AU666" s="3038"/>
      <c r="AV666" s="3038"/>
      <c r="AW666" s="3038"/>
      <c r="AX666" s="3038"/>
      <c r="AY666" s="3038"/>
      <c r="AZ666" s="3038"/>
      <c r="BA666" s="3038"/>
      <c r="BB666" s="3038"/>
      <c r="BC666" s="3038"/>
      <c r="BD666" s="3038"/>
      <c r="BE666" s="3038"/>
      <c r="BF666" s="3038"/>
      <c r="BG666" s="3038"/>
      <c r="BH666" s="3038"/>
      <c r="BI666" s="3038"/>
      <c r="BJ666" s="3038"/>
      <c r="BK666" s="3038"/>
      <c r="BL666" s="3038"/>
      <c r="BM666" s="3038"/>
      <c r="BN666" s="3038"/>
      <c r="BO666" s="3038"/>
      <c r="BP666" s="3038"/>
      <c r="BQ666" s="3038"/>
      <c r="BR666" s="3038"/>
      <c r="BS666" s="3038"/>
      <c r="BT666" s="3038"/>
      <c r="BU666" s="3038"/>
    </row>
    <row r="667" spans="3:73">
      <c r="C667" s="3038"/>
      <c r="D667" s="3038"/>
      <c r="E667" s="3038"/>
      <c r="H667" s="3038"/>
      <c r="I667" s="3038"/>
      <c r="J667" s="3038"/>
      <c r="K667" s="3038"/>
      <c r="M667" s="3038"/>
      <c r="N667" s="3038"/>
      <c r="O667" s="3038"/>
      <c r="P667" s="3038"/>
      <c r="Q667" s="3038"/>
      <c r="R667" s="3038"/>
      <c r="S667" s="3038"/>
      <c r="T667" s="3038"/>
      <c r="W667" s="3038"/>
      <c r="X667" s="3038"/>
      <c r="Y667" s="3038"/>
      <c r="Z667" s="3038"/>
      <c r="AA667" s="3113"/>
      <c r="AB667" s="3038"/>
      <c r="AC667" s="3038"/>
      <c r="AD667" s="3038"/>
      <c r="AE667" s="3132"/>
      <c r="AF667" s="3038"/>
      <c r="AG667" s="3038"/>
      <c r="AH667" s="3038"/>
      <c r="AK667" s="3038"/>
      <c r="AL667" s="3038"/>
      <c r="AM667" s="3038"/>
      <c r="AN667" s="3038"/>
      <c r="AO667" s="3038"/>
      <c r="AP667" s="3038"/>
      <c r="AQ667" s="3038"/>
      <c r="AR667" s="3038"/>
      <c r="AS667" s="3038"/>
      <c r="AT667" s="3038"/>
      <c r="AU667" s="3038"/>
      <c r="AV667" s="3038"/>
      <c r="AW667" s="3038"/>
      <c r="AX667" s="3038"/>
      <c r="AY667" s="3038"/>
      <c r="AZ667" s="3038"/>
      <c r="BA667" s="3038"/>
      <c r="BB667" s="3038"/>
      <c r="BC667" s="3038"/>
      <c r="BD667" s="3038"/>
      <c r="BE667" s="3038"/>
      <c r="BF667" s="3038"/>
      <c r="BG667" s="3038"/>
      <c r="BH667" s="3038"/>
      <c r="BI667" s="3038"/>
      <c r="BJ667" s="3038"/>
      <c r="BK667" s="3038"/>
      <c r="BL667" s="3038"/>
      <c r="BM667" s="3038"/>
      <c r="BN667" s="3038"/>
      <c r="BO667" s="3038"/>
      <c r="BP667" s="3038"/>
      <c r="BQ667" s="3038"/>
      <c r="BR667" s="3038"/>
      <c r="BS667" s="3038"/>
      <c r="BT667" s="3038"/>
      <c r="BU667" s="3038"/>
    </row>
    <row r="668" spans="3:73">
      <c r="C668" s="3038"/>
      <c r="D668" s="3038"/>
      <c r="E668" s="3038"/>
      <c r="H668" s="3038"/>
      <c r="I668" s="3038"/>
      <c r="J668" s="3038"/>
      <c r="K668" s="3038"/>
      <c r="M668" s="3038"/>
      <c r="N668" s="3038"/>
      <c r="O668" s="3038"/>
      <c r="P668" s="3038"/>
      <c r="Q668" s="3038"/>
      <c r="R668" s="3038"/>
      <c r="S668" s="3038"/>
      <c r="T668" s="3038"/>
      <c r="W668" s="3038"/>
      <c r="X668" s="3038"/>
      <c r="Y668" s="3038"/>
      <c r="Z668" s="3038"/>
      <c r="AA668" s="3113"/>
      <c r="AB668" s="3038"/>
      <c r="AC668" s="3038"/>
      <c r="AD668" s="3038"/>
      <c r="AE668" s="3132"/>
      <c r="AF668" s="3038"/>
      <c r="AG668" s="3038"/>
      <c r="AH668" s="3038"/>
      <c r="AK668" s="3038"/>
      <c r="AL668" s="3038"/>
      <c r="AM668" s="3038"/>
      <c r="AN668" s="3038"/>
      <c r="AO668" s="3038"/>
      <c r="AP668" s="3038"/>
      <c r="AQ668" s="3038"/>
      <c r="AR668" s="3038"/>
      <c r="AS668" s="3038"/>
      <c r="AT668" s="3038"/>
      <c r="AU668" s="3038"/>
      <c r="AV668" s="3038"/>
      <c r="AW668" s="3038"/>
      <c r="AX668" s="3038"/>
      <c r="AY668" s="3038"/>
      <c r="AZ668" s="3038"/>
      <c r="BA668" s="3038"/>
      <c r="BB668" s="3038"/>
      <c r="BC668" s="3038"/>
      <c r="BD668" s="3038"/>
      <c r="BE668" s="3038"/>
      <c r="BF668" s="3038"/>
      <c r="BG668" s="3038"/>
      <c r="BH668" s="3038"/>
      <c r="BI668" s="3038"/>
      <c r="BJ668" s="3038"/>
      <c r="BK668" s="3038"/>
      <c r="BL668" s="3038"/>
      <c r="BM668" s="3038"/>
      <c r="BN668" s="3038"/>
      <c r="BO668" s="3038"/>
      <c r="BP668" s="3038"/>
      <c r="BQ668" s="3038"/>
      <c r="BR668" s="3038"/>
      <c r="BS668" s="3038"/>
      <c r="BT668" s="3038"/>
      <c r="BU668" s="3038"/>
    </row>
    <row r="669" spans="3:73">
      <c r="C669" s="3038"/>
      <c r="D669" s="3038"/>
      <c r="E669" s="3038"/>
      <c r="H669" s="3038"/>
      <c r="I669" s="3038"/>
      <c r="J669" s="3038"/>
      <c r="K669" s="3038"/>
      <c r="M669" s="3038"/>
      <c r="N669" s="3038"/>
      <c r="O669" s="3038"/>
      <c r="P669" s="3038"/>
      <c r="Q669" s="3038"/>
      <c r="R669" s="3038"/>
      <c r="S669" s="3038"/>
      <c r="T669" s="3038"/>
      <c r="W669" s="3038"/>
      <c r="X669" s="3038"/>
      <c r="Y669" s="3038"/>
      <c r="Z669" s="3038"/>
      <c r="AA669" s="3113"/>
      <c r="AB669" s="3038"/>
      <c r="AC669" s="3038"/>
      <c r="AD669" s="3038"/>
      <c r="AE669" s="3132"/>
      <c r="AF669" s="3038"/>
      <c r="AG669" s="3038"/>
      <c r="AH669" s="3038"/>
      <c r="AK669" s="3038"/>
      <c r="AL669" s="3038"/>
      <c r="AM669" s="3038"/>
      <c r="AN669" s="3038"/>
      <c r="AO669" s="3038"/>
      <c r="AP669" s="3038"/>
      <c r="AQ669" s="3038"/>
      <c r="AR669" s="3038"/>
      <c r="AS669" s="3038"/>
      <c r="AT669" s="3038"/>
      <c r="AU669" s="3038"/>
      <c r="AV669" s="3038"/>
      <c r="AW669" s="3038"/>
      <c r="AX669" s="3038"/>
      <c r="AY669" s="3038"/>
      <c r="AZ669" s="3038"/>
      <c r="BA669" s="3038"/>
      <c r="BB669" s="3038"/>
      <c r="BC669" s="3038"/>
      <c r="BD669" s="3038"/>
      <c r="BE669" s="3038"/>
      <c r="BF669" s="3038"/>
      <c r="BG669" s="3038"/>
      <c r="BH669" s="3038"/>
      <c r="BI669" s="3038"/>
      <c r="BJ669" s="3038"/>
      <c r="BK669" s="3038"/>
      <c r="BL669" s="3038"/>
      <c r="BM669" s="3038"/>
      <c r="BN669" s="3038"/>
      <c r="BO669" s="3038"/>
      <c r="BP669" s="3038"/>
      <c r="BQ669" s="3038"/>
      <c r="BR669" s="3038"/>
      <c r="BS669" s="3038"/>
      <c r="BT669" s="3038"/>
      <c r="BU669" s="3038"/>
    </row>
    <row r="670" spans="3:73">
      <c r="C670" s="3038"/>
      <c r="D670" s="3038"/>
      <c r="E670" s="3038"/>
      <c r="H670" s="3038"/>
      <c r="I670" s="3038"/>
      <c r="J670" s="3038"/>
      <c r="K670" s="3038"/>
      <c r="M670" s="3038"/>
      <c r="N670" s="3038"/>
      <c r="O670" s="3038"/>
      <c r="P670" s="3038"/>
      <c r="Q670" s="3038"/>
      <c r="R670" s="3038"/>
      <c r="S670" s="3038"/>
      <c r="T670" s="3038"/>
      <c r="W670" s="3038"/>
      <c r="X670" s="3038"/>
      <c r="Y670" s="3038"/>
      <c r="Z670" s="3038"/>
      <c r="AA670" s="3113"/>
      <c r="AB670" s="3038"/>
      <c r="AC670" s="3038"/>
      <c r="AD670" s="3038"/>
      <c r="AE670" s="3132"/>
      <c r="AF670" s="3038"/>
      <c r="AG670" s="3038"/>
      <c r="AH670" s="3038"/>
      <c r="AK670" s="3038"/>
      <c r="AL670" s="3038"/>
      <c r="AM670" s="3038"/>
      <c r="AN670" s="3038"/>
      <c r="AO670" s="3038"/>
      <c r="AP670" s="3038"/>
      <c r="AQ670" s="3038"/>
      <c r="AR670" s="3038"/>
      <c r="AS670" s="3038"/>
      <c r="AT670" s="3038"/>
      <c r="AU670" s="3038"/>
      <c r="AV670" s="3038"/>
      <c r="AW670" s="3038"/>
      <c r="AX670" s="3038"/>
      <c r="AY670" s="3038"/>
      <c r="AZ670" s="3038"/>
      <c r="BA670" s="3038"/>
      <c r="BB670" s="3038"/>
      <c r="BC670" s="3038"/>
      <c r="BD670" s="3038"/>
      <c r="BE670" s="3038"/>
      <c r="BF670" s="3038"/>
      <c r="BG670" s="3038"/>
      <c r="BH670" s="3038"/>
      <c r="BI670" s="3038"/>
      <c r="BJ670" s="3038"/>
      <c r="BK670" s="3038"/>
      <c r="BL670" s="3038"/>
      <c r="BM670" s="3038"/>
      <c r="BN670" s="3038"/>
      <c r="BO670" s="3038"/>
      <c r="BP670" s="3038"/>
      <c r="BQ670" s="3038"/>
      <c r="BR670" s="3038"/>
      <c r="BS670" s="3038"/>
      <c r="BT670" s="3038"/>
      <c r="BU670" s="3038"/>
    </row>
    <row r="671" spans="3:73">
      <c r="C671" s="3038"/>
      <c r="D671" s="3038"/>
      <c r="E671" s="3038"/>
      <c r="H671" s="3038"/>
      <c r="I671" s="3038"/>
      <c r="J671" s="3038"/>
      <c r="K671" s="3038"/>
      <c r="M671" s="3038"/>
      <c r="N671" s="3038"/>
      <c r="O671" s="3038"/>
      <c r="P671" s="3038"/>
      <c r="Q671" s="3038"/>
      <c r="R671" s="3038"/>
      <c r="S671" s="3038"/>
      <c r="T671" s="3038"/>
      <c r="W671" s="3038"/>
      <c r="X671" s="3038"/>
      <c r="Y671" s="3038"/>
      <c r="Z671" s="3038"/>
      <c r="AA671" s="3113"/>
      <c r="AB671" s="3038"/>
      <c r="AC671" s="3038"/>
      <c r="AD671" s="3038"/>
      <c r="AE671" s="3132"/>
      <c r="AF671" s="3038"/>
      <c r="AG671" s="3038"/>
      <c r="AH671" s="3038"/>
      <c r="AK671" s="3038"/>
      <c r="AL671" s="3038"/>
      <c r="AM671" s="3038"/>
      <c r="AN671" s="3038"/>
      <c r="AO671" s="3038"/>
      <c r="AP671" s="3038"/>
      <c r="AQ671" s="3038"/>
      <c r="AR671" s="3038"/>
      <c r="AS671" s="3038"/>
      <c r="AT671" s="3038"/>
      <c r="AU671" s="3038"/>
      <c r="AV671" s="3038"/>
      <c r="AW671" s="3038"/>
      <c r="AX671" s="3038"/>
      <c r="AY671" s="3038"/>
      <c r="AZ671" s="3038"/>
      <c r="BA671" s="3038"/>
      <c r="BB671" s="3038"/>
      <c r="BC671" s="3038"/>
      <c r="BD671" s="3038"/>
      <c r="BE671" s="3038"/>
      <c r="BF671" s="3038"/>
      <c r="BG671" s="3038"/>
      <c r="BH671" s="3038"/>
      <c r="BI671" s="3038"/>
      <c r="BJ671" s="3038"/>
      <c r="BK671" s="3038"/>
      <c r="BL671" s="3038"/>
      <c r="BM671" s="3038"/>
      <c r="BN671" s="3038"/>
      <c r="BO671" s="3038"/>
      <c r="BP671" s="3038"/>
      <c r="BQ671" s="3038"/>
      <c r="BR671" s="3038"/>
      <c r="BS671" s="3038"/>
      <c r="BT671" s="3038"/>
      <c r="BU671" s="3038"/>
    </row>
    <row r="672" spans="3:73">
      <c r="C672" s="3038"/>
      <c r="D672" s="3038"/>
      <c r="E672" s="3038"/>
      <c r="H672" s="3038"/>
      <c r="I672" s="3038"/>
      <c r="J672" s="3038"/>
      <c r="K672" s="3038"/>
      <c r="M672" s="3038"/>
      <c r="N672" s="3038"/>
      <c r="O672" s="3038"/>
      <c r="P672" s="3038"/>
      <c r="Q672" s="3038"/>
      <c r="R672" s="3038"/>
      <c r="S672" s="3038"/>
      <c r="T672" s="3038"/>
      <c r="W672" s="3038"/>
      <c r="X672" s="3038"/>
      <c r="Y672" s="3038"/>
      <c r="Z672" s="3038"/>
      <c r="AA672" s="3113"/>
      <c r="AB672" s="3038"/>
      <c r="AC672" s="3038"/>
      <c r="AD672" s="3038"/>
      <c r="AE672" s="3132"/>
      <c r="AF672" s="3038"/>
      <c r="AG672" s="3038"/>
      <c r="AH672" s="3038"/>
      <c r="AK672" s="3038"/>
      <c r="AL672" s="3038"/>
      <c r="AM672" s="3038"/>
      <c r="AN672" s="3038"/>
      <c r="AO672" s="3038"/>
      <c r="AP672" s="3038"/>
      <c r="AQ672" s="3038"/>
      <c r="AR672" s="3038"/>
      <c r="AS672" s="3038"/>
      <c r="AT672" s="3038"/>
      <c r="AU672" s="3038"/>
      <c r="AV672" s="3038"/>
      <c r="AW672" s="3038"/>
      <c r="AX672" s="3038"/>
      <c r="AY672" s="3038"/>
      <c r="AZ672" s="3038"/>
      <c r="BA672" s="3038"/>
      <c r="BB672" s="3038"/>
      <c r="BC672" s="3038"/>
      <c r="BD672" s="3038"/>
      <c r="BE672" s="3038"/>
      <c r="BF672" s="3038"/>
      <c r="BG672" s="3038"/>
      <c r="BH672" s="3038"/>
      <c r="BI672" s="3038"/>
      <c r="BJ672" s="3038"/>
      <c r="BK672" s="3038"/>
      <c r="BL672" s="3038"/>
      <c r="BM672" s="3038"/>
      <c r="BN672" s="3038"/>
      <c r="BO672" s="3038"/>
      <c r="BP672" s="3038"/>
      <c r="BQ672" s="3038"/>
      <c r="BR672" s="3038"/>
      <c r="BS672" s="3038"/>
      <c r="BT672" s="3038"/>
      <c r="BU672" s="3038"/>
    </row>
    <row r="673" spans="3:73">
      <c r="C673" s="3038"/>
      <c r="D673" s="3038"/>
      <c r="E673" s="3038"/>
      <c r="H673" s="3038"/>
      <c r="I673" s="3038"/>
      <c r="J673" s="3038"/>
      <c r="K673" s="3038"/>
      <c r="M673" s="3038"/>
      <c r="N673" s="3038"/>
      <c r="O673" s="3038"/>
      <c r="P673" s="3038"/>
      <c r="Q673" s="3038"/>
      <c r="R673" s="3038"/>
      <c r="S673" s="3038"/>
      <c r="T673" s="3038"/>
      <c r="W673" s="3038"/>
      <c r="X673" s="3038"/>
      <c r="Y673" s="3038"/>
      <c r="Z673" s="3038"/>
      <c r="AA673" s="3113"/>
      <c r="AB673" s="3038"/>
      <c r="AC673" s="3038"/>
      <c r="AD673" s="3038"/>
      <c r="AE673" s="3132"/>
      <c r="AF673" s="3038"/>
      <c r="AG673" s="3038"/>
      <c r="AH673" s="3038"/>
      <c r="AK673" s="3038"/>
      <c r="AL673" s="3038"/>
      <c r="AM673" s="3038"/>
      <c r="AN673" s="3038"/>
      <c r="AO673" s="3038"/>
      <c r="AP673" s="3038"/>
      <c r="AQ673" s="3038"/>
      <c r="AR673" s="3038"/>
      <c r="AS673" s="3038"/>
      <c r="AT673" s="3038"/>
      <c r="AU673" s="3038"/>
      <c r="AV673" s="3038"/>
      <c r="AW673" s="3038"/>
      <c r="AX673" s="3038"/>
      <c r="AY673" s="3038"/>
      <c r="AZ673" s="3038"/>
      <c r="BA673" s="3038"/>
      <c r="BB673" s="3038"/>
      <c r="BC673" s="3038"/>
      <c r="BD673" s="3038"/>
      <c r="BE673" s="3038"/>
      <c r="BF673" s="3038"/>
      <c r="BG673" s="3038"/>
      <c r="BH673" s="3038"/>
      <c r="BI673" s="3038"/>
      <c r="BJ673" s="3038"/>
      <c r="BK673" s="3038"/>
      <c r="BL673" s="3038"/>
      <c r="BM673" s="3038"/>
      <c r="BN673" s="3038"/>
      <c r="BO673" s="3038"/>
      <c r="BP673" s="3038"/>
      <c r="BQ673" s="3038"/>
      <c r="BR673" s="3038"/>
      <c r="BS673" s="3038"/>
      <c r="BT673" s="3038"/>
      <c r="BU673" s="3038"/>
    </row>
    <row r="674" spans="3:73">
      <c r="C674" s="3038"/>
      <c r="D674" s="3038"/>
      <c r="E674" s="3038"/>
      <c r="H674" s="3038"/>
      <c r="I674" s="3038"/>
      <c r="J674" s="3038"/>
      <c r="K674" s="3038"/>
      <c r="M674" s="3038"/>
      <c r="N674" s="3038"/>
      <c r="O674" s="3038"/>
      <c r="P674" s="3038"/>
      <c r="Q674" s="3038"/>
      <c r="R674" s="3038"/>
      <c r="S674" s="3038"/>
      <c r="T674" s="3038"/>
      <c r="W674" s="3038"/>
      <c r="X674" s="3038"/>
      <c r="Y674" s="3038"/>
      <c r="Z674" s="3038"/>
      <c r="AA674" s="3113"/>
      <c r="AB674" s="3038"/>
      <c r="AC674" s="3038"/>
      <c r="AD674" s="3038"/>
      <c r="AE674" s="3132"/>
      <c r="AF674" s="3038"/>
      <c r="AG674" s="3038"/>
      <c r="AH674" s="3038"/>
      <c r="AK674" s="3038"/>
      <c r="AL674" s="3038"/>
      <c r="AM674" s="3038"/>
      <c r="AN674" s="3038"/>
      <c r="AO674" s="3038"/>
      <c r="AP674" s="3038"/>
      <c r="AQ674" s="3038"/>
      <c r="AR674" s="3038"/>
      <c r="AS674" s="3038"/>
      <c r="AT674" s="3038"/>
      <c r="AU674" s="3038"/>
      <c r="AV674" s="3038"/>
      <c r="AW674" s="3038"/>
      <c r="AX674" s="3038"/>
      <c r="AY674" s="3038"/>
      <c r="AZ674" s="3038"/>
      <c r="BA674" s="3038"/>
      <c r="BB674" s="3038"/>
      <c r="BC674" s="3038"/>
      <c r="BD674" s="3038"/>
      <c r="BE674" s="3038"/>
      <c r="BF674" s="3038"/>
      <c r="BG674" s="3038"/>
      <c r="BH674" s="3038"/>
      <c r="BI674" s="3038"/>
      <c r="BJ674" s="3038"/>
      <c r="BK674" s="3038"/>
      <c r="BL674" s="3038"/>
      <c r="BM674" s="3038"/>
      <c r="BN674" s="3038"/>
      <c r="BO674" s="3038"/>
      <c r="BP674" s="3038"/>
      <c r="BQ674" s="3038"/>
      <c r="BR674" s="3038"/>
      <c r="BS674" s="3038"/>
      <c r="BT674" s="3038"/>
      <c r="BU674" s="3038"/>
    </row>
    <row r="675" spans="3:73">
      <c r="C675" s="3038"/>
      <c r="D675" s="3038"/>
      <c r="E675" s="3038"/>
      <c r="H675" s="3038"/>
      <c r="I675" s="3038"/>
      <c r="J675" s="3038"/>
      <c r="K675" s="3038"/>
      <c r="M675" s="3038"/>
      <c r="N675" s="3038"/>
      <c r="O675" s="3038"/>
      <c r="P675" s="3038"/>
      <c r="Q675" s="3038"/>
      <c r="R675" s="3038"/>
      <c r="S675" s="3038"/>
      <c r="T675" s="3038"/>
      <c r="W675" s="3038"/>
      <c r="X675" s="3038"/>
      <c r="Y675" s="3038"/>
      <c r="Z675" s="3038"/>
      <c r="AA675" s="3113"/>
      <c r="AB675" s="3038"/>
      <c r="AC675" s="3038"/>
      <c r="AD675" s="3038"/>
      <c r="AE675" s="3132"/>
      <c r="AF675" s="3038"/>
      <c r="AG675" s="3038"/>
      <c r="AH675" s="3038"/>
      <c r="AK675" s="3038"/>
      <c r="AL675" s="3038"/>
      <c r="AM675" s="3038"/>
      <c r="AN675" s="3038"/>
      <c r="AO675" s="3038"/>
      <c r="AP675" s="3038"/>
      <c r="AQ675" s="3038"/>
      <c r="AR675" s="3038"/>
      <c r="AS675" s="3038"/>
      <c r="AT675" s="3038"/>
      <c r="AU675" s="3038"/>
      <c r="AV675" s="3038"/>
      <c r="AW675" s="3038"/>
      <c r="AX675" s="3038"/>
      <c r="AY675" s="3038"/>
      <c r="AZ675" s="3038"/>
      <c r="BA675" s="3038"/>
      <c r="BB675" s="3038"/>
      <c r="BC675" s="3038"/>
      <c r="BD675" s="3038"/>
      <c r="BE675" s="3038"/>
      <c r="BF675" s="3038"/>
      <c r="BG675" s="3038"/>
      <c r="BH675" s="3038"/>
      <c r="BI675" s="3038"/>
      <c r="BJ675" s="3038"/>
      <c r="BK675" s="3038"/>
      <c r="BL675" s="3038"/>
      <c r="BM675" s="3038"/>
      <c r="BN675" s="3038"/>
      <c r="BO675" s="3038"/>
      <c r="BP675" s="3038"/>
      <c r="BQ675" s="3038"/>
      <c r="BR675" s="3038"/>
      <c r="BS675" s="3038"/>
      <c r="BT675" s="3038"/>
      <c r="BU675" s="3038"/>
    </row>
    <row r="676" spans="3:73">
      <c r="C676" s="3038"/>
      <c r="D676" s="3038"/>
      <c r="E676" s="3038"/>
      <c r="H676" s="3038"/>
      <c r="I676" s="3038"/>
      <c r="J676" s="3038"/>
      <c r="K676" s="3038"/>
      <c r="M676" s="3038"/>
      <c r="N676" s="3038"/>
      <c r="O676" s="3038"/>
      <c r="P676" s="3038"/>
      <c r="Q676" s="3038"/>
      <c r="R676" s="3038"/>
      <c r="S676" s="3038"/>
      <c r="T676" s="3038"/>
      <c r="W676" s="3038"/>
      <c r="X676" s="3038"/>
      <c r="Y676" s="3038"/>
      <c r="Z676" s="3038"/>
      <c r="AA676" s="3113"/>
      <c r="AB676" s="3038"/>
      <c r="AC676" s="3038"/>
      <c r="AD676" s="3038"/>
      <c r="AE676" s="3132"/>
      <c r="AF676" s="3038"/>
      <c r="AG676" s="3038"/>
      <c r="AH676" s="3038"/>
      <c r="AK676" s="3038"/>
      <c r="AL676" s="3038"/>
      <c r="AM676" s="3038"/>
      <c r="AN676" s="3038"/>
      <c r="AO676" s="3038"/>
      <c r="AP676" s="3038"/>
      <c r="AQ676" s="3038"/>
      <c r="AR676" s="3038"/>
      <c r="AS676" s="3038"/>
      <c r="AT676" s="3038"/>
      <c r="AU676" s="3038"/>
      <c r="AV676" s="3038"/>
      <c r="AW676" s="3038"/>
      <c r="AX676" s="3038"/>
      <c r="AY676" s="3038"/>
      <c r="AZ676" s="3038"/>
      <c r="BA676" s="3038"/>
      <c r="BB676" s="3038"/>
      <c r="BC676" s="3038"/>
      <c r="BD676" s="3038"/>
      <c r="BE676" s="3038"/>
      <c r="BF676" s="3038"/>
      <c r="BG676" s="3038"/>
      <c r="BH676" s="3038"/>
      <c r="BI676" s="3038"/>
      <c r="BJ676" s="3038"/>
      <c r="BK676" s="3038"/>
      <c r="BL676" s="3038"/>
      <c r="BM676" s="3038"/>
      <c r="BN676" s="3038"/>
      <c r="BO676" s="3038"/>
      <c r="BP676" s="3038"/>
      <c r="BQ676" s="3038"/>
      <c r="BR676" s="3038"/>
      <c r="BS676" s="3038"/>
      <c r="BT676" s="3038"/>
      <c r="BU676" s="3038"/>
    </row>
    <row r="677" spans="3:73">
      <c r="C677" s="3038"/>
      <c r="D677" s="3038"/>
      <c r="E677" s="3038"/>
      <c r="H677" s="3038"/>
      <c r="I677" s="3038"/>
      <c r="J677" s="3038"/>
      <c r="K677" s="3038"/>
      <c r="M677" s="3038"/>
      <c r="N677" s="3038"/>
      <c r="O677" s="3038"/>
      <c r="P677" s="3038"/>
      <c r="Q677" s="3038"/>
      <c r="R677" s="3038"/>
      <c r="S677" s="3038"/>
      <c r="T677" s="3038"/>
      <c r="W677" s="3038"/>
      <c r="X677" s="3038"/>
      <c r="Y677" s="3038"/>
      <c r="Z677" s="3038"/>
      <c r="AA677" s="3113"/>
      <c r="AB677" s="3038"/>
      <c r="AC677" s="3038"/>
      <c r="AD677" s="3038"/>
      <c r="AE677" s="3132"/>
      <c r="AF677" s="3038"/>
      <c r="AG677" s="3038"/>
      <c r="AH677" s="3038"/>
      <c r="AK677" s="3038"/>
      <c r="AL677" s="3038"/>
      <c r="AM677" s="3038"/>
      <c r="AN677" s="3038"/>
      <c r="AO677" s="3038"/>
      <c r="AP677" s="3038"/>
      <c r="AQ677" s="3038"/>
      <c r="AR677" s="3038"/>
      <c r="AS677" s="3038"/>
      <c r="AT677" s="3038"/>
      <c r="AU677" s="3038"/>
      <c r="AV677" s="3038"/>
      <c r="AW677" s="3038"/>
      <c r="AX677" s="3038"/>
      <c r="AY677" s="3038"/>
      <c r="AZ677" s="3038"/>
      <c r="BA677" s="3038"/>
      <c r="BB677" s="3038"/>
      <c r="BC677" s="3038"/>
      <c r="BD677" s="3038"/>
      <c r="BE677" s="3038"/>
      <c r="BF677" s="3038"/>
      <c r="BG677" s="3038"/>
      <c r="BH677" s="3038"/>
      <c r="BI677" s="3038"/>
      <c r="BJ677" s="3038"/>
      <c r="BK677" s="3038"/>
      <c r="BL677" s="3038"/>
      <c r="BM677" s="3038"/>
      <c r="BN677" s="3038"/>
      <c r="BO677" s="3038"/>
      <c r="BP677" s="3038"/>
      <c r="BQ677" s="3038"/>
      <c r="BR677" s="3038"/>
      <c r="BS677" s="3038"/>
      <c r="BT677" s="3038"/>
      <c r="BU677" s="3038"/>
    </row>
    <row r="678" spans="3:73">
      <c r="C678" s="3038"/>
      <c r="D678" s="3038"/>
      <c r="E678" s="3038"/>
      <c r="H678" s="3038"/>
      <c r="I678" s="3038"/>
      <c r="J678" s="3038"/>
      <c r="K678" s="3038"/>
      <c r="M678" s="3038"/>
      <c r="N678" s="3038"/>
      <c r="O678" s="3038"/>
      <c r="P678" s="3038"/>
      <c r="Q678" s="3038"/>
      <c r="R678" s="3038"/>
      <c r="S678" s="3038"/>
      <c r="T678" s="3038"/>
      <c r="W678" s="3038"/>
      <c r="X678" s="3038"/>
      <c r="Y678" s="3038"/>
      <c r="Z678" s="3038"/>
      <c r="AA678" s="3113"/>
      <c r="AB678" s="3038"/>
      <c r="AC678" s="3038"/>
      <c r="AD678" s="3038"/>
      <c r="AE678" s="3132"/>
      <c r="AF678" s="3038"/>
      <c r="AG678" s="3038"/>
      <c r="AH678" s="3038"/>
      <c r="AK678" s="3038"/>
      <c r="AL678" s="3038"/>
      <c r="AM678" s="3038"/>
      <c r="AN678" s="3038"/>
      <c r="AO678" s="3038"/>
      <c r="AP678" s="3038"/>
      <c r="AQ678" s="3038"/>
      <c r="AR678" s="3038"/>
      <c r="AS678" s="3038"/>
      <c r="AT678" s="3038"/>
      <c r="AU678" s="3038"/>
      <c r="AV678" s="3038"/>
      <c r="AW678" s="3038"/>
      <c r="AX678" s="3038"/>
      <c r="AY678" s="3038"/>
      <c r="AZ678" s="3038"/>
      <c r="BA678" s="3038"/>
      <c r="BB678" s="3038"/>
      <c r="BC678" s="3038"/>
      <c r="BD678" s="3038"/>
      <c r="BE678" s="3038"/>
      <c r="BF678" s="3038"/>
      <c r="BG678" s="3038"/>
      <c r="BH678" s="3038"/>
      <c r="BI678" s="3038"/>
      <c r="BJ678" s="3038"/>
      <c r="BK678" s="3038"/>
      <c r="BL678" s="3038"/>
      <c r="BM678" s="3038"/>
      <c r="BN678" s="3038"/>
      <c r="BO678" s="3038"/>
      <c r="BP678" s="3038"/>
      <c r="BQ678" s="3038"/>
      <c r="BR678" s="3038"/>
      <c r="BS678" s="3038"/>
      <c r="BT678" s="3038"/>
      <c r="BU678" s="3038"/>
    </row>
    <row r="679" spans="3:73">
      <c r="C679" s="3038"/>
      <c r="D679" s="3038"/>
      <c r="E679" s="3038"/>
      <c r="H679" s="3038"/>
      <c r="I679" s="3038"/>
      <c r="J679" s="3038"/>
      <c r="K679" s="3038"/>
      <c r="M679" s="3038"/>
      <c r="N679" s="3038"/>
      <c r="O679" s="3038"/>
      <c r="P679" s="3038"/>
      <c r="Q679" s="3038"/>
      <c r="R679" s="3038"/>
      <c r="S679" s="3038"/>
      <c r="T679" s="3038"/>
      <c r="W679" s="3038"/>
      <c r="X679" s="3038"/>
      <c r="Y679" s="3038"/>
      <c r="Z679" s="3038"/>
      <c r="AA679" s="3113"/>
      <c r="AB679" s="3038"/>
      <c r="AC679" s="3038"/>
      <c r="AD679" s="3038"/>
      <c r="AE679" s="3132"/>
      <c r="AF679" s="3038"/>
      <c r="AG679" s="3038"/>
      <c r="AH679" s="3038"/>
      <c r="AK679" s="3038"/>
      <c r="AL679" s="3038"/>
      <c r="AM679" s="3038"/>
      <c r="AN679" s="3038"/>
      <c r="AO679" s="3038"/>
      <c r="AP679" s="3038"/>
      <c r="AQ679" s="3038"/>
      <c r="AR679" s="3038"/>
      <c r="AS679" s="3038"/>
      <c r="AT679" s="3038"/>
      <c r="AU679" s="3038"/>
      <c r="AV679" s="3038"/>
      <c r="AW679" s="3038"/>
      <c r="AX679" s="3038"/>
      <c r="AY679" s="3038"/>
      <c r="AZ679" s="3038"/>
      <c r="BA679" s="3038"/>
      <c r="BB679" s="3038"/>
      <c r="BC679" s="3038"/>
      <c r="BD679" s="3038"/>
      <c r="BE679" s="3038"/>
      <c r="BF679" s="3038"/>
      <c r="BG679" s="3038"/>
      <c r="BH679" s="3038"/>
      <c r="BI679" s="3038"/>
      <c r="BJ679" s="3038"/>
      <c r="BK679" s="3038"/>
      <c r="BL679" s="3038"/>
      <c r="BM679" s="3038"/>
      <c r="BN679" s="3038"/>
      <c r="BO679" s="3038"/>
      <c r="BP679" s="3038"/>
      <c r="BQ679" s="3038"/>
      <c r="BR679" s="3038"/>
      <c r="BS679" s="3038"/>
      <c r="BT679" s="3038"/>
      <c r="BU679" s="3038"/>
    </row>
    <row r="680" spans="3:73">
      <c r="C680" s="3038"/>
      <c r="D680" s="3038"/>
      <c r="E680" s="3038"/>
      <c r="H680" s="3038"/>
      <c r="I680" s="3038"/>
      <c r="J680" s="3038"/>
      <c r="K680" s="3038"/>
      <c r="M680" s="3038"/>
      <c r="N680" s="3038"/>
      <c r="O680" s="3038"/>
      <c r="P680" s="3038"/>
      <c r="Q680" s="3038"/>
      <c r="R680" s="3038"/>
      <c r="S680" s="3038"/>
      <c r="T680" s="3038"/>
      <c r="W680" s="3038"/>
      <c r="X680" s="3038"/>
      <c r="Y680" s="3038"/>
      <c r="Z680" s="3038"/>
      <c r="AA680" s="3113"/>
      <c r="AB680" s="3038"/>
      <c r="AC680" s="3038"/>
      <c r="AD680" s="3038"/>
      <c r="AE680" s="3132"/>
      <c r="AF680" s="3038"/>
      <c r="AG680" s="3038"/>
      <c r="AH680" s="3038"/>
      <c r="AK680" s="3038"/>
      <c r="AL680" s="3038"/>
      <c r="AM680" s="3038"/>
      <c r="AN680" s="3038"/>
      <c r="AO680" s="3038"/>
      <c r="AP680" s="3038"/>
      <c r="AQ680" s="3038"/>
      <c r="AR680" s="3038"/>
      <c r="AS680" s="3038"/>
      <c r="AT680" s="3038"/>
      <c r="AU680" s="3038"/>
      <c r="AV680" s="3038"/>
      <c r="AW680" s="3038"/>
      <c r="AX680" s="3038"/>
      <c r="AY680" s="3038"/>
      <c r="AZ680" s="3038"/>
      <c r="BA680" s="3038"/>
      <c r="BB680" s="3038"/>
      <c r="BC680" s="3038"/>
      <c r="BD680" s="3038"/>
      <c r="BE680" s="3038"/>
      <c r="BF680" s="3038"/>
      <c r="BG680" s="3038"/>
      <c r="BH680" s="3038"/>
      <c r="BI680" s="3038"/>
      <c r="BJ680" s="3038"/>
      <c r="BK680" s="3038"/>
      <c r="BL680" s="3038"/>
      <c r="BM680" s="3038"/>
      <c r="BN680" s="3038"/>
      <c r="BO680" s="3038"/>
      <c r="BP680" s="3038"/>
      <c r="BQ680" s="3038"/>
      <c r="BR680" s="3038"/>
      <c r="BS680" s="3038"/>
      <c r="BT680" s="3038"/>
      <c r="BU680" s="3038"/>
    </row>
    <row r="681" spans="3:73">
      <c r="C681" s="3038"/>
      <c r="D681" s="3038"/>
      <c r="E681" s="3038"/>
      <c r="H681" s="3038"/>
      <c r="I681" s="3038"/>
      <c r="J681" s="3038"/>
      <c r="K681" s="3038"/>
      <c r="M681" s="3038"/>
      <c r="N681" s="3038"/>
      <c r="O681" s="3038"/>
      <c r="P681" s="3038"/>
      <c r="Q681" s="3038"/>
      <c r="R681" s="3038"/>
      <c r="S681" s="3038"/>
      <c r="T681" s="3038"/>
      <c r="W681" s="3038"/>
      <c r="X681" s="3038"/>
      <c r="Y681" s="3038"/>
      <c r="Z681" s="3038"/>
      <c r="AA681" s="3113"/>
      <c r="AB681" s="3038"/>
      <c r="AC681" s="3038"/>
      <c r="AD681" s="3038"/>
      <c r="AE681" s="3132"/>
      <c r="AF681" s="3038"/>
      <c r="AG681" s="3038"/>
      <c r="AH681" s="3038"/>
      <c r="AK681" s="3038"/>
      <c r="AL681" s="3038"/>
      <c r="AM681" s="3038"/>
      <c r="AN681" s="3038"/>
      <c r="AO681" s="3038"/>
      <c r="AP681" s="3038"/>
      <c r="AQ681" s="3038"/>
      <c r="AR681" s="3038"/>
      <c r="AS681" s="3038"/>
      <c r="AT681" s="3038"/>
      <c r="AU681" s="3038"/>
      <c r="AV681" s="3038"/>
      <c r="AW681" s="3038"/>
      <c r="AX681" s="3038"/>
      <c r="AY681" s="3038"/>
      <c r="AZ681" s="3038"/>
      <c r="BA681" s="3038"/>
      <c r="BB681" s="3038"/>
      <c r="BC681" s="3038"/>
      <c r="BD681" s="3038"/>
      <c r="BE681" s="3038"/>
      <c r="BF681" s="3038"/>
      <c r="BG681" s="3038"/>
      <c r="BH681" s="3038"/>
      <c r="BI681" s="3038"/>
      <c r="BJ681" s="3038"/>
      <c r="BK681" s="3038"/>
      <c r="BL681" s="3038"/>
      <c r="BM681" s="3038"/>
      <c r="BN681" s="3038"/>
      <c r="BO681" s="3038"/>
      <c r="BP681" s="3038"/>
      <c r="BQ681" s="3038"/>
      <c r="BR681" s="3038"/>
      <c r="BS681" s="3038"/>
      <c r="BT681" s="3038"/>
      <c r="BU681" s="3038"/>
    </row>
    <row r="682" spans="3:73">
      <c r="C682" s="3038"/>
      <c r="D682" s="3038"/>
      <c r="E682" s="3038"/>
      <c r="H682" s="3038"/>
      <c r="I682" s="3038"/>
      <c r="J682" s="3038"/>
      <c r="K682" s="3038"/>
      <c r="M682" s="3038"/>
      <c r="N682" s="3038"/>
      <c r="O682" s="3038"/>
      <c r="P682" s="3038"/>
      <c r="Q682" s="3038"/>
      <c r="R682" s="3038"/>
      <c r="S682" s="3038"/>
      <c r="T682" s="3038"/>
      <c r="W682" s="3038"/>
      <c r="X682" s="3038"/>
      <c r="Y682" s="3038"/>
      <c r="Z682" s="3038"/>
      <c r="AA682" s="3113"/>
      <c r="AB682" s="3038"/>
      <c r="AC682" s="3038"/>
      <c r="AD682" s="3038"/>
      <c r="AE682" s="3132"/>
      <c r="AF682" s="3038"/>
      <c r="AG682" s="3038"/>
      <c r="AH682" s="3038"/>
      <c r="AK682" s="3038"/>
      <c r="AL682" s="3038"/>
      <c r="AM682" s="3038"/>
      <c r="AN682" s="3038"/>
      <c r="AO682" s="3038"/>
      <c r="AP682" s="3038"/>
      <c r="AQ682" s="3038"/>
      <c r="AR682" s="3038"/>
      <c r="AS682" s="3038"/>
      <c r="AT682" s="3038"/>
      <c r="AU682" s="3038"/>
      <c r="AV682" s="3038"/>
      <c r="AW682" s="3038"/>
      <c r="AX682" s="3038"/>
      <c r="AY682" s="3038"/>
      <c r="AZ682" s="3038"/>
      <c r="BA682" s="3038"/>
      <c r="BB682" s="3038"/>
      <c r="BC682" s="3038"/>
      <c r="BD682" s="3038"/>
      <c r="BE682" s="3038"/>
      <c r="BF682" s="3038"/>
      <c r="BG682" s="3038"/>
      <c r="BH682" s="3038"/>
      <c r="BI682" s="3038"/>
      <c r="BJ682" s="3038"/>
      <c r="BK682" s="3038"/>
      <c r="BL682" s="3038"/>
      <c r="BM682" s="3038"/>
      <c r="BN682" s="3038"/>
      <c r="BO682" s="3038"/>
      <c r="BP682" s="3038"/>
      <c r="BQ682" s="3038"/>
      <c r="BR682" s="3038"/>
      <c r="BS682" s="3038"/>
      <c r="BT682" s="3038"/>
      <c r="BU682" s="3038"/>
    </row>
    <row r="683" spans="3:73">
      <c r="C683" s="3038"/>
      <c r="D683" s="3038"/>
      <c r="E683" s="3038"/>
      <c r="H683" s="3038"/>
      <c r="I683" s="3038"/>
      <c r="J683" s="3038"/>
      <c r="K683" s="3038"/>
      <c r="M683" s="3038"/>
      <c r="N683" s="3038"/>
      <c r="O683" s="3038"/>
      <c r="P683" s="3038"/>
      <c r="Q683" s="3038"/>
      <c r="R683" s="3038"/>
      <c r="S683" s="3038"/>
      <c r="T683" s="3038"/>
      <c r="W683" s="3038"/>
      <c r="X683" s="3038"/>
      <c r="Y683" s="3038"/>
      <c r="Z683" s="3038"/>
      <c r="AA683" s="3113"/>
      <c r="AB683" s="3038"/>
      <c r="AC683" s="3038"/>
      <c r="AD683" s="3038"/>
      <c r="AE683" s="3132"/>
      <c r="AF683" s="3038"/>
      <c r="AG683" s="3038"/>
      <c r="AH683" s="3038"/>
      <c r="AK683" s="3038"/>
      <c r="AL683" s="3038"/>
      <c r="AM683" s="3038"/>
      <c r="AN683" s="3038"/>
      <c r="AO683" s="3038"/>
      <c r="AP683" s="3038"/>
      <c r="AQ683" s="3038"/>
      <c r="AR683" s="3038"/>
      <c r="AS683" s="3038"/>
      <c r="AT683" s="3038"/>
      <c r="AU683" s="3038"/>
      <c r="AV683" s="3038"/>
      <c r="AW683" s="3038"/>
      <c r="AX683" s="3038"/>
      <c r="AY683" s="3038"/>
      <c r="AZ683" s="3038"/>
      <c r="BA683" s="3038"/>
      <c r="BB683" s="3038"/>
      <c r="BC683" s="3038"/>
      <c r="BD683" s="3038"/>
      <c r="BE683" s="3038"/>
      <c r="BF683" s="3038"/>
      <c r="BG683" s="3038"/>
      <c r="BH683" s="3038"/>
      <c r="BI683" s="3038"/>
      <c r="BJ683" s="3038"/>
      <c r="BK683" s="3038"/>
      <c r="BL683" s="3038"/>
      <c r="BM683" s="3038"/>
      <c r="BN683" s="3038"/>
      <c r="BO683" s="3038"/>
      <c r="BP683" s="3038"/>
      <c r="BQ683" s="3038"/>
      <c r="BR683" s="3038"/>
      <c r="BS683" s="3038"/>
      <c r="BT683" s="3038"/>
      <c r="BU683" s="3038"/>
    </row>
    <row r="684" spans="3:73">
      <c r="C684" s="3038"/>
      <c r="D684" s="3038"/>
      <c r="E684" s="3038"/>
      <c r="H684" s="3038"/>
      <c r="I684" s="3038"/>
      <c r="J684" s="3038"/>
      <c r="K684" s="3038"/>
      <c r="M684" s="3038"/>
      <c r="N684" s="3038"/>
      <c r="O684" s="3038"/>
      <c r="P684" s="3038"/>
      <c r="Q684" s="3038"/>
      <c r="R684" s="3038"/>
      <c r="S684" s="3038"/>
      <c r="T684" s="3038"/>
      <c r="W684" s="3038"/>
      <c r="X684" s="3038"/>
      <c r="Y684" s="3038"/>
      <c r="Z684" s="3038"/>
      <c r="AA684" s="3113"/>
      <c r="AB684" s="3038"/>
      <c r="AC684" s="3038"/>
      <c r="AD684" s="3038"/>
      <c r="AE684" s="3132"/>
      <c r="AF684" s="3038"/>
      <c r="AG684" s="3038"/>
      <c r="AH684" s="3038"/>
      <c r="AK684" s="3038"/>
      <c r="AL684" s="3038"/>
      <c r="AM684" s="3038"/>
      <c r="AN684" s="3038"/>
      <c r="AO684" s="3038"/>
      <c r="AP684" s="3038"/>
      <c r="AQ684" s="3038"/>
      <c r="AR684" s="3038"/>
      <c r="AS684" s="3038"/>
      <c r="AT684" s="3038"/>
      <c r="AU684" s="3038"/>
      <c r="AV684" s="3038"/>
      <c r="AW684" s="3038"/>
      <c r="AX684" s="3038"/>
      <c r="AY684" s="3038"/>
      <c r="AZ684" s="3038"/>
      <c r="BA684" s="3038"/>
      <c r="BB684" s="3038"/>
      <c r="BC684" s="3038"/>
      <c r="BD684" s="3038"/>
      <c r="BE684" s="3038"/>
      <c r="BF684" s="3038"/>
      <c r="BG684" s="3038"/>
      <c r="BH684" s="3038"/>
      <c r="BI684" s="3038"/>
      <c r="BJ684" s="3038"/>
      <c r="BK684" s="3038"/>
      <c r="BL684" s="3038"/>
      <c r="BM684" s="3038"/>
      <c r="BN684" s="3038"/>
      <c r="BO684" s="3038"/>
      <c r="BP684" s="3038"/>
      <c r="BQ684" s="3038"/>
      <c r="BR684" s="3038"/>
      <c r="BS684" s="3038"/>
      <c r="BT684" s="3038"/>
      <c r="BU684" s="3038"/>
    </row>
    <row r="685" spans="3:73">
      <c r="C685" s="3038"/>
      <c r="D685" s="3038"/>
      <c r="E685" s="3038"/>
      <c r="H685" s="3038"/>
      <c r="I685" s="3038"/>
      <c r="J685" s="3038"/>
      <c r="K685" s="3038"/>
      <c r="M685" s="3038"/>
      <c r="N685" s="3038"/>
      <c r="O685" s="3038"/>
      <c r="P685" s="3038"/>
      <c r="Q685" s="3038"/>
      <c r="R685" s="3038"/>
      <c r="S685" s="3038"/>
      <c r="T685" s="3038"/>
      <c r="W685" s="3038"/>
      <c r="X685" s="3038"/>
      <c r="Y685" s="3038"/>
      <c r="Z685" s="3038"/>
      <c r="AA685" s="3113"/>
      <c r="AB685" s="3038"/>
      <c r="AC685" s="3038"/>
      <c r="AD685" s="3038"/>
      <c r="AE685" s="3132"/>
      <c r="AF685" s="3038"/>
      <c r="AG685" s="3038"/>
      <c r="AH685" s="3038"/>
      <c r="AK685" s="3038"/>
      <c r="AL685" s="3038"/>
      <c r="AM685" s="3038"/>
      <c r="AN685" s="3038"/>
      <c r="AO685" s="3038"/>
      <c r="AP685" s="3038"/>
      <c r="AQ685" s="3038"/>
      <c r="AR685" s="3038"/>
      <c r="AS685" s="3038"/>
      <c r="AT685" s="3038"/>
      <c r="AU685" s="3038"/>
      <c r="AV685" s="3038"/>
      <c r="AW685" s="3038"/>
      <c r="AX685" s="3038"/>
      <c r="AY685" s="3038"/>
      <c r="AZ685" s="3038"/>
      <c r="BA685" s="3038"/>
      <c r="BB685" s="3038"/>
      <c r="BC685" s="3038"/>
      <c r="BD685" s="3038"/>
      <c r="BE685" s="3038"/>
      <c r="BF685" s="3038"/>
      <c r="BG685" s="3038"/>
      <c r="BH685" s="3038"/>
      <c r="BI685" s="3038"/>
      <c r="BJ685" s="3038"/>
      <c r="BK685" s="3038"/>
      <c r="BL685" s="3038"/>
      <c r="BM685" s="3038"/>
      <c r="BN685" s="3038"/>
      <c r="BO685" s="3038"/>
      <c r="BP685" s="3038"/>
      <c r="BQ685" s="3038"/>
      <c r="BR685" s="3038"/>
      <c r="BS685" s="3038"/>
      <c r="BT685" s="3038"/>
      <c r="BU685" s="3038"/>
    </row>
    <row r="686" spans="3:73">
      <c r="C686" s="3038"/>
      <c r="D686" s="3038"/>
      <c r="E686" s="3038"/>
      <c r="H686" s="3038"/>
      <c r="I686" s="3038"/>
      <c r="J686" s="3038"/>
      <c r="K686" s="3038"/>
      <c r="M686" s="3038"/>
      <c r="N686" s="3038"/>
      <c r="O686" s="3038"/>
      <c r="P686" s="3038"/>
      <c r="Q686" s="3038"/>
      <c r="R686" s="3038"/>
      <c r="S686" s="3038"/>
      <c r="T686" s="3038"/>
      <c r="W686" s="3038"/>
      <c r="X686" s="3038"/>
      <c r="Y686" s="3038"/>
      <c r="Z686" s="3038"/>
      <c r="AA686" s="3113"/>
      <c r="AB686" s="3038"/>
      <c r="AC686" s="3038"/>
      <c r="AD686" s="3038"/>
      <c r="AE686" s="3132"/>
      <c r="AF686" s="3038"/>
      <c r="AG686" s="3038"/>
      <c r="AH686" s="3038"/>
      <c r="AK686" s="3038"/>
      <c r="AL686" s="3038"/>
      <c r="AM686" s="3038"/>
      <c r="AN686" s="3038"/>
      <c r="AO686" s="3038"/>
      <c r="AP686" s="3038"/>
      <c r="AQ686" s="3038"/>
      <c r="AR686" s="3038"/>
      <c r="AS686" s="3038"/>
      <c r="AT686" s="3038"/>
      <c r="AU686" s="3038"/>
      <c r="AV686" s="3038"/>
      <c r="AW686" s="3038"/>
      <c r="AX686" s="3038"/>
      <c r="AY686" s="3038"/>
      <c r="AZ686" s="3038"/>
      <c r="BA686" s="3038"/>
      <c r="BB686" s="3038"/>
      <c r="BC686" s="3038"/>
      <c r="BD686" s="3038"/>
      <c r="BE686" s="3038"/>
      <c r="BF686" s="3038"/>
      <c r="BG686" s="3038"/>
      <c r="BH686" s="3038"/>
      <c r="BI686" s="3038"/>
      <c r="BJ686" s="3038"/>
      <c r="BK686" s="3038"/>
      <c r="BL686" s="3038"/>
      <c r="BM686" s="3038"/>
      <c r="BN686" s="3038"/>
      <c r="BO686" s="3038"/>
      <c r="BP686" s="3038"/>
      <c r="BQ686" s="3038"/>
      <c r="BR686" s="3038"/>
      <c r="BS686" s="3038"/>
      <c r="BT686" s="3038"/>
      <c r="BU686" s="3038"/>
    </row>
    <row r="687" spans="3:73">
      <c r="C687" s="3038"/>
      <c r="D687" s="3038"/>
      <c r="E687" s="3038"/>
      <c r="H687" s="3038"/>
      <c r="I687" s="3038"/>
      <c r="J687" s="3038"/>
      <c r="K687" s="3038"/>
      <c r="M687" s="3038"/>
      <c r="N687" s="3038"/>
      <c r="O687" s="3038"/>
      <c r="P687" s="3038"/>
      <c r="Q687" s="3038"/>
      <c r="R687" s="3038"/>
      <c r="S687" s="3038"/>
      <c r="T687" s="3038"/>
      <c r="W687" s="3038"/>
      <c r="X687" s="3038"/>
      <c r="Y687" s="3038"/>
      <c r="Z687" s="3038"/>
      <c r="AA687" s="3113"/>
      <c r="AB687" s="3038"/>
      <c r="AC687" s="3038"/>
      <c r="AD687" s="3038"/>
      <c r="AE687" s="3132"/>
      <c r="AF687" s="3038"/>
      <c r="AG687" s="3038"/>
      <c r="AH687" s="3038"/>
      <c r="AK687" s="3038"/>
      <c r="AL687" s="3038"/>
      <c r="AM687" s="3038"/>
      <c r="AN687" s="3038"/>
      <c r="AO687" s="3038"/>
      <c r="AP687" s="3038"/>
      <c r="AQ687" s="3038"/>
      <c r="AR687" s="3038"/>
      <c r="AS687" s="3038"/>
      <c r="AT687" s="3038"/>
      <c r="AU687" s="3038"/>
      <c r="AV687" s="3038"/>
      <c r="AW687" s="3038"/>
      <c r="AX687" s="3038"/>
      <c r="AY687" s="3038"/>
      <c r="AZ687" s="3038"/>
      <c r="BA687" s="3038"/>
      <c r="BB687" s="3038"/>
      <c r="BC687" s="3038"/>
      <c r="BD687" s="3038"/>
      <c r="BE687" s="3038"/>
      <c r="BF687" s="3038"/>
      <c r="BG687" s="3038"/>
      <c r="BH687" s="3038"/>
      <c r="BI687" s="3038"/>
      <c r="BJ687" s="3038"/>
      <c r="BK687" s="3038"/>
      <c r="BL687" s="3038"/>
      <c r="BM687" s="3038"/>
      <c r="BN687" s="3038"/>
      <c r="BO687" s="3038"/>
      <c r="BP687" s="3038"/>
      <c r="BQ687" s="3038"/>
      <c r="BR687" s="3038"/>
      <c r="BS687" s="3038"/>
      <c r="BT687" s="3038"/>
      <c r="BU687" s="3038"/>
    </row>
    <row r="688" spans="3:73">
      <c r="C688" s="3038"/>
      <c r="D688" s="3038"/>
      <c r="E688" s="3038"/>
      <c r="H688" s="3038"/>
      <c r="I688" s="3038"/>
      <c r="J688" s="3038"/>
      <c r="K688" s="3038"/>
      <c r="M688" s="3038"/>
      <c r="N688" s="3038"/>
      <c r="O688" s="3038"/>
      <c r="P688" s="3038"/>
      <c r="Q688" s="3038"/>
      <c r="R688" s="3038"/>
      <c r="S688" s="3038"/>
      <c r="T688" s="3038"/>
      <c r="W688" s="3038"/>
      <c r="X688" s="3038"/>
      <c r="Y688" s="3038"/>
      <c r="Z688" s="3038"/>
      <c r="AA688" s="3113"/>
      <c r="AB688" s="3038"/>
      <c r="AC688" s="3038"/>
      <c r="AD688" s="3038"/>
      <c r="AE688" s="3132"/>
      <c r="AF688" s="3038"/>
      <c r="AG688" s="3038"/>
      <c r="AH688" s="3038"/>
      <c r="AK688" s="3038"/>
      <c r="AL688" s="3038"/>
      <c r="AM688" s="3038"/>
      <c r="AN688" s="3038"/>
      <c r="AO688" s="3038"/>
      <c r="AP688" s="3038"/>
      <c r="AQ688" s="3038"/>
      <c r="AR688" s="3038"/>
      <c r="AS688" s="3038"/>
      <c r="AT688" s="3038"/>
      <c r="AU688" s="3038"/>
      <c r="AV688" s="3038"/>
      <c r="AW688" s="3038"/>
      <c r="AX688" s="3038"/>
      <c r="AY688" s="3038"/>
      <c r="AZ688" s="3038"/>
      <c r="BA688" s="3038"/>
      <c r="BB688" s="3038"/>
      <c r="BC688" s="3038"/>
      <c r="BD688" s="3038"/>
      <c r="BE688" s="3038"/>
      <c r="BF688" s="3038"/>
      <c r="BG688" s="3038"/>
      <c r="BH688" s="3038"/>
      <c r="BI688" s="3038"/>
      <c r="BJ688" s="3038"/>
      <c r="BK688" s="3038"/>
      <c r="BL688" s="3038"/>
      <c r="BM688" s="3038"/>
      <c r="BN688" s="3038"/>
      <c r="BO688" s="3038"/>
      <c r="BP688" s="3038"/>
      <c r="BQ688" s="3038"/>
      <c r="BR688" s="3038"/>
      <c r="BS688" s="3038"/>
      <c r="BT688" s="3038"/>
      <c r="BU688" s="3038"/>
    </row>
    <row r="689" spans="3:73">
      <c r="C689" s="3038"/>
      <c r="D689" s="3038"/>
      <c r="E689" s="3038"/>
      <c r="H689" s="3038"/>
      <c r="I689" s="3038"/>
      <c r="J689" s="3038"/>
      <c r="K689" s="3038"/>
      <c r="M689" s="3038"/>
      <c r="N689" s="3038"/>
      <c r="O689" s="3038"/>
      <c r="P689" s="3038"/>
      <c r="Q689" s="3038"/>
      <c r="R689" s="3038"/>
      <c r="S689" s="3038"/>
      <c r="T689" s="3038"/>
      <c r="W689" s="3038"/>
      <c r="X689" s="3038"/>
      <c r="Y689" s="3038"/>
      <c r="Z689" s="3038"/>
      <c r="AA689" s="3113"/>
      <c r="AB689" s="3038"/>
      <c r="AC689" s="3038"/>
      <c r="AD689" s="3038"/>
      <c r="AE689" s="3132"/>
      <c r="AF689" s="3038"/>
      <c r="AG689" s="3038"/>
      <c r="AH689" s="3038"/>
      <c r="AK689" s="3038"/>
      <c r="AL689" s="3038"/>
      <c r="AM689" s="3038"/>
      <c r="AN689" s="3038"/>
      <c r="AO689" s="3038"/>
      <c r="AP689" s="3038"/>
      <c r="AQ689" s="3038"/>
      <c r="AR689" s="3038"/>
      <c r="AS689" s="3038"/>
      <c r="AT689" s="3038"/>
      <c r="AU689" s="3038"/>
      <c r="AV689" s="3038"/>
      <c r="AW689" s="3038"/>
      <c r="AX689" s="3038"/>
      <c r="AY689" s="3038"/>
      <c r="AZ689" s="3038"/>
      <c r="BA689" s="3038"/>
      <c r="BB689" s="3038"/>
      <c r="BC689" s="3038"/>
      <c r="BD689" s="3038"/>
      <c r="BE689" s="3038"/>
      <c r="BF689" s="3038"/>
      <c r="BG689" s="3038"/>
      <c r="BH689" s="3038"/>
      <c r="BI689" s="3038"/>
      <c r="BJ689" s="3038"/>
      <c r="BK689" s="3038"/>
      <c r="BL689" s="3038"/>
      <c r="BM689" s="3038"/>
      <c r="BN689" s="3038"/>
      <c r="BO689" s="3038"/>
      <c r="BP689" s="3038"/>
      <c r="BQ689" s="3038"/>
      <c r="BR689" s="3038"/>
      <c r="BS689" s="3038"/>
      <c r="BT689" s="3038"/>
      <c r="BU689" s="3038"/>
    </row>
    <row r="690" spans="3:73">
      <c r="C690" s="3038"/>
      <c r="D690" s="3038"/>
      <c r="E690" s="3038"/>
      <c r="H690" s="3038"/>
      <c r="I690" s="3038"/>
      <c r="J690" s="3038"/>
      <c r="K690" s="3038"/>
      <c r="M690" s="3038"/>
      <c r="N690" s="3038"/>
      <c r="O690" s="3038"/>
      <c r="P690" s="3038"/>
      <c r="Q690" s="3038"/>
      <c r="R690" s="3038"/>
      <c r="S690" s="3038"/>
      <c r="T690" s="3038"/>
      <c r="W690" s="3038"/>
      <c r="X690" s="3038"/>
      <c r="Y690" s="3038"/>
      <c r="Z690" s="3038"/>
      <c r="AA690" s="3113"/>
      <c r="AB690" s="3038"/>
      <c r="AC690" s="3038"/>
      <c r="AD690" s="3038"/>
      <c r="AE690" s="3132"/>
      <c r="AF690" s="3038"/>
      <c r="AG690" s="3038"/>
      <c r="AH690" s="3038"/>
      <c r="AK690" s="3038"/>
      <c r="AL690" s="3038"/>
      <c r="AM690" s="3038"/>
      <c r="AN690" s="3038"/>
      <c r="AO690" s="3038"/>
      <c r="AP690" s="3038"/>
      <c r="AQ690" s="3038"/>
      <c r="AR690" s="3038"/>
      <c r="AS690" s="3038"/>
      <c r="AT690" s="3038"/>
      <c r="AU690" s="3038"/>
      <c r="AV690" s="3038"/>
      <c r="AW690" s="3038"/>
      <c r="AX690" s="3038"/>
      <c r="AY690" s="3038"/>
      <c r="AZ690" s="3038"/>
      <c r="BA690" s="3038"/>
      <c r="BB690" s="3038"/>
      <c r="BC690" s="3038"/>
      <c r="BD690" s="3038"/>
      <c r="BE690" s="3038"/>
      <c r="BF690" s="3038"/>
      <c r="BG690" s="3038"/>
      <c r="BH690" s="3038"/>
      <c r="BI690" s="3038"/>
      <c r="BJ690" s="3038"/>
      <c r="BK690" s="3038"/>
      <c r="BL690" s="3038"/>
      <c r="BM690" s="3038"/>
      <c r="BN690" s="3038"/>
      <c r="BO690" s="3038"/>
      <c r="BP690" s="3038"/>
      <c r="BQ690" s="3038"/>
      <c r="BR690" s="3038"/>
      <c r="BS690" s="3038"/>
      <c r="BT690" s="3038"/>
      <c r="BU690" s="3038"/>
    </row>
    <row r="691" spans="3:73">
      <c r="C691" s="3038"/>
      <c r="D691" s="3038"/>
      <c r="E691" s="3038"/>
      <c r="H691" s="3038"/>
      <c r="I691" s="3038"/>
      <c r="J691" s="3038"/>
      <c r="K691" s="3038"/>
      <c r="M691" s="3038"/>
      <c r="N691" s="3038"/>
      <c r="O691" s="3038"/>
      <c r="P691" s="3038"/>
      <c r="Q691" s="3038"/>
      <c r="R691" s="3038"/>
      <c r="S691" s="3038"/>
      <c r="T691" s="3038"/>
      <c r="W691" s="3038"/>
      <c r="X691" s="3038"/>
      <c r="Y691" s="3038"/>
      <c r="Z691" s="3038"/>
      <c r="AA691" s="3113"/>
      <c r="AB691" s="3038"/>
      <c r="AC691" s="3038"/>
      <c r="AD691" s="3038"/>
      <c r="AE691" s="3132"/>
      <c r="AF691" s="3038"/>
      <c r="AG691" s="3038"/>
      <c r="AH691" s="3038"/>
      <c r="AK691" s="3038"/>
      <c r="AL691" s="3038"/>
      <c r="AM691" s="3038"/>
      <c r="AN691" s="3038"/>
      <c r="AO691" s="3038"/>
      <c r="AP691" s="3038"/>
      <c r="AQ691" s="3038"/>
      <c r="AR691" s="3038"/>
      <c r="AS691" s="3038"/>
      <c r="AT691" s="3038"/>
      <c r="AU691" s="3038"/>
      <c r="AV691" s="3038"/>
      <c r="AW691" s="3038"/>
      <c r="AX691" s="3038"/>
      <c r="AY691" s="3038"/>
      <c r="AZ691" s="3038"/>
      <c r="BA691" s="3038"/>
      <c r="BB691" s="3038"/>
      <c r="BC691" s="3038"/>
      <c r="BD691" s="3038"/>
      <c r="BE691" s="3038"/>
      <c r="BF691" s="3038"/>
      <c r="BG691" s="3038"/>
      <c r="BH691" s="3038"/>
      <c r="BI691" s="3038"/>
      <c r="BJ691" s="3038"/>
      <c r="BK691" s="3038"/>
      <c r="BL691" s="3038"/>
      <c r="BM691" s="3038"/>
      <c r="BN691" s="3038"/>
      <c r="BO691" s="3038"/>
      <c r="BP691" s="3038"/>
      <c r="BQ691" s="3038"/>
      <c r="BR691" s="3038"/>
      <c r="BS691" s="3038"/>
      <c r="BT691" s="3038"/>
      <c r="BU691" s="3038"/>
    </row>
    <row r="692" spans="3:73">
      <c r="C692" s="3038"/>
      <c r="D692" s="3038"/>
      <c r="E692" s="3038"/>
      <c r="H692" s="3038"/>
      <c r="I692" s="3038"/>
      <c r="J692" s="3038"/>
      <c r="K692" s="3038"/>
      <c r="M692" s="3038"/>
      <c r="N692" s="3038"/>
      <c r="O692" s="3038"/>
      <c r="P692" s="3038"/>
      <c r="Q692" s="3038"/>
      <c r="R692" s="3038"/>
      <c r="S692" s="3038"/>
      <c r="T692" s="3038"/>
      <c r="W692" s="3038"/>
      <c r="X692" s="3038"/>
      <c r="Y692" s="3038"/>
      <c r="Z692" s="3038"/>
      <c r="AA692" s="3113"/>
      <c r="AB692" s="3038"/>
      <c r="AC692" s="3038"/>
      <c r="AD692" s="3038"/>
      <c r="AE692" s="3132"/>
      <c r="AF692" s="3038"/>
      <c r="AG692" s="3038"/>
      <c r="AH692" s="3038"/>
      <c r="AK692" s="3038"/>
      <c r="AL692" s="3038"/>
      <c r="AM692" s="3038"/>
      <c r="AN692" s="3038"/>
      <c r="AO692" s="3038"/>
      <c r="AP692" s="3038"/>
      <c r="AQ692" s="3038"/>
      <c r="AR692" s="3038"/>
      <c r="AS692" s="3038"/>
      <c r="AT692" s="3038"/>
      <c r="AU692" s="3038"/>
      <c r="AV692" s="3038"/>
      <c r="AW692" s="3038"/>
      <c r="AX692" s="3038"/>
      <c r="AY692" s="3038"/>
      <c r="AZ692" s="3038"/>
      <c r="BA692" s="3038"/>
      <c r="BB692" s="3038"/>
      <c r="BC692" s="3038"/>
      <c r="BD692" s="3038"/>
      <c r="BE692" s="3038"/>
      <c r="BF692" s="3038"/>
      <c r="BG692" s="3038"/>
      <c r="BH692" s="3038"/>
      <c r="BI692" s="3038"/>
      <c r="BJ692" s="3038"/>
      <c r="BK692" s="3038"/>
      <c r="BL692" s="3038"/>
      <c r="BM692" s="3038"/>
      <c r="BN692" s="3038"/>
      <c r="BO692" s="3038"/>
      <c r="BP692" s="3038"/>
      <c r="BQ692" s="3038"/>
      <c r="BR692" s="3038"/>
      <c r="BS692" s="3038"/>
      <c r="BT692" s="3038"/>
      <c r="BU692" s="3038"/>
    </row>
    <row r="693" spans="3:73">
      <c r="C693" s="3038"/>
      <c r="D693" s="3038"/>
      <c r="E693" s="3038"/>
      <c r="H693" s="3038"/>
      <c r="I693" s="3038"/>
      <c r="J693" s="3038"/>
      <c r="K693" s="3038"/>
      <c r="M693" s="3038"/>
      <c r="N693" s="3038"/>
      <c r="O693" s="3038"/>
      <c r="P693" s="3038"/>
      <c r="Q693" s="3038"/>
      <c r="R693" s="3038"/>
      <c r="S693" s="3038"/>
      <c r="T693" s="3038"/>
      <c r="W693" s="3038"/>
      <c r="X693" s="3038"/>
      <c r="Y693" s="3038"/>
      <c r="Z693" s="3038"/>
      <c r="AA693" s="3113"/>
      <c r="AB693" s="3038"/>
      <c r="AC693" s="3038"/>
      <c r="AD693" s="3038"/>
      <c r="AE693" s="3132"/>
      <c r="AF693" s="3038"/>
      <c r="AG693" s="3038"/>
      <c r="AH693" s="3038"/>
      <c r="AK693" s="3038"/>
      <c r="AL693" s="3038"/>
      <c r="AM693" s="3038"/>
      <c r="AN693" s="3038"/>
      <c r="AO693" s="3038"/>
      <c r="AP693" s="3038"/>
      <c r="AQ693" s="3038"/>
      <c r="AR693" s="3038"/>
      <c r="AS693" s="3038"/>
      <c r="AT693" s="3038"/>
      <c r="AU693" s="3038"/>
      <c r="AV693" s="3038"/>
      <c r="AW693" s="3038"/>
      <c r="AX693" s="3038"/>
      <c r="AY693" s="3038"/>
      <c r="AZ693" s="3038"/>
      <c r="BA693" s="3038"/>
      <c r="BB693" s="3038"/>
      <c r="BC693" s="3038"/>
      <c r="BD693" s="3038"/>
      <c r="BE693" s="3038"/>
      <c r="BF693" s="3038"/>
      <c r="BG693" s="3038"/>
      <c r="BH693" s="3038"/>
      <c r="BI693" s="3038"/>
      <c r="BJ693" s="3038"/>
      <c r="BK693" s="3038"/>
      <c r="BL693" s="3038"/>
      <c r="BM693" s="3038"/>
      <c r="BN693" s="3038"/>
      <c r="BO693" s="3038"/>
      <c r="BP693" s="3038"/>
      <c r="BQ693" s="3038"/>
      <c r="BR693" s="3038"/>
      <c r="BS693" s="3038"/>
      <c r="BT693" s="3038"/>
      <c r="BU693" s="3038"/>
    </row>
    <row r="694" spans="3:73">
      <c r="C694" s="3038"/>
      <c r="D694" s="3038"/>
      <c r="E694" s="3038"/>
      <c r="H694" s="3038"/>
      <c r="I694" s="3038"/>
      <c r="J694" s="3038"/>
      <c r="K694" s="3038"/>
      <c r="M694" s="3038"/>
      <c r="N694" s="3038"/>
      <c r="O694" s="3038"/>
      <c r="P694" s="3038"/>
      <c r="Q694" s="3038"/>
      <c r="R694" s="3038"/>
      <c r="S694" s="3038"/>
      <c r="T694" s="3038"/>
      <c r="W694" s="3038"/>
      <c r="X694" s="3038"/>
      <c r="Y694" s="3038"/>
      <c r="Z694" s="3038"/>
      <c r="AA694" s="3113"/>
      <c r="AB694" s="3038"/>
      <c r="AC694" s="3038"/>
      <c r="AD694" s="3038"/>
      <c r="AE694" s="3132"/>
      <c r="AF694" s="3038"/>
      <c r="AG694" s="3038"/>
      <c r="AH694" s="3038"/>
      <c r="AK694" s="3038"/>
      <c r="AL694" s="3038"/>
      <c r="AM694" s="3038"/>
      <c r="AN694" s="3038"/>
      <c r="AO694" s="3038"/>
      <c r="AP694" s="3038"/>
      <c r="AQ694" s="3038"/>
      <c r="AR694" s="3038"/>
      <c r="AS694" s="3038"/>
      <c r="AT694" s="3038"/>
      <c r="AU694" s="3038"/>
      <c r="AV694" s="3038"/>
      <c r="AW694" s="3038"/>
      <c r="AX694" s="3038"/>
      <c r="AY694" s="3038"/>
      <c r="AZ694" s="3038"/>
      <c r="BA694" s="3038"/>
      <c r="BB694" s="3038"/>
      <c r="BC694" s="3038"/>
      <c r="BD694" s="3038"/>
      <c r="BE694" s="3038"/>
      <c r="BF694" s="3038"/>
      <c r="BG694" s="3038"/>
      <c r="BH694" s="3038"/>
      <c r="BI694" s="3038"/>
      <c r="BJ694" s="3038"/>
      <c r="BK694" s="3038"/>
      <c r="BL694" s="3038"/>
      <c r="BM694" s="3038"/>
      <c r="BN694" s="3038"/>
      <c r="BO694" s="3038"/>
      <c r="BP694" s="3038"/>
      <c r="BQ694" s="3038"/>
      <c r="BR694" s="3038"/>
      <c r="BS694" s="3038"/>
      <c r="BT694" s="3038"/>
      <c r="BU694" s="3038"/>
    </row>
    <row r="695" spans="3:73">
      <c r="C695" s="3038"/>
      <c r="D695" s="3038"/>
      <c r="E695" s="3038"/>
      <c r="H695" s="3038"/>
      <c r="I695" s="3038"/>
      <c r="J695" s="3038"/>
      <c r="K695" s="3038"/>
      <c r="M695" s="3038"/>
      <c r="N695" s="3038"/>
      <c r="O695" s="3038"/>
      <c r="P695" s="3038"/>
      <c r="Q695" s="3038"/>
      <c r="R695" s="3038"/>
      <c r="S695" s="3038"/>
      <c r="T695" s="3038"/>
      <c r="W695" s="3038"/>
      <c r="X695" s="3038"/>
      <c r="Y695" s="3038"/>
      <c r="Z695" s="3038"/>
      <c r="AA695" s="3113"/>
      <c r="AB695" s="3038"/>
      <c r="AC695" s="3038"/>
      <c r="AD695" s="3038"/>
      <c r="AE695" s="3132"/>
      <c r="AF695" s="3038"/>
      <c r="AG695" s="3038"/>
      <c r="AH695" s="3038"/>
      <c r="AK695" s="3038"/>
      <c r="AL695" s="3038"/>
      <c r="AM695" s="3038"/>
      <c r="AN695" s="3038"/>
      <c r="AO695" s="3038"/>
      <c r="AP695" s="3038"/>
      <c r="AQ695" s="3038"/>
      <c r="AR695" s="3038"/>
      <c r="AS695" s="3038"/>
      <c r="AT695" s="3038"/>
      <c r="AU695" s="3038"/>
      <c r="AV695" s="3038"/>
      <c r="AW695" s="3038"/>
      <c r="AX695" s="3038"/>
      <c r="AY695" s="3038"/>
      <c r="AZ695" s="3038"/>
      <c r="BA695" s="3038"/>
      <c r="BB695" s="3038"/>
      <c r="BC695" s="3038"/>
      <c r="BD695" s="3038"/>
      <c r="BE695" s="3038"/>
      <c r="BF695" s="3038"/>
      <c r="BG695" s="3038"/>
      <c r="BH695" s="3038"/>
      <c r="BI695" s="3038"/>
      <c r="BJ695" s="3038"/>
      <c r="BK695" s="3038"/>
      <c r="BL695" s="3038"/>
      <c r="BM695" s="3038"/>
      <c r="BN695" s="3038"/>
      <c r="BO695" s="3038"/>
      <c r="BP695" s="3038"/>
      <c r="BQ695" s="3038"/>
      <c r="BR695" s="3038"/>
      <c r="BS695" s="3038"/>
      <c r="BT695" s="3038"/>
      <c r="BU695" s="3038"/>
    </row>
    <row r="696" spans="3:73">
      <c r="C696" s="3038"/>
      <c r="D696" s="3038"/>
      <c r="E696" s="3038"/>
      <c r="H696" s="3038"/>
      <c r="I696" s="3038"/>
      <c r="J696" s="3038"/>
      <c r="K696" s="3038"/>
      <c r="M696" s="3038"/>
      <c r="N696" s="3038"/>
      <c r="O696" s="3038"/>
      <c r="P696" s="3038"/>
      <c r="Q696" s="3038"/>
      <c r="R696" s="3038"/>
      <c r="S696" s="3038"/>
      <c r="T696" s="3038"/>
      <c r="W696" s="3038"/>
      <c r="X696" s="3038"/>
      <c r="Y696" s="3038"/>
      <c r="Z696" s="3038"/>
      <c r="AA696" s="3113"/>
      <c r="AB696" s="3038"/>
      <c r="AC696" s="3038"/>
      <c r="AD696" s="3038"/>
      <c r="AE696" s="3132"/>
      <c r="AF696" s="3038"/>
      <c r="AG696" s="3038"/>
      <c r="AH696" s="3038"/>
      <c r="AK696" s="3038"/>
      <c r="AL696" s="3038"/>
      <c r="AM696" s="3038"/>
      <c r="AN696" s="3038"/>
      <c r="AO696" s="3038"/>
      <c r="AP696" s="3038"/>
      <c r="AQ696" s="3038"/>
      <c r="AR696" s="3038"/>
      <c r="AS696" s="3038"/>
      <c r="AT696" s="3038"/>
      <c r="AU696" s="3038"/>
      <c r="AV696" s="3038"/>
      <c r="AW696" s="3038"/>
      <c r="AX696" s="3038"/>
      <c r="AY696" s="3038"/>
      <c r="AZ696" s="3038"/>
      <c r="BA696" s="3038"/>
      <c r="BB696" s="3038"/>
      <c r="BC696" s="3038"/>
      <c r="BD696" s="3038"/>
      <c r="BE696" s="3038"/>
      <c r="BF696" s="3038"/>
      <c r="BG696" s="3038"/>
      <c r="BH696" s="3038"/>
      <c r="BI696" s="3038"/>
      <c r="BJ696" s="3038"/>
      <c r="BK696" s="3038"/>
      <c r="BL696" s="3038"/>
      <c r="BM696" s="3038"/>
      <c r="BN696" s="3038"/>
      <c r="BO696" s="3038"/>
      <c r="BP696" s="3038"/>
      <c r="BQ696" s="3038"/>
      <c r="BR696" s="3038"/>
      <c r="BS696" s="3038"/>
      <c r="BT696" s="3038"/>
      <c r="BU696" s="3038"/>
    </row>
    <row r="697" spans="3:73">
      <c r="C697" s="3038"/>
      <c r="D697" s="3038"/>
      <c r="E697" s="3038"/>
      <c r="H697" s="3038"/>
      <c r="I697" s="3038"/>
      <c r="J697" s="3038"/>
      <c r="K697" s="3038"/>
      <c r="M697" s="3038"/>
      <c r="N697" s="3038"/>
      <c r="O697" s="3038"/>
      <c r="P697" s="3038"/>
      <c r="Q697" s="3038"/>
      <c r="R697" s="3038"/>
      <c r="S697" s="3038"/>
      <c r="T697" s="3038"/>
      <c r="W697" s="3038"/>
      <c r="X697" s="3038"/>
      <c r="Y697" s="3038"/>
      <c r="Z697" s="3038"/>
      <c r="AA697" s="3113"/>
      <c r="AB697" s="3038"/>
      <c r="AC697" s="3038"/>
      <c r="AD697" s="3038"/>
      <c r="AE697" s="3132"/>
      <c r="AF697" s="3038"/>
      <c r="AG697" s="3038"/>
      <c r="AH697" s="3038"/>
      <c r="AK697" s="3038"/>
      <c r="AL697" s="3038"/>
      <c r="AM697" s="3038"/>
      <c r="AN697" s="3038"/>
      <c r="AO697" s="3038"/>
      <c r="AP697" s="3038"/>
      <c r="AQ697" s="3038"/>
      <c r="AR697" s="3038"/>
      <c r="AS697" s="3038"/>
      <c r="AT697" s="3038"/>
      <c r="AU697" s="3038"/>
      <c r="AV697" s="3038"/>
      <c r="AW697" s="3038"/>
      <c r="AX697" s="3038"/>
      <c r="AY697" s="3038"/>
      <c r="AZ697" s="3038"/>
      <c r="BA697" s="3038"/>
      <c r="BB697" s="3038"/>
      <c r="BC697" s="3038"/>
      <c r="BD697" s="3038"/>
      <c r="BE697" s="3038"/>
      <c r="BF697" s="3038"/>
      <c r="BG697" s="3038"/>
      <c r="BH697" s="3038"/>
      <c r="BI697" s="3038"/>
      <c r="BJ697" s="3038"/>
      <c r="BK697" s="3038"/>
      <c r="BL697" s="3038"/>
      <c r="BM697" s="3038"/>
      <c r="BN697" s="3038"/>
      <c r="BO697" s="3038"/>
      <c r="BP697" s="3038"/>
      <c r="BQ697" s="3038"/>
      <c r="BR697" s="3038"/>
      <c r="BS697" s="3038"/>
      <c r="BT697" s="3038"/>
      <c r="BU697" s="3038"/>
    </row>
    <row r="698" spans="3:73">
      <c r="C698" s="3038"/>
      <c r="D698" s="3038"/>
      <c r="E698" s="3038"/>
      <c r="H698" s="3038"/>
      <c r="I698" s="3038"/>
      <c r="J698" s="3038"/>
      <c r="K698" s="3038"/>
      <c r="M698" s="3038"/>
      <c r="N698" s="3038"/>
      <c r="O698" s="3038"/>
      <c r="P698" s="3038"/>
      <c r="Q698" s="3038"/>
      <c r="R698" s="3038"/>
      <c r="S698" s="3038"/>
      <c r="T698" s="3038"/>
      <c r="W698" s="3038"/>
      <c r="X698" s="3038"/>
      <c r="Y698" s="3038"/>
      <c r="Z698" s="3038"/>
      <c r="AA698" s="3113"/>
      <c r="AB698" s="3038"/>
      <c r="AC698" s="3038"/>
      <c r="AD698" s="3038"/>
      <c r="AE698" s="3132"/>
      <c r="AF698" s="3038"/>
      <c r="AG698" s="3038"/>
      <c r="AH698" s="3038"/>
      <c r="AK698" s="3038"/>
      <c r="AL698" s="3038"/>
      <c r="AM698" s="3038"/>
      <c r="AN698" s="3038"/>
      <c r="AO698" s="3038"/>
      <c r="AP698" s="3038"/>
      <c r="AQ698" s="3038"/>
      <c r="AR698" s="3038"/>
      <c r="AS698" s="3038"/>
      <c r="AT698" s="3038"/>
      <c r="AU698" s="3038"/>
      <c r="AV698" s="3038"/>
      <c r="AW698" s="3038"/>
      <c r="AX698" s="3038"/>
      <c r="AY698" s="3038"/>
      <c r="AZ698" s="3038"/>
      <c r="BA698" s="3038"/>
      <c r="BB698" s="3038"/>
      <c r="BC698" s="3038"/>
      <c r="BD698" s="3038"/>
      <c r="BE698" s="3038"/>
      <c r="BF698" s="3038"/>
      <c r="BG698" s="3038"/>
      <c r="BH698" s="3038"/>
      <c r="BI698" s="3038"/>
      <c r="BJ698" s="3038"/>
      <c r="BK698" s="3038"/>
      <c r="BL698" s="3038"/>
      <c r="BM698" s="3038"/>
      <c r="BN698" s="3038"/>
      <c r="BO698" s="3038"/>
      <c r="BP698" s="3038"/>
      <c r="BQ698" s="3038"/>
      <c r="BR698" s="3038"/>
      <c r="BS698" s="3038"/>
      <c r="BT698" s="3038"/>
      <c r="BU698" s="3038"/>
    </row>
    <row r="699" spans="3:73">
      <c r="C699" s="3038"/>
      <c r="D699" s="3038"/>
      <c r="E699" s="3038"/>
      <c r="H699" s="3038"/>
      <c r="I699" s="3038"/>
      <c r="J699" s="3038"/>
      <c r="K699" s="3038"/>
      <c r="M699" s="3038"/>
      <c r="N699" s="3038"/>
      <c r="O699" s="3038"/>
      <c r="P699" s="3038"/>
      <c r="Q699" s="3038"/>
      <c r="R699" s="3038"/>
      <c r="S699" s="3038"/>
      <c r="T699" s="3038"/>
      <c r="W699" s="3038"/>
      <c r="X699" s="3038"/>
      <c r="Y699" s="3038"/>
      <c r="Z699" s="3038"/>
      <c r="AA699" s="3113"/>
      <c r="AB699" s="3038"/>
      <c r="AC699" s="3038"/>
      <c r="AD699" s="3038"/>
      <c r="AE699" s="3132"/>
      <c r="AF699" s="3038"/>
      <c r="AG699" s="3038"/>
      <c r="AH699" s="3038"/>
      <c r="AK699" s="3038"/>
      <c r="AL699" s="3038"/>
      <c r="AM699" s="3038"/>
      <c r="AN699" s="3038"/>
      <c r="AO699" s="3038"/>
      <c r="AP699" s="3038"/>
      <c r="AQ699" s="3038"/>
      <c r="AR699" s="3038"/>
      <c r="AS699" s="3038"/>
      <c r="AT699" s="3038"/>
      <c r="AU699" s="3038"/>
      <c r="AV699" s="3038"/>
      <c r="AW699" s="3038"/>
      <c r="AX699" s="3038"/>
      <c r="AY699" s="3038"/>
      <c r="AZ699" s="3038"/>
      <c r="BA699" s="3038"/>
      <c r="BB699" s="3038"/>
      <c r="BC699" s="3038"/>
      <c r="BD699" s="3038"/>
      <c r="BE699" s="3038"/>
      <c r="BF699" s="3038"/>
      <c r="BG699" s="3038"/>
      <c r="BH699" s="3038"/>
      <c r="BI699" s="3038"/>
      <c r="BJ699" s="3038"/>
      <c r="BK699" s="3038"/>
      <c r="BL699" s="3038"/>
      <c r="BM699" s="3038"/>
      <c r="BN699" s="3038"/>
      <c r="BO699" s="3038"/>
      <c r="BP699" s="3038"/>
      <c r="BQ699" s="3038"/>
      <c r="BR699" s="3038"/>
      <c r="BS699" s="3038"/>
      <c r="BT699" s="3038"/>
      <c r="BU699" s="3038"/>
    </row>
    <row r="700" spans="3:73">
      <c r="C700" s="3038"/>
      <c r="D700" s="3038"/>
      <c r="E700" s="3038"/>
      <c r="H700" s="3038"/>
      <c r="I700" s="3038"/>
      <c r="J700" s="3038"/>
      <c r="K700" s="3038"/>
      <c r="M700" s="3038"/>
      <c r="N700" s="3038"/>
      <c r="O700" s="3038"/>
      <c r="P700" s="3038"/>
      <c r="Q700" s="3038"/>
      <c r="R700" s="3038"/>
      <c r="S700" s="3038"/>
      <c r="T700" s="3038"/>
      <c r="W700" s="3038"/>
      <c r="X700" s="3038"/>
      <c r="Y700" s="3038"/>
      <c r="Z700" s="3038"/>
      <c r="AA700" s="3113"/>
      <c r="AB700" s="3038"/>
      <c r="AC700" s="3038"/>
      <c r="AD700" s="3038"/>
      <c r="AE700" s="3132"/>
      <c r="AF700" s="3038"/>
      <c r="AG700" s="3038"/>
      <c r="AH700" s="3038"/>
      <c r="AK700" s="3038"/>
      <c r="AL700" s="3038"/>
      <c r="AM700" s="3038"/>
      <c r="AN700" s="3038"/>
      <c r="AO700" s="3038"/>
      <c r="AP700" s="3038"/>
      <c r="AQ700" s="3038"/>
      <c r="AR700" s="3038"/>
      <c r="AS700" s="3038"/>
      <c r="AT700" s="3038"/>
      <c r="AU700" s="3038"/>
      <c r="AV700" s="3038"/>
      <c r="AW700" s="3038"/>
      <c r="AX700" s="3038"/>
      <c r="AY700" s="3038"/>
      <c r="AZ700" s="3038"/>
      <c r="BA700" s="3038"/>
      <c r="BB700" s="3038"/>
      <c r="BC700" s="3038"/>
      <c r="BD700" s="3038"/>
      <c r="BE700" s="3038"/>
      <c r="BF700" s="3038"/>
      <c r="BG700" s="3038"/>
      <c r="BH700" s="3038"/>
      <c r="BI700" s="3038"/>
      <c r="BJ700" s="3038"/>
      <c r="BK700" s="3038"/>
      <c r="BL700" s="3038"/>
      <c r="BM700" s="3038"/>
      <c r="BN700" s="3038"/>
      <c r="BO700" s="3038"/>
      <c r="BP700" s="3038"/>
      <c r="BQ700" s="3038"/>
      <c r="BR700" s="3038"/>
      <c r="BS700" s="3038"/>
      <c r="BT700" s="3038"/>
      <c r="BU700" s="3038"/>
    </row>
    <row r="701" spans="3:73">
      <c r="C701" s="3038"/>
      <c r="D701" s="3038"/>
      <c r="E701" s="3038"/>
      <c r="H701" s="3038"/>
      <c r="I701" s="3038"/>
      <c r="J701" s="3038"/>
      <c r="K701" s="3038"/>
      <c r="M701" s="3038"/>
      <c r="N701" s="3038"/>
      <c r="O701" s="3038"/>
      <c r="P701" s="3038"/>
      <c r="Q701" s="3038"/>
      <c r="R701" s="3038"/>
      <c r="S701" s="3038"/>
      <c r="T701" s="3038"/>
      <c r="W701" s="3038"/>
      <c r="X701" s="3038"/>
      <c r="Y701" s="3038"/>
      <c r="Z701" s="3038"/>
      <c r="AA701" s="3113"/>
      <c r="AB701" s="3038"/>
      <c r="AC701" s="3038"/>
      <c r="AD701" s="3038"/>
      <c r="AE701" s="3132"/>
      <c r="AF701" s="3038"/>
      <c r="AG701" s="3038"/>
      <c r="AH701" s="3038"/>
      <c r="AK701" s="3038"/>
      <c r="AL701" s="3038"/>
      <c r="AM701" s="3038"/>
      <c r="AN701" s="3038"/>
      <c r="AO701" s="3038"/>
      <c r="AP701" s="3038"/>
      <c r="AQ701" s="3038"/>
      <c r="AR701" s="3038"/>
      <c r="AS701" s="3038"/>
      <c r="AT701" s="3038"/>
      <c r="AU701" s="3038"/>
      <c r="AV701" s="3038"/>
      <c r="AW701" s="3038"/>
      <c r="AX701" s="3038"/>
      <c r="AY701" s="3038"/>
      <c r="AZ701" s="3038"/>
      <c r="BA701" s="3038"/>
      <c r="BB701" s="3038"/>
      <c r="BC701" s="3038"/>
      <c r="BD701" s="3038"/>
      <c r="BE701" s="3038"/>
      <c r="BF701" s="3038"/>
      <c r="BG701" s="3038"/>
      <c r="BH701" s="3038"/>
      <c r="BI701" s="3038"/>
      <c r="BJ701" s="3038"/>
      <c r="BK701" s="3038"/>
      <c r="BL701" s="3038"/>
      <c r="BM701" s="3038"/>
      <c r="BN701" s="3038"/>
      <c r="BO701" s="3038"/>
      <c r="BP701" s="3038"/>
      <c r="BQ701" s="3038"/>
      <c r="BR701" s="3038"/>
      <c r="BS701" s="3038"/>
      <c r="BT701" s="3038"/>
      <c r="BU701" s="3038"/>
    </row>
    <row r="702" spans="3:73">
      <c r="C702" s="3038"/>
      <c r="D702" s="3038"/>
      <c r="E702" s="3038"/>
      <c r="H702" s="3038"/>
      <c r="I702" s="3038"/>
      <c r="J702" s="3038"/>
      <c r="K702" s="3038"/>
      <c r="M702" s="3038"/>
      <c r="N702" s="3038"/>
      <c r="O702" s="3038"/>
      <c r="P702" s="3038"/>
      <c r="Q702" s="3038"/>
      <c r="R702" s="3038"/>
      <c r="S702" s="3038"/>
      <c r="T702" s="3038"/>
      <c r="W702" s="3038"/>
      <c r="X702" s="3038"/>
      <c r="Y702" s="3038"/>
      <c r="Z702" s="3038"/>
      <c r="AA702" s="3113"/>
      <c r="AB702" s="3038"/>
      <c r="AC702" s="3038"/>
      <c r="AD702" s="3038"/>
      <c r="AE702" s="3132"/>
      <c r="AF702" s="3038"/>
      <c r="AG702" s="3038"/>
      <c r="AH702" s="3038"/>
      <c r="AK702" s="3038"/>
      <c r="AL702" s="3038"/>
      <c r="AM702" s="3038"/>
      <c r="AN702" s="3038"/>
      <c r="AO702" s="3038"/>
      <c r="AP702" s="3038"/>
      <c r="AQ702" s="3038"/>
      <c r="AR702" s="3038"/>
      <c r="AS702" s="3038"/>
      <c r="AT702" s="3038"/>
      <c r="AU702" s="3038"/>
      <c r="AV702" s="3038"/>
      <c r="AW702" s="3038"/>
      <c r="AX702" s="3038"/>
      <c r="AY702" s="3038"/>
      <c r="AZ702" s="3038"/>
      <c r="BA702" s="3038"/>
      <c r="BB702" s="3038"/>
      <c r="BC702" s="3038"/>
      <c r="BD702" s="3038"/>
      <c r="BE702" s="3038"/>
      <c r="BF702" s="3038"/>
      <c r="BG702" s="3038"/>
      <c r="BH702" s="3038"/>
      <c r="BI702" s="3038"/>
      <c r="BJ702" s="3038"/>
      <c r="BK702" s="3038"/>
      <c r="BL702" s="3038"/>
      <c r="BM702" s="3038"/>
      <c r="BN702" s="3038"/>
      <c r="BO702" s="3038"/>
      <c r="BP702" s="3038"/>
      <c r="BQ702" s="3038"/>
      <c r="BR702" s="3038"/>
      <c r="BS702" s="3038"/>
      <c r="BT702" s="3038"/>
      <c r="BU702" s="3038"/>
    </row>
    <row r="703" spans="3:73">
      <c r="C703" s="3038"/>
      <c r="D703" s="3038"/>
      <c r="E703" s="3038"/>
      <c r="H703" s="3038"/>
      <c r="I703" s="3038"/>
      <c r="J703" s="3038"/>
      <c r="K703" s="3038"/>
      <c r="M703" s="3038"/>
      <c r="N703" s="3038"/>
      <c r="O703" s="3038"/>
      <c r="P703" s="3038"/>
      <c r="Q703" s="3038"/>
      <c r="R703" s="3038"/>
      <c r="S703" s="3038"/>
      <c r="T703" s="3038"/>
      <c r="W703" s="3038"/>
      <c r="X703" s="3038"/>
      <c r="Y703" s="3038"/>
      <c r="Z703" s="3038"/>
      <c r="AA703" s="3113"/>
      <c r="AB703" s="3038"/>
      <c r="AC703" s="3038"/>
      <c r="AD703" s="3038"/>
      <c r="AE703" s="3132"/>
      <c r="AF703" s="3038"/>
      <c r="AG703" s="3038"/>
      <c r="AH703" s="3038"/>
      <c r="AK703" s="3038"/>
      <c r="AL703" s="3038"/>
      <c r="AM703" s="3038"/>
      <c r="AN703" s="3038"/>
      <c r="AO703" s="3038"/>
      <c r="AP703" s="3038"/>
      <c r="AQ703" s="3038"/>
      <c r="AR703" s="3038"/>
      <c r="AS703" s="3038"/>
      <c r="AT703" s="3038"/>
      <c r="AU703" s="3038"/>
      <c r="AV703" s="3038"/>
      <c r="AW703" s="3038"/>
      <c r="AX703" s="3038"/>
      <c r="AY703" s="3038"/>
      <c r="AZ703" s="3038"/>
      <c r="BA703" s="3038"/>
      <c r="BB703" s="3038"/>
      <c r="BC703" s="3038"/>
      <c r="BD703" s="3038"/>
      <c r="BE703" s="3038"/>
      <c r="BF703" s="3038"/>
      <c r="BG703" s="3038"/>
      <c r="BH703" s="3038"/>
      <c r="BI703" s="3038"/>
      <c r="BJ703" s="3038"/>
      <c r="BK703" s="3038"/>
      <c r="BL703" s="3038"/>
      <c r="BM703" s="3038"/>
      <c r="BN703" s="3038"/>
      <c r="BO703" s="3038"/>
      <c r="BP703" s="3038"/>
      <c r="BQ703" s="3038"/>
      <c r="BR703" s="3038"/>
      <c r="BS703" s="3038"/>
      <c r="BT703" s="3038"/>
      <c r="BU703" s="3038"/>
    </row>
    <row r="704" spans="3:73">
      <c r="C704" s="3038"/>
      <c r="D704" s="3038"/>
      <c r="E704" s="3038"/>
      <c r="H704" s="3038"/>
      <c r="I704" s="3038"/>
      <c r="J704" s="3038"/>
      <c r="K704" s="3038"/>
      <c r="M704" s="3038"/>
      <c r="N704" s="3038"/>
      <c r="O704" s="3038"/>
      <c r="P704" s="3038"/>
      <c r="Q704" s="3038"/>
      <c r="R704" s="3038"/>
      <c r="S704" s="3038"/>
      <c r="T704" s="3038"/>
      <c r="W704" s="3038"/>
      <c r="X704" s="3038"/>
      <c r="Y704" s="3038"/>
      <c r="Z704" s="3038"/>
      <c r="AA704" s="3113"/>
      <c r="AB704" s="3038"/>
      <c r="AC704" s="3038"/>
      <c r="AD704" s="3038"/>
      <c r="AE704" s="3132"/>
      <c r="AF704" s="3038"/>
      <c r="AG704" s="3038"/>
      <c r="AH704" s="3038"/>
      <c r="AK704" s="3038"/>
      <c r="AL704" s="3038"/>
      <c r="AM704" s="3038"/>
      <c r="AN704" s="3038"/>
      <c r="AO704" s="3038"/>
      <c r="AP704" s="3038"/>
      <c r="AQ704" s="3038"/>
      <c r="AR704" s="3038"/>
      <c r="AS704" s="3038"/>
      <c r="AT704" s="3038"/>
      <c r="AU704" s="3038"/>
      <c r="AV704" s="3038"/>
      <c r="AW704" s="3038"/>
      <c r="AX704" s="3038"/>
      <c r="AY704" s="3038"/>
      <c r="AZ704" s="3038"/>
      <c r="BA704" s="3038"/>
      <c r="BB704" s="3038"/>
      <c r="BC704" s="3038"/>
      <c r="BD704" s="3038"/>
      <c r="BE704" s="3038"/>
      <c r="BF704" s="3038"/>
      <c r="BG704" s="3038"/>
      <c r="BH704" s="3038"/>
      <c r="BI704" s="3038"/>
      <c r="BJ704" s="3038"/>
      <c r="BK704" s="3038"/>
      <c r="BL704" s="3038"/>
      <c r="BM704" s="3038"/>
      <c r="BN704" s="3038"/>
      <c r="BO704" s="3038"/>
      <c r="BP704" s="3038"/>
      <c r="BQ704" s="3038"/>
      <c r="BR704" s="3038"/>
      <c r="BS704" s="3038"/>
      <c r="BT704" s="3038"/>
      <c r="BU704" s="3038"/>
    </row>
    <row r="705" spans="3:73">
      <c r="C705" s="3038"/>
      <c r="D705" s="3038"/>
      <c r="E705" s="3038"/>
      <c r="H705" s="3038"/>
      <c r="I705" s="3038"/>
      <c r="J705" s="3038"/>
      <c r="K705" s="3038"/>
      <c r="M705" s="3038"/>
      <c r="N705" s="3038"/>
      <c r="O705" s="3038"/>
      <c r="P705" s="3038"/>
      <c r="Q705" s="3038"/>
      <c r="R705" s="3038"/>
      <c r="S705" s="3038"/>
      <c r="T705" s="3038"/>
      <c r="W705" s="3038"/>
      <c r="X705" s="3038"/>
      <c r="Y705" s="3038"/>
      <c r="Z705" s="3038"/>
      <c r="AA705" s="3113"/>
      <c r="AB705" s="3038"/>
      <c r="AC705" s="3038"/>
      <c r="AD705" s="3038"/>
      <c r="AE705" s="3132"/>
      <c r="AF705" s="3038"/>
      <c r="AG705" s="3038"/>
      <c r="AH705" s="3038"/>
      <c r="AK705" s="3038"/>
      <c r="AL705" s="3038"/>
      <c r="AM705" s="3038"/>
      <c r="AN705" s="3038"/>
      <c r="AO705" s="3038"/>
      <c r="AP705" s="3038"/>
      <c r="AQ705" s="3038"/>
      <c r="AR705" s="3038"/>
      <c r="AS705" s="3038"/>
      <c r="AT705" s="3038"/>
      <c r="AU705" s="3038"/>
      <c r="AV705" s="3038"/>
      <c r="AW705" s="3038"/>
      <c r="AX705" s="3038"/>
      <c r="AY705" s="3038"/>
      <c r="AZ705" s="3038"/>
      <c r="BA705" s="3038"/>
      <c r="BB705" s="3038"/>
      <c r="BC705" s="3038"/>
      <c r="BD705" s="3038"/>
      <c r="BE705" s="3038"/>
      <c r="BF705" s="3038"/>
      <c r="BG705" s="3038"/>
      <c r="BH705" s="3038"/>
      <c r="BI705" s="3038"/>
      <c r="BJ705" s="3038"/>
      <c r="BK705" s="3038"/>
      <c r="BL705" s="3038"/>
      <c r="BM705" s="3038"/>
      <c r="BN705" s="3038"/>
      <c r="BO705" s="3038"/>
      <c r="BP705" s="3038"/>
      <c r="BQ705" s="3038"/>
      <c r="BR705" s="3038"/>
      <c r="BS705" s="3038"/>
      <c r="BT705" s="3038"/>
      <c r="BU705" s="3038"/>
    </row>
    <row r="706" spans="3:73">
      <c r="C706" s="3038"/>
      <c r="D706" s="3038"/>
      <c r="E706" s="3038"/>
      <c r="H706" s="3038"/>
      <c r="I706" s="3038"/>
      <c r="J706" s="3038"/>
      <c r="K706" s="3038"/>
      <c r="M706" s="3038"/>
      <c r="N706" s="3038"/>
      <c r="O706" s="3038"/>
      <c r="P706" s="3038"/>
      <c r="Q706" s="3038"/>
      <c r="R706" s="3038"/>
      <c r="S706" s="3038"/>
      <c r="T706" s="3038"/>
      <c r="W706" s="3038"/>
      <c r="X706" s="3038"/>
      <c r="Y706" s="3038"/>
      <c r="Z706" s="3038"/>
      <c r="AA706" s="3113"/>
      <c r="AB706" s="3038"/>
      <c r="AC706" s="3038"/>
      <c r="AD706" s="3038"/>
      <c r="AE706" s="3132"/>
      <c r="AF706" s="3038"/>
      <c r="AG706" s="3038"/>
      <c r="AH706" s="3038"/>
      <c r="AK706" s="3038"/>
      <c r="AL706" s="3038"/>
      <c r="AM706" s="3038"/>
      <c r="AN706" s="3038"/>
      <c r="AO706" s="3038"/>
      <c r="AP706" s="3038"/>
      <c r="AQ706" s="3038"/>
      <c r="AR706" s="3038"/>
      <c r="AS706" s="3038"/>
      <c r="AT706" s="3038"/>
      <c r="AU706" s="3038"/>
      <c r="AV706" s="3038"/>
      <c r="AW706" s="3038"/>
      <c r="AX706" s="3038"/>
      <c r="AY706" s="3038"/>
      <c r="AZ706" s="3038"/>
      <c r="BA706" s="3038"/>
      <c r="BB706" s="3038"/>
      <c r="BC706" s="3038"/>
      <c r="BD706" s="3038"/>
      <c r="BE706" s="3038"/>
      <c r="BF706" s="3038"/>
      <c r="BG706" s="3038"/>
      <c r="BH706" s="3038"/>
      <c r="BI706" s="3038"/>
      <c r="BJ706" s="3038"/>
      <c r="BK706" s="3038"/>
      <c r="BL706" s="3038"/>
      <c r="BM706" s="3038"/>
      <c r="BN706" s="3038"/>
      <c r="BO706" s="3038"/>
      <c r="BP706" s="3038"/>
      <c r="BQ706" s="3038"/>
      <c r="BR706" s="3038"/>
      <c r="BS706" s="3038"/>
      <c r="BT706" s="3038"/>
      <c r="BU706" s="3038"/>
    </row>
    <row r="707" spans="3:73">
      <c r="C707" s="3038"/>
      <c r="D707" s="3038"/>
      <c r="E707" s="3038"/>
      <c r="H707" s="3038"/>
      <c r="I707" s="3038"/>
      <c r="J707" s="3038"/>
      <c r="K707" s="3038"/>
      <c r="M707" s="3038"/>
      <c r="N707" s="3038"/>
      <c r="O707" s="3038"/>
      <c r="P707" s="3038"/>
      <c r="Q707" s="3038"/>
      <c r="R707" s="3038"/>
      <c r="S707" s="3038"/>
      <c r="T707" s="3038"/>
      <c r="W707" s="3038"/>
      <c r="X707" s="3038"/>
      <c r="Y707" s="3038"/>
      <c r="Z707" s="3038"/>
      <c r="AA707" s="3113"/>
      <c r="AB707" s="3038"/>
      <c r="AC707" s="3038"/>
      <c r="AD707" s="3038"/>
      <c r="AE707" s="3132"/>
      <c r="AF707" s="3038"/>
      <c r="AG707" s="3038"/>
      <c r="AH707" s="3038"/>
      <c r="AK707" s="3038"/>
      <c r="AL707" s="3038"/>
      <c r="AM707" s="3038"/>
      <c r="AN707" s="3038"/>
      <c r="AO707" s="3038"/>
      <c r="AP707" s="3038"/>
      <c r="AQ707" s="3038"/>
      <c r="AR707" s="3038"/>
      <c r="AS707" s="3038"/>
      <c r="AT707" s="3038"/>
      <c r="AU707" s="3038"/>
      <c r="AV707" s="3038"/>
      <c r="AW707" s="3038"/>
      <c r="AX707" s="3038"/>
      <c r="AY707" s="3038"/>
      <c r="AZ707" s="3038"/>
      <c r="BA707" s="3038"/>
      <c r="BB707" s="3038"/>
      <c r="BC707" s="3038"/>
      <c r="BD707" s="3038"/>
      <c r="BE707" s="3038"/>
      <c r="BF707" s="3038"/>
      <c r="BG707" s="3038"/>
      <c r="BH707" s="3038"/>
      <c r="BI707" s="3038"/>
      <c r="BJ707" s="3038"/>
      <c r="BK707" s="3038"/>
      <c r="BL707" s="3038"/>
      <c r="BM707" s="3038"/>
      <c r="BN707" s="3038"/>
      <c r="BO707" s="3038"/>
      <c r="BP707" s="3038"/>
      <c r="BQ707" s="3038"/>
      <c r="BR707" s="3038"/>
      <c r="BS707" s="3038"/>
      <c r="BT707" s="3038"/>
      <c r="BU707" s="3038"/>
    </row>
    <row r="708" spans="3:73">
      <c r="C708" s="3038"/>
      <c r="D708" s="3038"/>
      <c r="E708" s="3038"/>
      <c r="H708" s="3038"/>
      <c r="I708" s="3038"/>
      <c r="J708" s="3038"/>
      <c r="K708" s="3038"/>
      <c r="M708" s="3038"/>
      <c r="N708" s="3038"/>
      <c r="O708" s="3038"/>
      <c r="P708" s="3038"/>
      <c r="Q708" s="3038"/>
      <c r="R708" s="3038"/>
      <c r="S708" s="3038"/>
      <c r="T708" s="3038"/>
      <c r="W708" s="3038"/>
      <c r="X708" s="3038"/>
      <c r="Y708" s="3038"/>
      <c r="Z708" s="3038"/>
      <c r="AA708" s="3113"/>
      <c r="AB708" s="3038"/>
      <c r="AC708" s="3038"/>
      <c r="AD708" s="3038"/>
      <c r="AE708" s="3132"/>
      <c r="AF708" s="3038"/>
      <c r="AG708" s="3038"/>
      <c r="AH708" s="3038"/>
      <c r="AK708" s="3038"/>
      <c r="AL708" s="3038"/>
      <c r="AM708" s="3038"/>
      <c r="AN708" s="3038"/>
      <c r="AO708" s="3038"/>
      <c r="AP708" s="3038"/>
      <c r="AQ708" s="3038"/>
      <c r="AR708" s="3038"/>
      <c r="AS708" s="3038"/>
      <c r="AT708" s="3038"/>
      <c r="AU708" s="3038"/>
      <c r="AV708" s="3038"/>
      <c r="AW708" s="3038"/>
      <c r="AX708" s="3038"/>
      <c r="AY708" s="3038"/>
      <c r="AZ708" s="3038"/>
      <c r="BA708" s="3038"/>
      <c r="BB708" s="3038"/>
      <c r="BC708" s="3038"/>
      <c r="BD708" s="3038"/>
      <c r="BE708" s="3038"/>
      <c r="BF708" s="3038"/>
      <c r="BG708" s="3038"/>
      <c r="BH708" s="3038"/>
      <c r="BI708" s="3038"/>
      <c r="BJ708" s="3038"/>
      <c r="BK708" s="3038"/>
      <c r="BL708" s="3038"/>
      <c r="BM708" s="3038"/>
      <c r="BN708" s="3038"/>
      <c r="BO708" s="3038"/>
      <c r="BP708" s="3038"/>
      <c r="BQ708" s="3038"/>
      <c r="BR708" s="3038"/>
      <c r="BS708" s="3038"/>
      <c r="BT708" s="3038"/>
      <c r="BU708" s="3038"/>
    </row>
    <row r="709" spans="3:73">
      <c r="C709" s="3038"/>
      <c r="D709" s="3038"/>
      <c r="E709" s="3038"/>
      <c r="H709" s="3038"/>
      <c r="I709" s="3038"/>
      <c r="J709" s="3038"/>
      <c r="K709" s="3038"/>
      <c r="M709" s="3038"/>
      <c r="N709" s="3038"/>
      <c r="O709" s="3038"/>
      <c r="P709" s="3038"/>
      <c r="Q709" s="3038"/>
      <c r="R709" s="3038"/>
      <c r="S709" s="3038"/>
      <c r="T709" s="3038"/>
      <c r="W709" s="3038"/>
      <c r="X709" s="3038"/>
      <c r="Y709" s="3038"/>
      <c r="Z709" s="3038"/>
      <c r="AA709" s="3113"/>
      <c r="AB709" s="3038"/>
      <c r="AC709" s="3038"/>
      <c r="AD709" s="3038"/>
      <c r="AE709" s="3132"/>
      <c r="AF709" s="3038"/>
      <c r="AG709" s="3038"/>
      <c r="AH709" s="3038"/>
      <c r="AK709" s="3038"/>
      <c r="AL709" s="3038"/>
      <c r="AM709" s="3038"/>
      <c r="AN709" s="3038"/>
      <c r="AO709" s="3038"/>
      <c r="AP709" s="3038"/>
      <c r="AQ709" s="3038"/>
      <c r="AR709" s="3038"/>
      <c r="AS709" s="3038"/>
      <c r="AT709" s="3038"/>
      <c r="AU709" s="3038"/>
      <c r="AV709" s="3038"/>
      <c r="AW709" s="3038"/>
      <c r="AX709" s="3038"/>
      <c r="AY709" s="3038"/>
      <c r="AZ709" s="3038"/>
      <c r="BA709" s="3038"/>
      <c r="BB709" s="3038"/>
      <c r="BC709" s="3038"/>
      <c r="BD709" s="3038"/>
      <c r="BE709" s="3038"/>
      <c r="BF709" s="3038"/>
      <c r="BG709" s="3038"/>
      <c r="BH709" s="3038"/>
      <c r="BI709" s="3038"/>
      <c r="BJ709" s="3038"/>
      <c r="BK709" s="3038"/>
      <c r="BL709" s="3038"/>
      <c r="BM709" s="3038"/>
      <c r="BN709" s="3038"/>
      <c r="BO709" s="3038"/>
      <c r="BP709" s="3038"/>
      <c r="BQ709" s="3038"/>
      <c r="BR709" s="3038"/>
      <c r="BS709" s="3038"/>
      <c r="BT709" s="3038"/>
      <c r="BU709" s="3038"/>
    </row>
    <row r="710" spans="3:73">
      <c r="C710" s="3038"/>
      <c r="D710" s="3038"/>
      <c r="E710" s="3038"/>
      <c r="H710" s="3038"/>
      <c r="I710" s="3038"/>
      <c r="J710" s="3038"/>
      <c r="K710" s="3038"/>
      <c r="M710" s="3038"/>
      <c r="N710" s="3038"/>
      <c r="O710" s="3038"/>
      <c r="P710" s="3038"/>
      <c r="Q710" s="3038"/>
      <c r="R710" s="3038"/>
      <c r="S710" s="3038"/>
      <c r="T710" s="3038"/>
      <c r="W710" s="3038"/>
      <c r="X710" s="3038"/>
      <c r="Y710" s="3038"/>
      <c r="Z710" s="3038"/>
      <c r="AA710" s="3113"/>
      <c r="AB710" s="3038"/>
      <c r="AC710" s="3038"/>
      <c r="AD710" s="3038"/>
      <c r="AE710" s="3132"/>
      <c r="AF710" s="3038"/>
      <c r="AG710" s="3038"/>
      <c r="AH710" s="3038"/>
      <c r="AK710" s="3038"/>
      <c r="AL710" s="3038"/>
      <c r="AM710" s="3038"/>
      <c r="AN710" s="3038"/>
      <c r="AO710" s="3038"/>
      <c r="AP710" s="3038"/>
      <c r="AQ710" s="3038"/>
      <c r="AR710" s="3038"/>
      <c r="AS710" s="3038"/>
      <c r="AT710" s="3038"/>
      <c r="AU710" s="3038"/>
      <c r="AV710" s="3038"/>
      <c r="AW710" s="3038"/>
      <c r="AX710" s="3038"/>
      <c r="AY710" s="3038"/>
      <c r="AZ710" s="3038"/>
      <c r="BA710" s="3038"/>
      <c r="BB710" s="3038"/>
      <c r="BC710" s="3038"/>
      <c r="BD710" s="3038"/>
      <c r="BE710" s="3038"/>
      <c r="BF710" s="3038"/>
      <c r="BG710" s="3038"/>
      <c r="BH710" s="3038"/>
      <c r="BI710" s="3038"/>
      <c r="BJ710" s="3038"/>
      <c r="BK710" s="3038"/>
      <c r="BL710" s="3038"/>
      <c r="BM710" s="3038"/>
      <c r="BN710" s="3038"/>
      <c r="BO710" s="3038"/>
      <c r="BP710" s="3038"/>
      <c r="BQ710" s="3038"/>
      <c r="BR710" s="3038"/>
      <c r="BS710" s="3038"/>
      <c r="BT710" s="3038"/>
      <c r="BU710" s="3038"/>
    </row>
    <row r="711" spans="3:73">
      <c r="C711" s="3038"/>
      <c r="D711" s="3038"/>
      <c r="E711" s="3038"/>
      <c r="H711" s="3038"/>
      <c r="I711" s="3038"/>
      <c r="J711" s="3038"/>
      <c r="K711" s="3038"/>
      <c r="M711" s="3038"/>
      <c r="N711" s="3038"/>
      <c r="O711" s="3038"/>
      <c r="P711" s="3038"/>
      <c r="Q711" s="3038"/>
      <c r="R711" s="3038"/>
      <c r="S711" s="3038"/>
      <c r="T711" s="3038"/>
      <c r="W711" s="3038"/>
      <c r="X711" s="3038"/>
      <c r="Y711" s="3038"/>
      <c r="Z711" s="3038"/>
      <c r="AA711" s="3113"/>
      <c r="AB711" s="3038"/>
      <c r="AC711" s="3038"/>
      <c r="AD711" s="3038"/>
      <c r="AE711" s="3132"/>
      <c r="AF711" s="3038"/>
      <c r="AG711" s="3038"/>
      <c r="AH711" s="3038"/>
      <c r="AK711" s="3038"/>
      <c r="AL711" s="3038"/>
      <c r="AM711" s="3038"/>
      <c r="AN711" s="3038"/>
      <c r="AO711" s="3038"/>
      <c r="AP711" s="3038"/>
      <c r="AQ711" s="3038"/>
      <c r="AR711" s="3038"/>
      <c r="AS711" s="3038"/>
      <c r="AT711" s="3038"/>
      <c r="AU711" s="3038"/>
      <c r="AV711" s="3038"/>
      <c r="AW711" s="3038"/>
      <c r="AX711" s="3038"/>
      <c r="AY711" s="3038"/>
      <c r="AZ711" s="3038"/>
      <c r="BA711" s="3038"/>
      <c r="BB711" s="3038"/>
      <c r="BC711" s="3038"/>
      <c r="BD711" s="3038"/>
      <c r="BE711" s="3038"/>
      <c r="BF711" s="3038"/>
      <c r="BG711" s="3038"/>
      <c r="BH711" s="3038"/>
      <c r="BI711" s="3038"/>
      <c r="BJ711" s="3038"/>
      <c r="BK711" s="3038"/>
      <c r="BL711" s="3038"/>
      <c r="BM711" s="3038"/>
      <c r="BN711" s="3038"/>
      <c r="BO711" s="3038"/>
      <c r="BP711" s="3038"/>
      <c r="BQ711" s="3038"/>
      <c r="BR711" s="3038"/>
      <c r="BS711" s="3038"/>
      <c r="BT711" s="3038"/>
      <c r="BU711" s="3038"/>
    </row>
    <row r="712" spans="3:73">
      <c r="C712" s="3038"/>
      <c r="D712" s="3038"/>
      <c r="E712" s="3038"/>
      <c r="H712" s="3038"/>
      <c r="I712" s="3038"/>
      <c r="J712" s="3038"/>
      <c r="K712" s="3038"/>
      <c r="M712" s="3038"/>
      <c r="N712" s="3038"/>
      <c r="O712" s="3038"/>
      <c r="P712" s="3038"/>
      <c r="Q712" s="3038"/>
      <c r="R712" s="3038"/>
      <c r="S712" s="3038"/>
      <c r="T712" s="3038"/>
      <c r="W712" s="3038"/>
      <c r="X712" s="3038"/>
      <c r="Y712" s="3038"/>
      <c r="Z712" s="3038"/>
      <c r="AA712" s="3113"/>
      <c r="AB712" s="3038"/>
      <c r="AC712" s="3038"/>
      <c r="AD712" s="3038"/>
      <c r="AE712" s="3132"/>
      <c r="AF712" s="3038"/>
      <c r="AG712" s="3038"/>
      <c r="AH712" s="3038"/>
      <c r="AK712" s="3038"/>
      <c r="AL712" s="3038"/>
      <c r="AM712" s="3038"/>
      <c r="AN712" s="3038"/>
      <c r="AO712" s="3038"/>
      <c r="AP712" s="3038"/>
      <c r="AQ712" s="3038"/>
      <c r="AR712" s="3038"/>
      <c r="AS712" s="3038"/>
      <c r="AT712" s="3038"/>
      <c r="AU712" s="3038"/>
      <c r="AV712" s="3038"/>
      <c r="AW712" s="3038"/>
      <c r="AX712" s="3038"/>
      <c r="AY712" s="3038"/>
      <c r="AZ712" s="3038"/>
      <c r="BA712" s="3038"/>
      <c r="BB712" s="3038"/>
      <c r="BC712" s="3038"/>
      <c r="BD712" s="3038"/>
      <c r="BE712" s="3038"/>
      <c r="BF712" s="3038"/>
      <c r="BG712" s="3038"/>
      <c r="BH712" s="3038"/>
      <c r="BI712" s="3038"/>
      <c r="BJ712" s="3038"/>
      <c r="BK712" s="3038"/>
      <c r="BL712" s="3038"/>
      <c r="BM712" s="3038"/>
      <c r="BN712" s="3038"/>
      <c r="BO712" s="3038"/>
      <c r="BP712" s="3038"/>
      <c r="BQ712" s="3038"/>
      <c r="BR712" s="3038"/>
      <c r="BS712" s="3038"/>
      <c r="BT712" s="3038"/>
      <c r="BU712" s="3038"/>
    </row>
    <row r="713" spans="3:73">
      <c r="C713" s="3038"/>
      <c r="D713" s="3038"/>
      <c r="E713" s="3038"/>
      <c r="H713" s="3038"/>
      <c r="I713" s="3038"/>
      <c r="J713" s="3038"/>
      <c r="K713" s="3038"/>
      <c r="M713" s="3038"/>
      <c r="N713" s="3038"/>
      <c r="O713" s="3038"/>
      <c r="P713" s="3038"/>
      <c r="Q713" s="3038"/>
      <c r="R713" s="3038"/>
      <c r="S713" s="3038"/>
      <c r="T713" s="3038"/>
      <c r="W713" s="3038"/>
      <c r="X713" s="3038"/>
      <c r="Y713" s="3038"/>
      <c r="Z713" s="3038"/>
      <c r="AA713" s="3113"/>
      <c r="AB713" s="3038"/>
      <c r="AC713" s="3038"/>
      <c r="AD713" s="3038"/>
      <c r="AE713" s="3132"/>
      <c r="AF713" s="3038"/>
      <c r="AG713" s="3038"/>
      <c r="AH713" s="3038"/>
      <c r="AK713" s="3038"/>
      <c r="AL713" s="3038"/>
      <c r="AM713" s="3038"/>
      <c r="AN713" s="3038"/>
      <c r="AO713" s="3038"/>
      <c r="AP713" s="3038"/>
      <c r="AQ713" s="3038"/>
      <c r="AR713" s="3038"/>
      <c r="AS713" s="3038"/>
      <c r="AT713" s="3038"/>
      <c r="AU713" s="3038"/>
      <c r="AV713" s="3038"/>
      <c r="AW713" s="3038"/>
      <c r="AX713" s="3038"/>
      <c r="AY713" s="3038"/>
      <c r="AZ713" s="3038"/>
      <c r="BA713" s="3038"/>
      <c r="BB713" s="3038"/>
      <c r="BC713" s="3038"/>
      <c r="BD713" s="3038"/>
      <c r="BE713" s="3038"/>
      <c r="BF713" s="3038"/>
      <c r="BG713" s="3038"/>
      <c r="BH713" s="3038"/>
      <c r="BI713" s="3038"/>
      <c r="BJ713" s="3038"/>
      <c r="BK713" s="3038"/>
      <c r="BL713" s="3038"/>
      <c r="BM713" s="3038"/>
      <c r="BN713" s="3038"/>
      <c r="BO713" s="3038"/>
      <c r="BP713" s="3038"/>
      <c r="BQ713" s="3038"/>
      <c r="BR713" s="3038"/>
      <c r="BS713" s="3038"/>
      <c r="BT713" s="3038"/>
      <c r="BU713" s="3038"/>
    </row>
    <row r="714" spans="3:73">
      <c r="C714" s="3038"/>
      <c r="D714" s="3038"/>
      <c r="E714" s="3038"/>
      <c r="H714" s="3038"/>
      <c r="I714" s="3038"/>
      <c r="J714" s="3038"/>
      <c r="K714" s="3038"/>
      <c r="M714" s="3038"/>
      <c r="N714" s="3038"/>
      <c r="O714" s="3038"/>
      <c r="P714" s="3038"/>
      <c r="Q714" s="3038"/>
      <c r="R714" s="3038"/>
      <c r="S714" s="3038"/>
      <c r="T714" s="3038"/>
      <c r="W714" s="3038"/>
      <c r="X714" s="3038"/>
      <c r="Y714" s="3038"/>
      <c r="Z714" s="3038"/>
      <c r="AA714" s="3113"/>
      <c r="AB714" s="3038"/>
      <c r="AC714" s="3038"/>
      <c r="AD714" s="3038"/>
      <c r="AE714" s="3132"/>
      <c r="AF714" s="3038"/>
      <c r="AG714" s="3038"/>
      <c r="AH714" s="3038"/>
      <c r="AK714" s="3038"/>
      <c r="AL714" s="3038"/>
      <c r="AM714" s="3038"/>
      <c r="AN714" s="3038"/>
      <c r="AO714" s="3038"/>
      <c r="AP714" s="3038"/>
      <c r="AQ714" s="3038"/>
      <c r="AR714" s="3038"/>
      <c r="AS714" s="3038"/>
      <c r="AT714" s="3038"/>
      <c r="AU714" s="3038"/>
      <c r="AV714" s="3038"/>
      <c r="AW714" s="3038"/>
      <c r="AX714" s="3038"/>
      <c r="AY714" s="3038"/>
      <c r="AZ714" s="3038"/>
      <c r="BA714" s="3038"/>
      <c r="BB714" s="3038"/>
      <c r="BC714" s="3038"/>
      <c r="BD714" s="3038"/>
      <c r="BE714" s="3038"/>
      <c r="BF714" s="3038"/>
      <c r="BG714" s="3038"/>
      <c r="BH714" s="3038"/>
      <c r="BI714" s="3038"/>
      <c r="BJ714" s="3038"/>
      <c r="BK714" s="3038"/>
      <c r="BL714" s="3038"/>
      <c r="BM714" s="3038"/>
      <c r="BN714" s="3038"/>
      <c r="BO714" s="3038"/>
      <c r="BP714" s="3038"/>
      <c r="BQ714" s="3038"/>
      <c r="BR714" s="3038"/>
      <c r="BS714" s="3038"/>
      <c r="BT714" s="3038"/>
      <c r="BU714" s="3038"/>
    </row>
    <row r="715" spans="3:73">
      <c r="C715" s="3038"/>
      <c r="D715" s="3038"/>
      <c r="E715" s="3038"/>
      <c r="H715" s="3038"/>
      <c r="I715" s="3038"/>
      <c r="J715" s="3038"/>
      <c r="K715" s="3038"/>
      <c r="M715" s="3038"/>
      <c r="N715" s="3038"/>
      <c r="O715" s="3038"/>
      <c r="P715" s="3038"/>
      <c r="Q715" s="3038"/>
      <c r="R715" s="3038"/>
      <c r="S715" s="3038"/>
      <c r="T715" s="3038"/>
      <c r="W715" s="3038"/>
      <c r="X715" s="3038"/>
      <c r="Y715" s="3038"/>
      <c r="Z715" s="3038"/>
      <c r="AA715" s="3113"/>
      <c r="AB715" s="3038"/>
      <c r="AC715" s="3038"/>
      <c r="AD715" s="3038"/>
      <c r="AE715" s="3132"/>
      <c r="AF715" s="3038"/>
      <c r="AG715" s="3038"/>
      <c r="AH715" s="3038"/>
      <c r="AK715" s="3038"/>
      <c r="AL715" s="3038"/>
      <c r="AM715" s="3038"/>
      <c r="AN715" s="3038"/>
      <c r="AO715" s="3038"/>
      <c r="AP715" s="3038"/>
      <c r="AQ715" s="3038"/>
      <c r="AR715" s="3038"/>
      <c r="AS715" s="3038"/>
      <c r="AT715" s="3038"/>
      <c r="AU715" s="3038"/>
      <c r="AV715" s="3038"/>
      <c r="AW715" s="3038"/>
      <c r="AX715" s="3038"/>
      <c r="AY715" s="3038"/>
      <c r="AZ715" s="3038"/>
      <c r="BA715" s="3038"/>
      <c r="BB715" s="3038"/>
      <c r="BC715" s="3038"/>
      <c r="BD715" s="3038"/>
      <c r="BE715" s="3038"/>
      <c r="BF715" s="3038"/>
      <c r="BG715" s="3038"/>
      <c r="BH715" s="3038"/>
      <c r="BI715" s="3038"/>
      <c r="BJ715" s="3038"/>
      <c r="BK715" s="3038"/>
      <c r="BL715" s="3038"/>
      <c r="BM715" s="3038"/>
      <c r="BN715" s="3038"/>
      <c r="BO715" s="3038"/>
      <c r="BP715" s="3038"/>
      <c r="BQ715" s="3038"/>
      <c r="BR715" s="3038"/>
      <c r="BS715" s="3038"/>
      <c r="BT715" s="3038"/>
      <c r="BU715" s="3038"/>
    </row>
    <row r="716" spans="3:73">
      <c r="C716" s="3038"/>
      <c r="D716" s="3038"/>
      <c r="E716" s="3038"/>
      <c r="H716" s="3038"/>
      <c r="I716" s="3038"/>
      <c r="J716" s="3038"/>
      <c r="K716" s="3038"/>
      <c r="M716" s="3038"/>
      <c r="N716" s="3038"/>
      <c r="O716" s="3038"/>
      <c r="P716" s="3038"/>
      <c r="Q716" s="3038"/>
      <c r="R716" s="3038"/>
      <c r="S716" s="3038"/>
      <c r="T716" s="3038"/>
      <c r="W716" s="3038"/>
      <c r="X716" s="3038"/>
      <c r="Y716" s="3038"/>
      <c r="Z716" s="3038"/>
      <c r="AA716" s="3113"/>
      <c r="AB716" s="3038"/>
      <c r="AC716" s="3038"/>
      <c r="AD716" s="3038"/>
      <c r="AE716" s="3132"/>
      <c r="AF716" s="3038"/>
      <c r="AG716" s="3038"/>
      <c r="AH716" s="3038"/>
      <c r="AK716" s="3038"/>
      <c r="AL716" s="3038"/>
      <c r="AM716" s="3038"/>
      <c r="AN716" s="3038"/>
      <c r="AO716" s="3038"/>
      <c r="AP716" s="3038"/>
      <c r="AQ716" s="3038"/>
      <c r="AR716" s="3038"/>
      <c r="AS716" s="3038"/>
      <c r="AT716" s="3038"/>
      <c r="AU716" s="3038"/>
      <c r="AV716" s="3038"/>
      <c r="AW716" s="3038"/>
      <c r="AX716" s="3038"/>
      <c r="AY716" s="3038"/>
      <c r="AZ716" s="3038"/>
      <c r="BA716" s="3038"/>
      <c r="BB716" s="3038"/>
      <c r="BC716" s="3038"/>
      <c r="BD716" s="3038"/>
      <c r="BE716" s="3038"/>
      <c r="BF716" s="3038"/>
      <c r="BG716" s="3038"/>
      <c r="BH716" s="3038"/>
      <c r="BI716" s="3038"/>
      <c r="BJ716" s="3038"/>
      <c r="BK716" s="3038"/>
      <c r="BL716" s="3038"/>
      <c r="BM716" s="3038"/>
      <c r="BN716" s="3038"/>
      <c r="BO716" s="3038"/>
      <c r="BP716" s="3038"/>
      <c r="BQ716" s="3038"/>
      <c r="BR716" s="3038"/>
      <c r="BS716" s="3038"/>
      <c r="BT716" s="3038"/>
      <c r="BU716" s="3038"/>
    </row>
    <row r="717" spans="3:73">
      <c r="C717" s="3038"/>
      <c r="D717" s="3038"/>
      <c r="E717" s="3038"/>
      <c r="H717" s="3038"/>
      <c r="I717" s="3038"/>
      <c r="J717" s="3038"/>
      <c r="K717" s="3038"/>
      <c r="M717" s="3038"/>
      <c r="N717" s="3038"/>
      <c r="O717" s="3038"/>
      <c r="P717" s="3038"/>
      <c r="Q717" s="3038"/>
      <c r="R717" s="3038"/>
      <c r="S717" s="3038"/>
      <c r="T717" s="3038"/>
      <c r="W717" s="3038"/>
      <c r="X717" s="3038"/>
      <c r="Y717" s="3038"/>
      <c r="Z717" s="3038"/>
      <c r="AA717" s="3113"/>
      <c r="AB717" s="3038"/>
      <c r="AC717" s="3038"/>
      <c r="AD717" s="3038"/>
      <c r="AE717" s="3132"/>
      <c r="AF717" s="3038"/>
      <c r="AG717" s="3038"/>
      <c r="AH717" s="3038"/>
      <c r="AK717" s="3038"/>
      <c r="AL717" s="3038"/>
      <c r="AM717" s="3038"/>
      <c r="AN717" s="3038"/>
      <c r="AO717" s="3038"/>
      <c r="AP717" s="3038"/>
      <c r="AQ717" s="3038"/>
      <c r="AR717" s="3038"/>
      <c r="AS717" s="3038"/>
      <c r="AT717" s="3038"/>
      <c r="AU717" s="3038"/>
      <c r="AV717" s="3038"/>
      <c r="AW717" s="3038"/>
      <c r="AX717" s="3038"/>
      <c r="AY717" s="3038"/>
      <c r="AZ717" s="3038"/>
      <c r="BA717" s="3038"/>
      <c r="BB717" s="3038"/>
      <c r="BC717" s="3038"/>
      <c r="BD717" s="3038"/>
      <c r="BE717" s="3038"/>
      <c r="BF717" s="3038"/>
      <c r="BG717" s="3038"/>
      <c r="BH717" s="3038"/>
      <c r="BI717" s="3038"/>
      <c r="BJ717" s="3038"/>
      <c r="BK717" s="3038"/>
      <c r="BL717" s="3038"/>
      <c r="BM717" s="3038"/>
      <c r="BN717" s="3038"/>
      <c r="BO717" s="3038"/>
      <c r="BP717" s="3038"/>
      <c r="BQ717" s="3038"/>
      <c r="BR717" s="3038"/>
      <c r="BS717" s="3038"/>
      <c r="BT717" s="3038"/>
      <c r="BU717" s="3038"/>
    </row>
    <row r="718" spans="3:73">
      <c r="C718" s="3038"/>
      <c r="D718" s="3038"/>
      <c r="E718" s="3038"/>
      <c r="H718" s="3038"/>
      <c r="I718" s="3038"/>
      <c r="J718" s="3038"/>
      <c r="K718" s="3038"/>
      <c r="M718" s="3038"/>
      <c r="N718" s="3038"/>
      <c r="O718" s="3038"/>
      <c r="P718" s="3038"/>
      <c r="Q718" s="3038"/>
      <c r="R718" s="3038"/>
      <c r="S718" s="3038"/>
      <c r="T718" s="3038"/>
      <c r="W718" s="3038"/>
      <c r="X718" s="3038"/>
      <c r="Y718" s="3038"/>
      <c r="Z718" s="3038"/>
      <c r="AA718" s="3113"/>
      <c r="AB718" s="3038"/>
      <c r="AC718" s="3038"/>
      <c r="AD718" s="3038"/>
      <c r="AE718" s="3132"/>
      <c r="AF718" s="3038"/>
      <c r="AG718" s="3038"/>
      <c r="AH718" s="3038"/>
      <c r="AK718" s="3038"/>
      <c r="AL718" s="3038"/>
      <c r="AM718" s="3038"/>
      <c r="AN718" s="3038"/>
      <c r="AO718" s="3038"/>
      <c r="AP718" s="3038"/>
      <c r="AQ718" s="3038"/>
      <c r="AR718" s="3038"/>
      <c r="AS718" s="3038"/>
      <c r="AT718" s="3038"/>
      <c r="AU718" s="3038"/>
      <c r="AV718" s="3038"/>
      <c r="AW718" s="3038"/>
      <c r="AX718" s="3038"/>
      <c r="AY718" s="3038"/>
      <c r="AZ718" s="3038"/>
      <c r="BA718" s="3038"/>
      <c r="BB718" s="3038"/>
      <c r="BC718" s="3038"/>
      <c r="BD718" s="3038"/>
      <c r="BE718" s="3038"/>
      <c r="BF718" s="3038"/>
      <c r="BG718" s="3038"/>
      <c r="BH718" s="3038"/>
      <c r="BI718" s="3038"/>
      <c r="BJ718" s="3038"/>
      <c r="BK718" s="3038"/>
      <c r="BL718" s="3038"/>
      <c r="BM718" s="3038"/>
      <c r="BN718" s="3038"/>
      <c r="BO718" s="3038"/>
      <c r="BP718" s="3038"/>
      <c r="BQ718" s="3038"/>
      <c r="BR718" s="3038"/>
      <c r="BS718" s="3038"/>
      <c r="BT718" s="3038"/>
      <c r="BU718" s="3038"/>
    </row>
    <row r="719" spans="3:73">
      <c r="C719" s="3038"/>
      <c r="D719" s="3038"/>
      <c r="E719" s="3038"/>
      <c r="H719" s="3038"/>
      <c r="I719" s="3038"/>
      <c r="J719" s="3038"/>
      <c r="K719" s="3038"/>
      <c r="M719" s="3038"/>
      <c r="N719" s="3038"/>
      <c r="O719" s="3038"/>
      <c r="P719" s="3038"/>
      <c r="Q719" s="3038"/>
      <c r="R719" s="3038"/>
      <c r="S719" s="3038"/>
      <c r="T719" s="3038"/>
      <c r="W719" s="3038"/>
      <c r="X719" s="3038"/>
      <c r="Y719" s="3038"/>
      <c r="Z719" s="3038"/>
      <c r="AA719" s="3113"/>
      <c r="AB719" s="3038"/>
      <c r="AC719" s="3038"/>
      <c r="AD719" s="3038"/>
      <c r="AE719" s="3132"/>
      <c r="AF719" s="3038"/>
      <c r="AG719" s="3038"/>
      <c r="AH719" s="3038"/>
      <c r="AK719" s="3038"/>
      <c r="AL719" s="3038"/>
      <c r="AM719" s="3038"/>
      <c r="AN719" s="3038"/>
      <c r="AO719" s="3038"/>
      <c r="AP719" s="3038"/>
      <c r="AQ719" s="3038"/>
      <c r="AR719" s="3038"/>
      <c r="AS719" s="3038"/>
      <c r="AT719" s="3038"/>
      <c r="AU719" s="3038"/>
      <c r="AV719" s="3038"/>
      <c r="AW719" s="3038"/>
      <c r="AX719" s="3038"/>
      <c r="AY719" s="3038"/>
      <c r="AZ719" s="3038"/>
      <c r="BA719" s="3038"/>
      <c r="BB719" s="3038"/>
      <c r="BC719" s="3038"/>
      <c r="BD719" s="3038"/>
      <c r="BE719" s="3038"/>
      <c r="BF719" s="3038"/>
      <c r="BG719" s="3038"/>
      <c r="BH719" s="3038"/>
      <c r="BI719" s="3038"/>
      <c r="BJ719" s="3038"/>
      <c r="BK719" s="3038"/>
      <c r="BL719" s="3038"/>
      <c r="BM719" s="3038"/>
      <c r="BN719" s="3038"/>
      <c r="BO719" s="3038"/>
      <c r="BP719" s="3038"/>
      <c r="BQ719" s="3038"/>
      <c r="BR719" s="3038"/>
      <c r="BS719" s="3038"/>
      <c r="BT719" s="3038"/>
      <c r="BU719" s="3038"/>
    </row>
    <row r="720" spans="3:73">
      <c r="C720" s="3038"/>
      <c r="D720" s="3038"/>
      <c r="E720" s="3038"/>
      <c r="H720" s="3038"/>
      <c r="I720" s="3038"/>
      <c r="J720" s="3038"/>
      <c r="K720" s="3038"/>
      <c r="M720" s="3038"/>
      <c r="N720" s="3038"/>
      <c r="O720" s="3038"/>
      <c r="P720" s="3038"/>
      <c r="Q720" s="3038"/>
      <c r="R720" s="3038"/>
      <c r="S720" s="3038"/>
      <c r="T720" s="3038"/>
      <c r="W720" s="3038"/>
      <c r="X720" s="3038"/>
      <c r="Y720" s="3038"/>
      <c r="Z720" s="3038"/>
      <c r="AA720" s="3113"/>
      <c r="AB720" s="3038"/>
      <c r="AC720" s="3038"/>
      <c r="AD720" s="3038"/>
      <c r="AE720" s="3132"/>
      <c r="AF720" s="3038"/>
      <c r="AG720" s="3038"/>
      <c r="AH720" s="3038"/>
      <c r="AK720" s="3038"/>
      <c r="AL720" s="3038"/>
      <c r="AM720" s="3038"/>
      <c r="AN720" s="3038"/>
      <c r="AO720" s="3038"/>
      <c r="AP720" s="3038"/>
      <c r="AQ720" s="3038"/>
      <c r="AR720" s="3038"/>
      <c r="AS720" s="3038"/>
      <c r="AT720" s="3038"/>
      <c r="AU720" s="3038"/>
      <c r="AV720" s="3038"/>
      <c r="AW720" s="3038"/>
      <c r="AX720" s="3038"/>
      <c r="AY720" s="3038"/>
      <c r="AZ720" s="3038"/>
      <c r="BA720" s="3038"/>
      <c r="BB720" s="3038"/>
      <c r="BC720" s="3038"/>
      <c r="BD720" s="3038"/>
      <c r="BE720" s="3038"/>
      <c r="BF720" s="3038"/>
      <c r="BG720" s="3038"/>
      <c r="BH720" s="3038"/>
      <c r="BI720" s="3038"/>
      <c r="BJ720" s="3038"/>
      <c r="BK720" s="3038"/>
      <c r="BL720" s="3038"/>
      <c r="BM720" s="3038"/>
      <c r="BN720" s="3038"/>
      <c r="BO720" s="3038"/>
      <c r="BP720" s="3038"/>
      <c r="BQ720" s="3038"/>
      <c r="BR720" s="3038"/>
      <c r="BS720" s="3038"/>
      <c r="BT720" s="3038"/>
      <c r="BU720" s="3038"/>
    </row>
    <row r="721" spans="3:73">
      <c r="C721" s="3038"/>
      <c r="D721" s="3038"/>
      <c r="E721" s="3038"/>
      <c r="H721" s="3038"/>
      <c r="I721" s="3038"/>
      <c r="J721" s="3038"/>
      <c r="K721" s="3038"/>
      <c r="M721" s="3038"/>
      <c r="N721" s="3038"/>
      <c r="O721" s="3038"/>
      <c r="P721" s="3038"/>
      <c r="Q721" s="3038"/>
      <c r="R721" s="3038"/>
      <c r="S721" s="3038"/>
      <c r="T721" s="3038"/>
      <c r="W721" s="3038"/>
      <c r="X721" s="3038"/>
      <c r="Y721" s="3038"/>
      <c r="Z721" s="3038"/>
      <c r="AA721" s="3113"/>
      <c r="AB721" s="3038"/>
      <c r="AC721" s="3038"/>
      <c r="AD721" s="3038"/>
      <c r="AE721" s="3132"/>
      <c r="AF721" s="3038"/>
      <c r="AG721" s="3038"/>
      <c r="AH721" s="3038"/>
      <c r="AK721" s="3038"/>
      <c r="AL721" s="3038"/>
      <c r="AM721" s="3038"/>
      <c r="AN721" s="3038"/>
      <c r="AO721" s="3038"/>
      <c r="AP721" s="3038"/>
      <c r="AQ721" s="3038"/>
      <c r="AR721" s="3038"/>
      <c r="AS721" s="3038"/>
      <c r="AT721" s="3038"/>
      <c r="AU721" s="3038"/>
      <c r="AV721" s="3038"/>
      <c r="AW721" s="3038"/>
      <c r="AX721" s="3038"/>
      <c r="AY721" s="3038"/>
      <c r="AZ721" s="3038"/>
      <c r="BA721" s="3038"/>
      <c r="BB721" s="3038"/>
      <c r="BC721" s="3038"/>
      <c r="BD721" s="3038"/>
      <c r="BE721" s="3038"/>
      <c r="BF721" s="3038"/>
      <c r="BG721" s="3038"/>
      <c r="BH721" s="3038"/>
      <c r="BI721" s="3038"/>
      <c r="BJ721" s="3038"/>
      <c r="BK721" s="3038"/>
      <c r="BL721" s="3038"/>
      <c r="BM721" s="3038"/>
      <c r="BN721" s="3038"/>
      <c r="BO721" s="3038"/>
      <c r="BP721" s="3038"/>
      <c r="BQ721" s="3038"/>
      <c r="BR721" s="3038"/>
      <c r="BS721" s="3038"/>
      <c r="BT721" s="3038"/>
      <c r="BU721" s="3038"/>
    </row>
    <row r="722" spans="3:73">
      <c r="C722" s="3038"/>
      <c r="D722" s="3038"/>
      <c r="E722" s="3038"/>
      <c r="H722" s="3038"/>
      <c r="I722" s="3038"/>
      <c r="J722" s="3038"/>
      <c r="K722" s="3038"/>
      <c r="M722" s="3038"/>
      <c r="N722" s="3038"/>
      <c r="O722" s="3038"/>
      <c r="P722" s="3038"/>
      <c r="Q722" s="3038"/>
      <c r="R722" s="3038"/>
      <c r="S722" s="3038"/>
      <c r="T722" s="3038"/>
      <c r="W722" s="3038"/>
      <c r="X722" s="3038"/>
      <c r="Y722" s="3038"/>
      <c r="Z722" s="3038"/>
      <c r="AA722" s="3113"/>
      <c r="AB722" s="3038"/>
      <c r="AC722" s="3038"/>
      <c r="AD722" s="3038"/>
      <c r="AE722" s="3132"/>
      <c r="AF722" s="3038"/>
      <c r="AG722" s="3038"/>
      <c r="AH722" s="3038"/>
      <c r="AK722" s="3038"/>
      <c r="AL722" s="3038"/>
      <c r="AM722" s="3038"/>
      <c r="AN722" s="3038"/>
      <c r="AO722" s="3038"/>
      <c r="AP722" s="3038"/>
      <c r="AQ722" s="3038"/>
      <c r="AR722" s="3038"/>
      <c r="AS722" s="3038"/>
      <c r="AT722" s="3038"/>
      <c r="AU722" s="3038"/>
      <c r="AV722" s="3038"/>
      <c r="AW722" s="3038"/>
      <c r="AX722" s="3038"/>
      <c r="AY722" s="3038"/>
      <c r="AZ722" s="3038"/>
      <c r="BA722" s="3038"/>
      <c r="BB722" s="3038"/>
      <c r="BC722" s="3038"/>
      <c r="BD722" s="3038"/>
      <c r="BE722" s="3038"/>
      <c r="BF722" s="3038"/>
      <c r="BG722" s="3038"/>
      <c r="BH722" s="3038"/>
      <c r="BI722" s="3038"/>
      <c r="BJ722" s="3038"/>
      <c r="BK722" s="3038"/>
      <c r="BL722" s="3038"/>
      <c r="BM722" s="3038"/>
      <c r="BN722" s="3038"/>
      <c r="BO722" s="3038"/>
      <c r="BP722" s="3038"/>
      <c r="BQ722" s="3038"/>
      <c r="BR722" s="3038"/>
      <c r="BS722" s="3038"/>
      <c r="BT722" s="3038"/>
      <c r="BU722" s="3038"/>
    </row>
    <row r="723" spans="3:73">
      <c r="C723" s="3038"/>
      <c r="D723" s="3038"/>
      <c r="E723" s="3038"/>
      <c r="H723" s="3038"/>
      <c r="I723" s="3038"/>
      <c r="J723" s="3038"/>
      <c r="K723" s="3038"/>
      <c r="M723" s="3038"/>
      <c r="N723" s="3038"/>
      <c r="O723" s="3038"/>
      <c r="P723" s="3038"/>
      <c r="Q723" s="3038"/>
      <c r="R723" s="3038"/>
      <c r="S723" s="3038"/>
      <c r="T723" s="3038"/>
      <c r="W723" s="3038"/>
      <c r="X723" s="3038"/>
      <c r="Y723" s="3038"/>
      <c r="Z723" s="3038"/>
      <c r="AA723" s="3113"/>
      <c r="AB723" s="3038"/>
      <c r="AC723" s="3038"/>
      <c r="AD723" s="3038"/>
      <c r="AE723" s="3132"/>
      <c r="AF723" s="3038"/>
      <c r="AG723" s="3038"/>
      <c r="AH723" s="3038"/>
      <c r="AK723" s="3038"/>
      <c r="AL723" s="3038"/>
      <c r="AM723" s="3038"/>
      <c r="AN723" s="3038"/>
      <c r="AO723" s="3038"/>
      <c r="AP723" s="3038"/>
      <c r="AQ723" s="3038"/>
      <c r="AR723" s="3038"/>
      <c r="AS723" s="3038"/>
      <c r="AT723" s="3038"/>
      <c r="AU723" s="3038"/>
      <c r="AV723" s="3038"/>
      <c r="AW723" s="3038"/>
      <c r="AX723" s="3038"/>
      <c r="AY723" s="3038"/>
      <c r="AZ723" s="3038"/>
      <c r="BA723" s="3038"/>
      <c r="BB723" s="3038"/>
      <c r="BC723" s="3038"/>
      <c r="BD723" s="3038"/>
      <c r="BE723" s="3038"/>
      <c r="BF723" s="3038"/>
      <c r="BG723" s="3038"/>
      <c r="BH723" s="3038"/>
      <c r="BI723" s="3038"/>
      <c r="BJ723" s="3038"/>
      <c r="BK723" s="3038"/>
      <c r="BL723" s="3038"/>
      <c r="BM723" s="3038"/>
      <c r="BN723" s="3038"/>
      <c r="BO723" s="3038"/>
      <c r="BP723" s="3038"/>
      <c r="BQ723" s="3038"/>
      <c r="BR723" s="3038"/>
      <c r="BS723" s="3038"/>
      <c r="BT723" s="3038"/>
      <c r="BU723" s="3038"/>
    </row>
    <row r="724" spans="3:73">
      <c r="C724" s="3038"/>
      <c r="D724" s="3038"/>
      <c r="E724" s="3038"/>
      <c r="H724" s="3038"/>
      <c r="I724" s="3038"/>
      <c r="J724" s="3038"/>
      <c r="K724" s="3038"/>
      <c r="M724" s="3038"/>
      <c r="N724" s="3038"/>
      <c r="O724" s="3038"/>
      <c r="P724" s="3038"/>
      <c r="Q724" s="3038"/>
      <c r="R724" s="3038"/>
      <c r="S724" s="3038"/>
      <c r="T724" s="3038"/>
      <c r="W724" s="3038"/>
      <c r="X724" s="3038"/>
      <c r="Y724" s="3038"/>
      <c r="Z724" s="3038"/>
      <c r="AA724" s="3113"/>
      <c r="AB724" s="3038"/>
      <c r="AC724" s="3038"/>
      <c r="AD724" s="3038"/>
      <c r="AE724" s="3132"/>
      <c r="AF724" s="3038"/>
      <c r="AG724" s="3038"/>
      <c r="AH724" s="3038"/>
      <c r="AK724" s="3038"/>
      <c r="AL724" s="3038"/>
      <c r="AM724" s="3038"/>
      <c r="AN724" s="3038"/>
      <c r="AO724" s="3038"/>
      <c r="AP724" s="3038"/>
      <c r="AQ724" s="3038"/>
      <c r="AR724" s="3038"/>
      <c r="AS724" s="3038"/>
      <c r="AT724" s="3038"/>
      <c r="AU724" s="3038"/>
      <c r="AV724" s="3038"/>
      <c r="AW724" s="3038"/>
      <c r="AX724" s="3038"/>
      <c r="AY724" s="3038"/>
      <c r="AZ724" s="3038"/>
      <c r="BA724" s="3038"/>
      <c r="BB724" s="3038"/>
      <c r="BC724" s="3038"/>
      <c r="BD724" s="3038"/>
      <c r="BE724" s="3038"/>
      <c r="BF724" s="3038"/>
      <c r="BG724" s="3038"/>
      <c r="BH724" s="3038"/>
      <c r="BI724" s="3038"/>
      <c r="BJ724" s="3038"/>
      <c r="BK724" s="3038"/>
      <c r="BL724" s="3038"/>
      <c r="BM724" s="3038"/>
      <c r="BN724" s="3038"/>
      <c r="BO724" s="3038"/>
      <c r="BP724" s="3038"/>
      <c r="BQ724" s="3038"/>
      <c r="BR724" s="3038"/>
      <c r="BS724" s="3038"/>
      <c r="BT724" s="3038"/>
      <c r="BU724" s="3038"/>
    </row>
    <row r="725" spans="3:73">
      <c r="C725" s="3038"/>
      <c r="D725" s="3038"/>
      <c r="E725" s="3038"/>
      <c r="H725" s="3038"/>
      <c r="I725" s="3038"/>
      <c r="J725" s="3038"/>
      <c r="K725" s="3038"/>
      <c r="M725" s="3038"/>
      <c r="N725" s="3038"/>
      <c r="O725" s="3038"/>
      <c r="P725" s="3038"/>
      <c r="Q725" s="3038"/>
      <c r="R725" s="3038"/>
      <c r="S725" s="3038"/>
      <c r="T725" s="3038"/>
      <c r="W725" s="3038"/>
      <c r="X725" s="3038"/>
      <c r="Y725" s="3038"/>
      <c r="Z725" s="3038"/>
      <c r="AA725" s="3113"/>
      <c r="AB725" s="3038"/>
      <c r="AC725" s="3038"/>
      <c r="AD725" s="3038"/>
      <c r="AE725" s="3132"/>
      <c r="AF725" s="3038"/>
      <c r="AG725" s="3038"/>
      <c r="AH725" s="3038"/>
      <c r="AK725" s="3038"/>
      <c r="AL725" s="3038"/>
      <c r="AM725" s="3038"/>
      <c r="AN725" s="3038"/>
      <c r="AO725" s="3038"/>
      <c r="AP725" s="3038"/>
      <c r="AQ725" s="3038"/>
      <c r="AR725" s="3038"/>
      <c r="AS725" s="3038"/>
      <c r="AT725" s="3038"/>
      <c r="AU725" s="3038"/>
      <c r="AV725" s="3038"/>
      <c r="AW725" s="3038"/>
      <c r="AX725" s="3038"/>
      <c r="AY725" s="3038"/>
      <c r="AZ725" s="3038"/>
      <c r="BA725" s="3038"/>
      <c r="BB725" s="3038"/>
      <c r="BC725" s="3038"/>
      <c r="BD725" s="3038"/>
      <c r="BE725" s="3038"/>
      <c r="BF725" s="3038"/>
      <c r="BG725" s="3038"/>
      <c r="BH725" s="3038"/>
      <c r="BI725" s="3038"/>
      <c r="BJ725" s="3038"/>
      <c r="BK725" s="3038"/>
      <c r="BL725" s="3038"/>
      <c r="BM725" s="3038"/>
      <c r="BN725" s="3038"/>
      <c r="BO725" s="3038"/>
      <c r="BP725" s="3038"/>
      <c r="BQ725" s="3038"/>
      <c r="BR725" s="3038"/>
      <c r="BS725" s="3038"/>
      <c r="BT725" s="3038"/>
      <c r="BU725" s="3038"/>
    </row>
    <row r="726" spans="3:73">
      <c r="C726" s="3038"/>
      <c r="D726" s="3038"/>
      <c r="E726" s="3038"/>
      <c r="H726" s="3038"/>
      <c r="I726" s="3038"/>
      <c r="J726" s="3038"/>
      <c r="K726" s="3038"/>
      <c r="M726" s="3038"/>
      <c r="N726" s="3038"/>
      <c r="O726" s="3038"/>
      <c r="P726" s="3038"/>
      <c r="Q726" s="3038"/>
      <c r="R726" s="3038"/>
      <c r="S726" s="3038"/>
      <c r="T726" s="3038"/>
      <c r="W726" s="3038"/>
      <c r="X726" s="3038"/>
      <c r="Y726" s="3038"/>
      <c r="Z726" s="3038"/>
      <c r="AA726" s="3113"/>
      <c r="AB726" s="3038"/>
      <c r="AC726" s="3038"/>
      <c r="AD726" s="3038"/>
      <c r="AE726" s="3132"/>
      <c r="AF726" s="3038"/>
      <c r="AG726" s="3038"/>
      <c r="AH726" s="3038"/>
      <c r="AK726" s="3038"/>
      <c r="AL726" s="3038"/>
      <c r="AM726" s="3038"/>
      <c r="AN726" s="3038"/>
      <c r="AO726" s="3038"/>
      <c r="AP726" s="3038"/>
      <c r="AQ726" s="3038"/>
      <c r="AR726" s="3038"/>
      <c r="AS726" s="3038"/>
      <c r="AT726" s="3038"/>
      <c r="AU726" s="3038"/>
      <c r="AV726" s="3038"/>
      <c r="AW726" s="3038"/>
      <c r="AX726" s="3038"/>
      <c r="AY726" s="3038"/>
      <c r="AZ726" s="3038"/>
      <c r="BA726" s="3038"/>
      <c r="BB726" s="3038"/>
      <c r="BC726" s="3038"/>
      <c r="BD726" s="3038"/>
      <c r="BE726" s="3038"/>
      <c r="BF726" s="3038"/>
      <c r="BG726" s="3038"/>
      <c r="BH726" s="3038"/>
      <c r="BI726" s="3038"/>
      <c r="BJ726" s="3038"/>
      <c r="BK726" s="3038"/>
      <c r="BL726" s="3038"/>
      <c r="BM726" s="3038"/>
      <c r="BN726" s="3038"/>
      <c r="BO726" s="3038"/>
      <c r="BP726" s="3038"/>
      <c r="BQ726" s="3038"/>
      <c r="BR726" s="3038"/>
      <c r="BS726" s="3038"/>
      <c r="BT726" s="3038"/>
      <c r="BU726" s="3038"/>
    </row>
    <row r="727" spans="3:73">
      <c r="C727" s="3038"/>
      <c r="D727" s="3038"/>
      <c r="E727" s="3038"/>
      <c r="H727" s="3038"/>
      <c r="I727" s="3038"/>
      <c r="J727" s="3038"/>
      <c r="K727" s="3038"/>
      <c r="M727" s="3038"/>
      <c r="N727" s="3038"/>
      <c r="O727" s="3038"/>
      <c r="P727" s="3038"/>
      <c r="Q727" s="3038"/>
      <c r="R727" s="3038"/>
      <c r="S727" s="3038"/>
      <c r="T727" s="3038"/>
      <c r="W727" s="3038"/>
      <c r="X727" s="3038"/>
      <c r="Y727" s="3038"/>
      <c r="Z727" s="3038"/>
      <c r="AA727" s="3113"/>
      <c r="AB727" s="3038"/>
      <c r="AC727" s="3038"/>
      <c r="AD727" s="3038"/>
      <c r="AE727" s="3132"/>
      <c r="AF727" s="3038"/>
      <c r="AG727" s="3038"/>
      <c r="AH727" s="3038"/>
      <c r="AK727" s="3038"/>
      <c r="AL727" s="3038"/>
      <c r="AM727" s="3038"/>
      <c r="AN727" s="3038"/>
      <c r="AO727" s="3038"/>
      <c r="AP727" s="3038"/>
      <c r="AQ727" s="3038"/>
      <c r="AR727" s="3038"/>
      <c r="AS727" s="3038"/>
      <c r="AT727" s="3038"/>
      <c r="AU727" s="3038"/>
      <c r="AV727" s="3038"/>
      <c r="AW727" s="3038"/>
      <c r="AX727" s="3038"/>
      <c r="AY727" s="3038"/>
      <c r="AZ727" s="3038"/>
      <c r="BA727" s="3038"/>
      <c r="BB727" s="3038"/>
      <c r="BC727" s="3038"/>
      <c r="BD727" s="3038"/>
      <c r="BE727" s="3038"/>
      <c r="BF727" s="3038"/>
      <c r="BG727" s="3038"/>
      <c r="BH727" s="3038"/>
      <c r="BI727" s="3038"/>
      <c r="BJ727" s="3038"/>
      <c r="BK727" s="3038"/>
      <c r="BL727" s="3038"/>
      <c r="BM727" s="3038"/>
      <c r="BN727" s="3038"/>
      <c r="BO727" s="3038"/>
      <c r="BP727" s="3038"/>
      <c r="BQ727" s="3038"/>
      <c r="BR727" s="3038"/>
      <c r="BS727" s="3038"/>
      <c r="BT727" s="3038"/>
      <c r="BU727" s="3038"/>
    </row>
    <row r="728" spans="3:73">
      <c r="C728" s="3038"/>
      <c r="D728" s="3038"/>
      <c r="E728" s="3038"/>
      <c r="H728" s="3038"/>
      <c r="I728" s="3038"/>
      <c r="J728" s="3038"/>
      <c r="K728" s="3038"/>
      <c r="M728" s="3038"/>
      <c r="N728" s="3038"/>
      <c r="O728" s="3038"/>
      <c r="P728" s="3038"/>
      <c r="Q728" s="3038"/>
      <c r="R728" s="3038"/>
      <c r="S728" s="3038"/>
      <c r="T728" s="3038"/>
      <c r="W728" s="3038"/>
      <c r="X728" s="3038"/>
      <c r="Y728" s="3038"/>
      <c r="Z728" s="3038"/>
      <c r="AA728" s="3113"/>
      <c r="AB728" s="3038"/>
      <c r="AC728" s="3038"/>
      <c r="AD728" s="3038"/>
      <c r="AE728" s="3132"/>
      <c r="AF728" s="3038"/>
      <c r="AG728" s="3038"/>
      <c r="AH728" s="3038"/>
      <c r="AK728" s="3038"/>
      <c r="AL728" s="3038"/>
      <c r="AM728" s="3038"/>
      <c r="AN728" s="3038"/>
      <c r="AO728" s="3038"/>
      <c r="AP728" s="3038"/>
      <c r="AQ728" s="3038"/>
      <c r="AR728" s="3038"/>
      <c r="AS728" s="3038"/>
      <c r="AT728" s="3038"/>
      <c r="AU728" s="3038"/>
      <c r="AV728" s="3038"/>
      <c r="AW728" s="3038"/>
      <c r="AX728" s="3038"/>
      <c r="AY728" s="3038"/>
      <c r="AZ728" s="3038"/>
      <c r="BA728" s="3038"/>
      <c r="BB728" s="3038"/>
      <c r="BC728" s="3038"/>
      <c r="BD728" s="3038"/>
      <c r="BE728" s="3038"/>
      <c r="BF728" s="3038"/>
      <c r="BG728" s="3038"/>
      <c r="BH728" s="3038"/>
      <c r="BI728" s="3038"/>
      <c r="BJ728" s="3038"/>
      <c r="BK728" s="3038"/>
      <c r="BL728" s="3038"/>
      <c r="BM728" s="3038"/>
      <c r="BN728" s="3038"/>
      <c r="BO728" s="3038"/>
      <c r="BP728" s="3038"/>
      <c r="BQ728" s="3038"/>
      <c r="BR728" s="3038"/>
      <c r="BS728" s="3038"/>
      <c r="BT728" s="3038"/>
      <c r="BU728" s="3038"/>
    </row>
    <row r="729" spans="3:73">
      <c r="C729" s="3038"/>
      <c r="D729" s="3038"/>
      <c r="E729" s="3038"/>
      <c r="H729" s="3038"/>
      <c r="I729" s="3038"/>
      <c r="J729" s="3038"/>
      <c r="K729" s="3038"/>
      <c r="M729" s="3038"/>
      <c r="N729" s="3038"/>
      <c r="O729" s="3038"/>
      <c r="P729" s="3038"/>
      <c r="Q729" s="3038"/>
      <c r="R729" s="3038"/>
      <c r="S729" s="3038"/>
      <c r="T729" s="3038"/>
      <c r="W729" s="3038"/>
      <c r="X729" s="3038"/>
      <c r="Y729" s="3038"/>
      <c r="Z729" s="3038"/>
      <c r="AA729" s="3113"/>
      <c r="AB729" s="3038"/>
      <c r="AC729" s="3038"/>
      <c r="AD729" s="3038"/>
      <c r="AE729" s="3132"/>
      <c r="AF729" s="3038"/>
      <c r="AG729" s="3038"/>
      <c r="AH729" s="3038"/>
      <c r="AK729" s="3038"/>
      <c r="AL729" s="3038"/>
      <c r="AM729" s="3038"/>
      <c r="AN729" s="3038"/>
      <c r="AO729" s="3038"/>
      <c r="AP729" s="3038"/>
      <c r="AQ729" s="3038"/>
      <c r="AR729" s="3038"/>
      <c r="AS729" s="3038"/>
      <c r="AT729" s="3038"/>
      <c r="AU729" s="3038"/>
      <c r="AV729" s="3038"/>
      <c r="AW729" s="3038"/>
      <c r="AX729" s="3038"/>
      <c r="AY729" s="3038"/>
      <c r="AZ729" s="3038"/>
      <c r="BA729" s="3038"/>
      <c r="BB729" s="3038"/>
      <c r="BC729" s="3038"/>
      <c r="BD729" s="3038"/>
      <c r="BE729" s="3038"/>
      <c r="BF729" s="3038"/>
      <c r="BG729" s="3038"/>
      <c r="BH729" s="3038"/>
      <c r="BI729" s="3038"/>
      <c r="BJ729" s="3038"/>
      <c r="BK729" s="3038"/>
      <c r="BL729" s="3038"/>
      <c r="BM729" s="3038"/>
      <c r="BN729" s="3038"/>
      <c r="BO729" s="3038"/>
      <c r="BP729" s="3038"/>
      <c r="BQ729" s="3038"/>
      <c r="BR729" s="3038"/>
      <c r="BS729" s="3038"/>
      <c r="BT729" s="3038"/>
      <c r="BU729" s="3038"/>
    </row>
    <row r="730" spans="3:73">
      <c r="C730" s="3038"/>
      <c r="D730" s="3038"/>
      <c r="E730" s="3038"/>
      <c r="H730" s="3038"/>
      <c r="I730" s="3038"/>
      <c r="J730" s="3038"/>
      <c r="K730" s="3038"/>
      <c r="M730" s="3038"/>
      <c r="N730" s="3038"/>
      <c r="O730" s="3038"/>
      <c r="P730" s="3038"/>
      <c r="Q730" s="3038"/>
      <c r="R730" s="3038"/>
      <c r="S730" s="3038"/>
      <c r="T730" s="3038"/>
      <c r="W730" s="3038"/>
      <c r="X730" s="3038"/>
      <c r="Y730" s="3038"/>
      <c r="Z730" s="3038"/>
      <c r="AA730" s="3113"/>
      <c r="AB730" s="3038"/>
      <c r="AC730" s="3038"/>
      <c r="AD730" s="3038"/>
      <c r="AE730" s="3132"/>
      <c r="AF730" s="3038"/>
      <c r="AG730" s="3038"/>
      <c r="AH730" s="3038"/>
      <c r="AK730" s="3038"/>
      <c r="AL730" s="3038"/>
      <c r="AM730" s="3038"/>
      <c r="AN730" s="3038"/>
      <c r="AO730" s="3038"/>
      <c r="AP730" s="3038"/>
      <c r="AQ730" s="3038"/>
      <c r="AR730" s="3038"/>
      <c r="AS730" s="3038"/>
      <c r="AT730" s="3038"/>
      <c r="AU730" s="3038"/>
      <c r="AV730" s="3038"/>
      <c r="AW730" s="3038"/>
      <c r="AX730" s="3038"/>
      <c r="AY730" s="3038"/>
      <c r="AZ730" s="3038"/>
      <c r="BA730" s="3038"/>
      <c r="BB730" s="3038"/>
      <c r="BC730" s="3038"/>
      <c r="BD730" s="3038"/>
      <c r="BE730" s="3038"/>
      <c r="BF730" s="3038"/>
      <c r="BG730" s="3038"/>
      <c r="BH730" s="3038"/>
      <c r="BI730" s="3038"/>
      <c r="BJ730" s="3038"/>
      <c r="BK730" s="3038"/>
      <c r="BL730" s="3038"/>
      <c r="BM730" s="3038"/>
      <c r="BN730" s="3038"/>
      <c r="BO730" s="3038"/>
      <c r="BP730" s="3038"/>
      <c r="BQ730" s="3038"/>
      <c r="BR730" s="3038"/>
      <c r="BS730" s="3038"/>
      <c r="BT730" s="3038"/>
      <c r="BU730" s="3038"/>
    </row>
    <row r="731" spans="3:73">
      <c r="C731" s="3038"/>
      <c r="D731" s="3038"/>
      <c r="E731" s="3038"/>
      <c r="H731" s="3038"/>
      <c r="I731" s="3038"/>
      <c r="J731" s="3038"/>
      <c r="K731" s="3038"/>
      <c r="M731" s="3038"/>
      <c r="N731" s="3038"/>
      <c r="O731" s="3038"/>
      <c r="P731" s="3038"/>
      <c r="Q731" s="3038"/>
      <c r="R731" s="3038"/>
      <c r="S731" s="3038"/>
      <c r="T731" s="3038"/>
      <c r="W731" s="3038"/>
      <c r="X731" s="3038"/>
      <c r="Y731" s="3038"/>
      <c r="Z731" s="3038"/>
      <c r="AA731" s="3113"/>
      <c r="AB731" s="3038"/>
      <c r="AC731" s="3038"/>
      <c r="AD731" s="3038"/>
      <c r="AE731" s="3132"/>
      <c r="AF731" s="3038"/>
      <c r="AG731" s="3038"/>
      <c r="AH731" s="3038"/>
      <c r="AK731" s="3038"/>
      <c r="AL731" s="3038"/>
      <c r="AM731" s="3038"/>
      <c r="AN731" s="3038"/>
      <c r="AO731" s="3038"/>
      <c r="AP731" s="3038"/>
      <c r="AQ731" s="3038"/>
      <c r="AR731" s="3038"/>
      <c r="AS731" s="3038"/>
      <c r="AT731" s="3038"/>
      <c r="AU731" s="3038"/>
      <c r="AV731" s="3038"/>
      <c r="AW731" s="3038"/>
      <c r="AX731" s="3038"/>
      <c r="AY731" s="3038"/>
      <c r="AZ731" s="3038"/>
      <c r="BA731" s="3038"/>
      <c r="BB731" s="3038"/>
      <c r="BC731" s="3038"/>
      <c r="BD731" s="3038"/>
      <c r="BE731" s="3038"/>
      <c r="BF731" s="3038"/>
      <c r="BG731" s="3038"/>
      <c r="BH731" s="3038"/>
      <c r="BI731" s="3038"/>
      <c r="BJ731" s="3038"/>
      <c r="BK731" s="3038"/>
      <c r="BL731" s="3038"/>
      <c r="BM731" s="3038"/>
      <c r="BN731" s="3038"/>
      <c r="BO731" s="3038"/>
      <c r="BP731" s="3038"/>
      <c r="BQ731" s="3038"/>
      <c r="BR731" s="3038"/>
      <c r="BS731" s="3038"/>
      <c r="BT731" s="3038"/>
      <c r="BU731" s="3038"/>
    </row>
    <row r="732" spans="3:73">
      <c r="C732" s="3038"/>
      <c r="D732" s="3038"/>
      <c r="E732" s="3038"/>
      <c r="H732" s="3038"/>
      <c r="I732" s="3038"/>
      <c r="J732" s="3038"/>
      <c r="K732" s="3038"/>
      <c r="M732" s="3038"/>
      <c r="N732" s="3038"/>
      <c r="O732" s="3038"/>
      <c r="P732" s="3038"/>
      <c r="Q732" s="3038"/>
      <c r="R732" s="3038"/>
      <c r="S732" s="3038"/>
      <c r="T732" s="3038"/>
      <c r="W732" s="3038"/>
      <c r="X732" s="3038"/>
      <c r="Y732" s="3038"/>
      <c r="Z732" s="3038"/>
      <c r="AA732" s="3113"/>
      <c r="AB732" s="3038"/>
      <c r="AC732" s="3038"/>
      <c r="AD732" s="3038"/>
      <c r="AE732" s="3132"/>
      <c r="AF732" s="3038"/>
      <c r="AG732" s="3038"/>
      <c r="AH732" s="3038"/>
      <c r="AK732" s="3038"/>
      <c r="AL732" s="3038"/>
      <c r="AM732" s="3038"/>
      <c r="AN732" s="3038"/>
      <c r="AO732" s="3038"/>
      <c r="AP732" s="3038"/>
      <c r="AQ732" s="3038"/>
      <c r="AR732" s="3038"/>
      <c r="AS732" s="3038"/>
      <c r="AT732" s="3038"/>
      <c r="AU732" s="3038"/>
      <c r="AV732" s="3038"/>
      <c r="AW732" s="3038"/>
      <c r="AX732" s="3038"/>
      <c r="AY732" s="3038"/>
      <c r="AZ732" s="3038"/>
      <c r="BA732" s="3038"/>
      <c r="BB732" s="3038"/>
      <c r="BC732" s="3038"/>
      <c r="BD732" s="3038"/>
      <c r="BE732" s="3038"/>
      <c r="BF732" s="3038"/>
      <c r="BG732" s="3038"/>
      <c r="BH732" s="3038"/>
      <c r="BI732" s="3038"/>
      <c r="BJ732" s="3038"/>
      <c r="BK732" s="3038"/>
      <c r="BL732" s="3038"/>
      <c r="BM732" s="3038"/>
      <c r="BN732" s="3038"/>
      <c r="BO732" s="3038"/>
      <c r="BP732" s="3038"/>
      <c r="BQ732" s="3038"/>
      <c r="BR732" s="3038"/>
      <c r="BS732" s="3038"/>
      <c r="BT732" s="3038"/>
      <c r="BU732" s="3038"/>
    </row>
    <row r="733" spans="3:73">
      <c r="C733" s="3038"/>
      <c r="D733" s="3038"/>
      <c r="E733" s="3038"/>
      <c r="H733" s="3038"/>
      <c r="I733" s="3038"/>
      <c r="J733" s="3038"/>
      <c r="K733" s="3038"/>
      <c r="M733" s="3038"/>
      <c r="N733" s="3038"/>
      <c r="O733" s="3038"/>
      <c r="P733" s="3038"/>
      <c r="Q733" s="3038"/>
      <c r="R733" s="3038"/>
      <c r="S733" s="3038"/>
      <c r="T733" s="3038"/>
      <c r="W733" s="3038"/>
      <c r="X733" s="3038"/>
      <c r="Y733" s="3038"/>
      <c r="Z733" s="3038"/>
      <c r="AA733" s="3113"/>
      <c r="AB733" s="3038"/>
      <c r="AC733" s="3038"/>
      <c r="AD733" s="3038"/>
      <c r="AE733" s="3132"/>
      <c r="AF733" s="3038"/>
      <c r="AG733" s="3038"/>
      <c r="AH733" s="3038"/>
      <c r="AK733" s="3038"/>
      <c r="AL733" s="3038"/>
      <c r="AM733" s="3038"/>
      <c r="AN733" s="3038"/>
      <c r="AO733" s="3038"/>
      <c r="AP733" s="3038"/>
      <c r="AQ733" s="3038"/>
      <c r="AR733" s="3038"/>
      <c r="AS733" s="3038"/>
      <c r="AT733" s="3038"/>
      <c r="AU733" s="3038"/>
      <c r="AV733" s="3038"/>
      <c r="AW733" s="3038"/>
      <c r="AX733" s="3038"/>
      <c r="AY733" s="3038"/>
      <c r="AZ733" s="3038"/>
      <c r="BA733" s="3038"/>
      <c r="BB733" s="3038"/>
      <c r="BC733" s="3038"/>
      <c r="BD733" s="3038"/>
      <c r="BE733" s="3038"/>
      <c r="BF733" s="3038"/>
      <c r="BG733" s="3038"/>
      <c r="BH733" s="3038"/>
      <c r="BI733" s="3038"/>
      <c r="BJ733" s="3038"/>
      <c r="BK733" s="3038"/>
      <c r="BL733" s="3038"/>
      <c r="BM733" s="3038"/>
      <c r="BN733" s="3038"/>
      <c r="BO733" s="3038"/>
      <c r="BP733" s="3038"/>
      <c r="BQ733" s="3038"/>
      <c r="BR733" s="3038"/>
      <c r="BS733" s="3038"/>
      <c r="BT733" s="3038"/>
      <c r="BU733" s="3038"/>
    </row>
    <row r="734" spans="3:73">
      <c r="C734" s="3038"/>
      <c r="D734" s="3038"/>
      <c r="E734" s="3038"/>
      <c r="H734" s="3038"/>
      <c r="I734" s="3038"/>
      <c r="J734" s="3038"/>
      <c r="K734" s="3038"/>
      <c r="M734" s="3038"/>
      <c r="N734" s="3038"/>
      <c r="O734" s="3038"/>
      <c r="P734" s="3038"/>
      <c r="Q734" s="3038"/>
      <c r="R734" s="3038"/>
      <c r="S734" s="3038"/>
      <c r="T734" s="3038"/>
      <c r="W734" s="3038"/>
      <c r="X734" s="3038"/>
      <c r="Y734" s="3038"/>
      <c r="Z734" s="3038"/>
      <c r="AA734" s="3113"/>
      <c r="AB734" s="3038"/>
      <c r="AC734" s="3038"/>
      <c r="AD734" s="3038"/>
      <c r="AE734" s="3132"/>
      <c r="AF734" s="3038"/>
      <c r="AG734" s="3038"/>
      <c r="AH734" s="3038"/>
      <c r="AK734" s="3038"/>
      <c r="AL734" s="3038"/>
      <c r="AM734" s="3038"/>
      <c r="AN734" s="3038"/>
      <c r="AO734" s="3038"/>
      <c r="AP734" s="3038"/>
      <c r="AQ734" s="3038"/>
      <c r="AR734" s="3038"/>
      <c r="AS734" s="3038"/>
      <c r="AT734" s="3038"/>
      <c r="AU734" s="3038"/>
      <c r="AV734" s="3038"/>
      <c r="AW734" s="3038"/>
      <c r="AX734" s="3038"/>
      <c r="AY734" s="3038"/>
      <c r="AZ734" s="3038"/>
      <c r="BA734" s="3038"/>
      <c r="BB734" s="3038"/>
      <c r="BC734" s="3038"/>
      <c r="BD734" s="3038"/>
      <c r="BE734" s="3038"/>
      <c r="BF734" s="3038"/>
      <c r="BG734" s="3038"/>
      <c r="BH734" s="3038"/>
      <c r="BI734" s="3038"/>
      <c r="BJ734" s="3038"/>
      <c r="BK734" s="3038"/>
      <c r="BL734" s="3038"/>
      <c r="BM734" s="3038"/>
      <c r="BN734" s="3038"/>
      <c r="BO734" s="3038"/>
      <c r="BP734" s="3038"/>
      <c r="BQ734" s="3038"/>
      <c r="BR734" s="3038"/>
      <c r="BS734" s="3038"/>
      <c r="BT734" s="3038"/>
      <c r="BU734" s="3038"/>
    </row>
    <row r="735" spans="3:73">
      <c r="C735" s="3038"/>
      <c r="D735" s="3038"/>
      <c r="E735" s="3038"/>
      <c r="H735" s="3038"/>
      <c r="I735" s="3038"/>
      <c r="J735" s="3038"/>
      <c r="K735" s="3038"/>
      <c r="M735" s="3038"/>
      <c r="N735" s="3038"/>
      <c r="O735" s="3038"/>
      <c r="P735" s="3038"/>
      <c r="Q735" s="3038"/>
      <c r="R735" s="3038"/>
      <c r="S735" s="3038"/>
      <c r="T735" s="3038"/>
      <c r="W735" s="3038"/>
      <c r="X735" s="3038"/>
      <c r="Y735" s="3038"/>
      <c r="Z735" s="3038"/>
      <c r="AA735" s="3113"/>
      <c r="AB735" s="3038"/>
      <c r="AC735" s="3038"/>
      <c r="AD735" s="3038"/>
      <c r="AE735" s="3132"/>
      <c r="AF735" s="3038"/>
      <c r="AG735" s="3038"/>
      <c r="AH735" s="3038"/>
      <c r="AK735" s="3038"/>
      <c r="AL735" s="3038"/>
      <c r="AM735" s="3038"/>
      <c r="AN735" s="3038"/>
      <c r="AO735" s="3038"/>
      <c r="AP735" s="3038"/>
      <c r="AQ735" s="3038"/>
      <c r="AR735" s="3038"/>
      <c r="AS735" s="3038"/>
      <c r="AT735" s="3038"/>
      <c r="AU735" s="3038"/>
      <c r="AV735" s="3038"/>
      <c r="AW735" s="3038"/>
      <c r="AX735" s="3038"/>
      <c r="AY735" s="3038"/>
      <c r="AZ735" s="3038"/>
      <c r="BA735" s="3038"/>
      <c r="BB735" s="3038"/>
      <c r="BC735" s="3038"/>
      <c r="BD735" s="3038"/>
      <c r="BE735" s="3038"/>
      <c r="BF735" s="3038"/>
      <c r="BG735" s="3038"/>
      <c r="BH735" s="3038"/>
      <c r="BI735" s="3038"/>
      <c r="BJ735" s="3038"/>
      <c r="BK735" s="3038"/>
      <c r="BL735" s="3038"/>
      <c r="BM735" s="3038"/>
      <c r="BN735" s="3038"/>
      <c r="BO735" s="3038"/>
      <c r="BP735" s="3038"/>
      <c r="BQ735" s="3038"/>
      <c r="BR735" s="3038"/>
      <c r="BS735" s="3038"/>
      <c r="BT735" s="3038"/>
      <c r="BU735" s="3038"/>
    </row>
    <row r="736" spans="3:73">
      <c r="C736" s="3038"/>
      <c r="D736" s="3038"/>
      <c r="E736" s="3038"/>
      <c r="H736" s="3038"/>
      <c r="I736" s="3038"/>
      <c r="J736" s="3038"/>
      <c r="K736" s="3038"/>
      <c r="M736" s="3038"/>
      <c r="N736" s="3038"/>
      <c r="O736" s="3038"/>
      <c r="P736" s="3038"/>
      <c r="Q736" s="3038"/>
      <c r="R736" s="3038"/>
      <c r="S736" s="3038"/>
      <c r="T736" s="3038"/>
      <c r="W736" s="3038"/>
      <c r="X736" s="3038"/>
      <c r="Y736" s="3038"/>
      <c r="Z736" s="3038"/>
      <c r="AA736" s="3113"/>
      <c r="AB736" s="3038"/>
      <c r="AC736" s="3038"/>
      <c r="AD736" s="3038"/>
      <c r="AE736" s="3132"/>
      <c r="AF736" s="3038"/>
      <c r="AG736" s="3038"/>
      <c r="AH736" s="3038"/>
      <c r="AK736" s="3038"/>
      <c r="AL736" s="3038"/>
      <c r="AM736" s="3038"/>
      <c r="AN736" s="3038"/>
      <c r="AO736" s="3038"/>
      <c r="AP736" s="3038"/>
      <c r="AQ736" s="3038"/>
      <c r="AR736" s="3038"/>
      <c r="AS736" s="3038"/>
      <c r="AT736" s="3038"/>
      <c r="AU736" s="3038"/>
      <c r="AV736" s="3038"/>
      <c r="AW736" s="3038"/>
      <c r="AX736" s="3038"/>
      <c r="AY736" s="3038"/>
      <c r="AZ736" s="3038"/>
      <c r="BA736" s="3038"/>
      <c r="BB736" s="3038"/>
      <c r="BC736" s="3038"/>
      <c r="BD736" s="3038"/>
      <c r="BE736" s="3038"/>
      <c r="BF736" s="3038"/>
      <c r="BG736" s="3038"/>
      <c r="BH736" s="3038"/>
      <c r="BI736" s="3038"/>
      <c r="BJ736" s="3038"/>
      <c r="BK736" s="3038"/>
      <c r="BL736" s="3038"/>
      <c r="BM736" s="3038"/>
      <c r="BN736" s="3038"/>
      <c r="BO736" s="3038"/>
      <c r="BP736" s="3038"/>
      <c r="BQ736" s="3038"/>
      <c r="BR736" s="3038"/>
      <c r="BS736" s="3038"/>
      <c r="BT736" s="3038"/>
      <c r="BU736" s="3038"/>
    </row>
    <row r="737" spans="3:73">
      <c r="C737" s="3038"/>
      <c r="D737" s="3038"/>
      <c r="E737" s="3038"/>
      <c r="H737" s="3038"/>
      <c r="I737" s="3038"/>
      <c r="J737" s="3038"/>
      <c r="K737" s="3038"/>
      <c r="M737" s="3038"/>
      <c r="N737" s="3038"/>
      <c r="O737" s="3038"/>
      <c r="P737" s="3038"/>
      <c r="Q737" s="3038"/>
      <c r="R737" s="3038"/>
      <c r="S737" s="3038"/>
      <c r="T737" s="3038"/>
      <c r="W737" s="3038"/>
      <c r="X737" s="3038"/>
      <c r="Y737" s="3038"/>
      <c r="Z737" s="3038"/>
      <c r="AA737" s="3113"/>
      <c r="AB737" s="3038"/>
      <c r="AC737" s="3038"/>
      <c r="AD737" s="3038"/>
      <c r="AE737" s="3132"/>
      <c r="AF737" s="3038"/>
      <c r="AG737" s="3038"/>
      <c r="AH737" s="3038"/>
      <c r="AK737" s="3038"/>
      <c r="AL737" s="3038"/>
      <c r="AM737" s="3038"/>
      <c r="AN737" s="3038"/>
      <c r="AO737" s="3038"/>
      <c r="AP737" s="3038"/>
      <c r="AQ737" s="3038"/>
      <c r="AR737" s="3038"/>
      <c r="AS737" s="3038"/>
      <c r="AT737" s="3038"/>
      <c r="AU737" s="3038"/>
      <c r="AV737" s="3038"/>
      <c r="AW737" s="3038"/>
      <c r="AX737" s="3038"/>
      <c r="AY737" s="3038"/>
      <c r="AZ737" s="3038"/>
      <c r="BA737" s="3038"/>
      <c r="BB737" s="3038"/>
      <c r="BC737" s="3038"/>
      <c r="BD737" s="3038"/>
      <c r="BE737" s="3038"/>
      <c r="BF737" s="3038"/>
      <c r="BG737" s="3038"/>
      <c r="BH737" s="3038"/>
      <c r="BI737" s="3038"/>
      <c r="BJ737" s="3038"/>
      <c r="BK737" s="3038"/>
      <c r="BL737" s="3038"/>
      <c r="BM737" s="3038"/>
      <c r="BN737" s="3038"/>
      <c r="BO737" s="3038"/>
      <c r="BP737" s="3038"/>
      <c r="BQ737" s="3038"/>
      <c r="BR737" s="3038"/>
      <c r="BS737" s="3038"/>
      <c r="BT737" s="3038"/>
      <c r="BU737" s="3038"/>
    </row>
    <row r="738" spans="3:73">
      <c r="C738" s="3038"/>
      <c r="D738" s="3038"/>
      <c r="E738" s="3038"/>
      <c r="H738" s="3038"/>
      <c r="I738" s="3038"/>
      <c r="J738" s="3038"/>
      <c r="K738" s="3038"/>
      <c r="M738" s="3038"/>
      <c r="N738" s="3038"/>
      <c r="O738" s="3038"/>
      <c r="P738" s="3038"/>
      <c r="Q738" s="3038"/>
      <c r="R738" s="3038"/>
      <c r="S738" s="3038"/>
      <c r="T738" s="3038"/>
      <c r="W738" s="3038"/>
      <c r="X738" s="3038"/>
      <c r="Y738" s="3038"/>
      <c r="Z738" s="3038"/>
      <c r="AA738" s="3113"/>
      <c r="AB738" s="3038"/>
      <c r="AC738" s="3038"/>
      <c r="AD738" s="3038"/>
      <c r="AE738" s="3132"/>
      <c r="AF738" s="3038"/>
      <c r="AG738" s="3038"/>
      <c r="AH738" s="3038"/>
      <c r="AK738" s="3038"/>
      <c r="AL738" s="3038"/>
      <c r="AM738" s="3038"/>
      <c r="AN738" s="3038"/>
      <c r="AO738" s="3038"/>
      <c r="AP738" s="3038"/>
      <c r="AQ738" s="3038"/>
      <c r="AR738" s="3038"/>
      <c r="AS738" s="3038"/>
      <c r="AT738" s="3038"/>
      <c r="AU738" s="3038"/>
      <c r="AV738" s="3038"/>
      <c r="AW738" s="3038"/>
      <c r="AX738" s="3038"/>
      <c r="AY738" s="3038"/>
      <c r="AZ738" s="3038"/>
      <c r="BA738" s="3038"/>
      <c r="BB738" s="3038"/>
      <c r="BC738" s="3038"/>
      <c r="BD738" s="3038"/>
      <c r="BE738" s="3038"/>
      <c r="BF738" s="3038"/>
      <c r="BG738" s="3038"/>
      <c r="BH738" s="3038"/>
      <c r="BI738" s="3038"/>
      <c r="BJ738" s="3038"/>
      <c r="BK738" s="3038"/>
      <c r="BL738" s="3038"/>
      <c r="BM738" s="3038"/>
      <c r="BN738" s="3038"/>
      <c r="BO738" s="3038"/>
      <c r="BP738" s="3038"/>
      <c r="BQ738" s="3038"/>
      <c r="BR738" s="3038"/>
      <c r="BS738" s="3038"/>
      <c r="BT738" s="3038"/>
      <c r="BU738" s="3038"/>
    </row>
    <row r="739" spans="3:73">
      <c r="C739" s="3038"/>
      <c r="D739" s="3038"/>
      <c r="E739" s="3038"/>
      <c r="H739" s="3038"/>
      <c r="I739" s="3038"/>
      <c r="J739" s="3038"/>
      <c r="K739" s="3038"/>
      <c r="M739" s="3038"/>
      <c r="N739" s="3038"/>
      <c r="O739" s="3038"/>
      <c r="P739" s="3038"/>
      <c r="Q739" s="3038"/>
      <c r="R739" s="3038"/>
      <c r="S739" s="3038"/>
      <c r="T739" s="3038"/>
      <c r="W739" s="3038"/>
      <c r="X739" s="3038"/>
      <c r="Y739" s="3038"/>
      <c r="Z739" s="3038"/>
      <c r="AA739" s="3113"/>
      <c r="AB739" s="3038"/>
      <c r="AC739" s="3038"/>
      <c r="AD739" s="3038"/>
      <c r="AE739" s="3132"/>
      <c r="AF739" s="3038"/>
      <c r="AG739" s="3038"/>
      <c r="AH739" s="3038"/>
      <c r="AK739" s="3038"/>
      <c r="AL739" s="3038"/>
      <c r="AM739" s="3038"/>
      <c r="AN739" s="3038"/>
      <c r="AO739" s="3038"/>
      <c r="AP739" s="3038"/>
      <c r="AQ739" s="3038"/>
      <c r="AR739" s="3038"/>
      <c r="AS739" s="3038"/>
      <c r="AT739" s="3038"/>
      <c r="AU739" s="3038"/>
      <c r="AV739" s="3038"/>
      <c r="AW739" s="3038"/>
      <c r="AX739" s="3038"/>
      <c r="AY739" s="3038"/>
      <c r="AZ739" s="3038"/>
      <c r="BA739" s="3038"/>
      <c r="BB739" s="3038"/>
      <c r="BC739" s="3038"/>
      <c r="BD739" s="3038"/>
      <c r="BE739" s="3038"/>
      <c r="BF739" s="3038"/>
      <c r="BG739" s="3038"/>
      <c r="BH739" s="3038"/>
      <c r="BI739" s="3038"/>
      <c r="BJ739" s="3038"/>
      <c r="BK739" s="3038"/>
      <c r="BL739" s="3038"/>
      <c r="BM739" s="3038"/>
      <c r="BN739" s="3038"/>
      <c r="BO739" s="3038"/>
      <c r="BP739" s="3038"/>
      <c r="BQ739" s="3038"/>
      <c r="BR739" s="3038"/>
      <c r="BS739" s="3038"/>
      <c r="BT739" s="3038"/>
      <c r="BU739" s="3038"/>
    </row>
    <row r="740" spans="3:73">
      <c r="C740" s="3038"/>
      <c r="D740" s="3038"/>
      <c r="E740" s="3038"/>
      <c r="H740" s="3038"/>
      <c r="I740" s="3038"/>
      <c r="J740" s="3038"/>
      <c r="K740" s="3038"/>
      <c r="M740" s="3038"/>
      <c r="N740" s="3038"/>
      <c r="O740" s="3038"/>
      <c r="P740" s="3038"/>
      <c r="Q740" s="3038"/>
      <c r="R740" s="3038"/>
      <c r="S740" s="3038"/>
      <c r="T740" s="3038"/>
      <c r="W740" s="3038"/>
      <c r="X740" s="3038"/>
      <c r="Y740" s="3038"/>
      <c r="Z740" s="3038"/>
      <c r="AA740" s="3113"/>
      <c r="AB740" s="3038"/>
      <c r="AC740" s="3038"/>
      <c r="AD740" s="3038"/>
      <c r="AE740" s="3132"/>
      <c r="AF740" s="3038"/>
      <c r="AG740" s="3038"/>
      <c r="AH740" s="3038"/>
      <c r="AK740" s="3038"/>
      <c r="AL740" s="3038"/>
      <c r="AM740" s="3038"/>
      <c r="AN740" s="3038"/>
      <c r="AO740" s="3038"/>
      <c r="AP740" s="3038"/>
      <c r="AQ740" s="3038"/>
      <c r="AR740" s="3038"/>
      <c r="AS740" s="3038"/>
      <c r="AT740" s="3038"/>
      <c r="AU740" s="3038"/>
      <c r="AV740" s="3038"/>
      <c r="AW740" s="3038"/>
      <c r="AX740" s="3038"/>
      <c r="AY740" s="3038"/>
      <c r="AZ740" s="3038"/>
      <c r="BA740" s="3038"/>
      <c r="BB740" s="3038"/>
      <c r="BC740" s="3038"/>
      <c r="BD740" s="3038"/>
      <c r="BE740" s="3038"/>
      <c r="BF740" s="3038"/>
      <c r="BG740" s="3038"/>
      <c r="BH740" s="3038"/>
      <c r="BI740" s="3038"/>
      <c r="BJ740" s="3038"/>
      <c r="BK740" s="3038"/>
      <c r="BL740" s="3038"/>
      <c r="BM740" s="3038"/>
      <c r="BN740" s="3038"/>
      <c r="BO740" s="3038"/>
      <c r="BP740" s="3038"/>
      <c r="BQ740" s="3038"/>
      <c r="BR740" s="3038"/>
      <c r="BS740" s="3038"/>
      <c r="BT740" s="3038"/>
      <c r="BU740" s="3038"/>
    </row>
    <row r="741" spans="3:73">
      <c r="C741" s="3038"/>
      <c r="D741" s="3038"/>
      <c r="E741" s="3038"/>
      <c r="H741" s="3038"/>
      <c r="I741" s="3038"/>
      <c r="J741" s="3038"/>
      <c r="K741" s="3038"/>
      <c r="M741" s="3038"/>
      <c r="N741" s="3038"/>
      <c r="O741" s="3038"/>
      <c r="P741" s="3038"/>
      <c r="Q741" s="3038"/>
      <c r="R741" s="3038"/>
      <c r="S741" s="3038"/>
      <c r="T741" s="3038"/>
      <c r="W741" s="3038"/>
      <c r="X741" s="3038"/>
      <c r="Y741" s="3038"/>
      <c r="Z741" s="3038"/>
      <c r="AA741" s="3113"/>
      <c r="AB741" s="3038"/>
      <c r="AC741" s="3038"/>
      <c r="AD741" s="3038"/>
      <c r="AE741" s="3132"/>
      <c r="AF741" s="3038"/>
      <c r="AG741" s="3038"/>
      <c r="AH741" s="3038"/>
      <c r="AK741" s="3038"/>
      <c r="AL741" s="3038"/>
      <c r="AM741" s="3038"/>
      <c r="AN741" s="3038"/>
      <c r="AO741" s="3038"/>
      <c r="AP741" s="3038"/>
      <c r="AQ741" s="3038"/>
      <c r="AR741" s="3038"/>
      <c r="AS741" s="3038"/>
      <c r="AT741" s="3038"/>
      <c r="AU741" s="3038"/>
      <c r="AV741" s="3038"/>
      <c r="AW741" s="3038"/>
      <c r="AX741" s="3038"/>
      <c r="AY741" s="3038"/>
      <c r="AZ741" s="3038"/>
      <c r="BA741" s="3038"/>
      <c r="BB741" s="3038"/>
      <c r="BC741" s="3038"/>
      <c r="BD741" s="3038"/>
      <c r="BE741" s="3038"/>
      <c r="BF741" s="3038"/>
      <c r="BG741" s="3038"/>
      <c r="BH741" s="3038"/>
      <c r="BI741" s="3038"/>
      <c r="BJ741" s="3038"/>
      <c r="BK741" s="3038"/>
      <c r="BL741" s="3038"/>
      <c r="BM741" s="3038"/>
      <c r="BN741" s="3038"/>
      <c r="BO741" s="3038"/>
      <c r="BP741" s="3038"/>
      <c r="BQ741" s="3038"/>
      <c r="BR741" s="3038"/>
      <c r="BS741" s="3038"/>
      <c r="BT741" s="3038"/>
      <c r="BU741" s="3038"/>
    </row>
    <row r="742" spans="3:73">
      <c r="C742" s="3038"/>
      <c r="D742" s="3038"/>
      <c r="E742" s="3038"/>
      <c r="H742" s="3038"/>
      <c r="I742" s="3038"/>
      <c r="J742" s="3038"/>
      <c r="K742" s="3038"/>
      <c r="M742" s="3038"/>
      <c r="N742" s="3038"/>
      <c r="O742" s="3038"/>
      <c r="P742" s="3038"/>
      <c r="Q742" s="3038"/>
      <c r="R742" s="3038"/>
      <c r="S742" s="3038"/>
      <c r="T742" s="3038"/>
      <c r="W742" s="3038"/>
      <c r="X742" s="3038"/>
      <c r="Y742" s="3038"/>
      <c r="Z742" s="3038"/>
      <c r="AA742" s="3113"/>
      <c r="AB742" s="3038"/>
      <c r="AC742" s="3038"/>
      <c r="AD742" s="3038"/>
      <c r="AE742" s="3132"/>
      <c r="AF742" s="3038"/>
      <c r="AG742" s="3038"/>
      <c r="AH742" s="3038"/>
      <c r="AK742" s="3038"/>
      <c r="AL742" s="3038"/>
      <c r="AM742" s="3038"/>
      <c r="AN742" s="3038"/>
      <c r="AO742" s="3038"/>
      <c r="AP742" s="3038"/>
      <c r="AQ742" s="3038"/>
      <c r="AR742" s="3038"/>
      <c r="AS742" s="3038"/>
      <c r="AT742" s="3038"/>
      <c r="AU742" s="3038"/>
      <c r="AV742" s="3038"/>
      <c r="AW742" s="3038"/>
      <c r="AX742" s="3038"/>
      <c r="AY742" s="3038"/>
      <c r="AZ742" s="3038"/>
      <c r="BA742" s="3038"/>
      <c r="BB742" s="3038"/>
      <c r="BC742" s="3038"/>
      <c r="BD742" s="3038"/>
      <c r="BE742" s="3038"/>
      <c r="BF742" s="3038"/>
      <c r="BG742" s="3038"/>
      <c r="BH742" s="3038"/>
      <c r="BI742" s="3038"/>
      <c r="BJ742" s="3038"/>
      <c r="BK742" s="3038"/>
      <c r="BL742" s="3038"/>
      <c r="BM742" s="3038"/>
      <c r="BN742" s="3038"/>
      <c r="BO742" s="3038"/>
      <c r="BP742" s="3038"/>
      <c r="BQ742" s="3038"/>
      <c r="BR742" s="3038"/>
      <c r="BS742" s="3038"/>
      <c r="BT742" s="3038"/>
      <c r="BU742" s="3038"/>
    </row>
    <row r="743" spans="3:73">
      <c r="C743" s="3038"/>
      <c r="D743" s="3038"/>
      <c r="E743" s="3038"/>
      <c r="H743" s="3038"/>
      <c r="I743" s="3038"/>
      <c r="J743" s="3038"/>
      <c r="K743" s="3038"/>
      <c r="M743" s="3038"/>
      <c r="N743" s="3038"/>
      <c r="O743" s="3038"/>
      <c r="P743" s="3038"/>
      <c r="Q743" s="3038"/>
      <c r="R743" s="3038"/>
      <c r="S743" s="3038"/>
      <c r="T743" s="3038"/>
      <c r="W743" s="3038"/>
      <c r="X743" s="3038"/>
      <c r="Y743" s="3038"/>
      <c r="Z743" s="3038"/>
      <c r="AA743" s="3113"/>
      <c r="AB743" s="3038"/>
      <c r="AC743" s="3038"/>
      <c r="AD743" s="3038"/>
      <c r="AE743" s="3132"/>
      <c r="AF743" s="3038"/>
      <c r="AG743" s="3038"/>
      <c r="AH743" s="3038"/>
      <c r="AK743" s="3038"/>
      <c r="AL743" s="3038"/>
      <c r="AM743" s="3038"/>
      <c r="AN743" s="3038"/>
      <c r="AO743" s="3038"/>
      <c r="AP743" s="3038"/>
      <c r="AQ743" s="3038"/>
      <c r="AR743" s="3038"/>
      <c r="AS743" s="3038"/>
      <c r="AT743" s="3038"/>
      <c r="AU743" s="3038"/>
      <c r="AV743" s="3038"/>
      <c r="AW743" s="3038"/>
      <c r="AX743" s="3038"/>
      <c r="AY743" s="3038"/>
      <c r="AZ743" s="3038"/>
      <c r="BA743" s="3038"/>
      <c r="BB743" s="3038"/>
      <c r="BC743" s="3038"/>
      <c r="BD743" s="3038"/>
      <c r="BE743" s="3038"/>
      <c r="BF743" s="3038"/>
      <c r="BG743" s="3038"/>
      <c r="BH743" s="3038"/>
      <c r="BI743" s="3038"/>
      <c r="BJ743" s="3038"/>
      <c r="BK743" s="3038"/>
      <c r="BL743" s="3038"/>
      <c r="BM743" s="3038"/>
      <c r="BN743" s="3038"/>
      <c r="BO743" s="3038"/>
      <c r="BP743" s="3038"/>
      <c r="BQ743" s="3038"/>
      <c r="BR743" s="3038"/>
      <c r="BS743" s="3038"/>
      <c r="BT743" s="3038"/>
      <c r="BU743" s="3038"/>
    </row>
    <row r="744" spans="3:73">
      <c r="C744" s="3038"/>
      <c r="D744" s="3038"/>
      <c r="E744" s="3038"/>
      <c r="H744" s="3038"/>
      <c r="I744" s="3038"/>
      <c r="J744" s="3038"/>
      <c r="K744" s="3038"/>
      <c r="M744" s="3038"/>
      <c r="N744" s="3038"/>
      <c r="O744" s="3038"/>
      <c r="P744" s="3038"/>
      <c r="Q744" s="3038"/>
      <c r="R744" s="3038"/>
      <c r="S744" s="3038"/>
      <c r="T744" s="3038"/>
      <c r="W744" s="3038"/>
      <c r="X744" s="3038"/>
      <c r="Y744" s="3038"/>
      <c r="Z744" s="3038"/>
      <c r="AA744" s="3113"/>
      <c r="AB744" s="3038"/>
      <c r="AC744" s="3038"/>
      <c r="AD744" s="3038"/>
      <c r="AE744" s="3132"/>
      <c r="AF744" s="3038"/>
      <c r="AG744" s="3038"/>
      <c r="AH744" s="3038"/>
      <c r="AK744" s="3038"/>
      <c r="AL744" s="3038"/>
      <c r="AM744" s="3038"/>
      <c r="AN744" s="3038"/>
      <c r="AO744" s="3038"/>
      <c r="AP744" s="3038"/>
      <c r="AQ744" s="3038"/>
      <c r="AR744" s="3038"/>
      <c r="AS744" s="3038"/>
      <c r="AT744" s="3038"/>
      <c r="AU744" s="3038"/>
      <c r="AV744" s="3038"/>
      <c r="AW744" s="3038"/>
      <c r="AX744" s="3038"/>
      <c r="AY744" s="3038"/>
      <c r="AZ744" s="3038"/>
      <c r="BA744" s="3038"/>
      <c r="BB744" s="3038"/>
      <c r="BC744" s="3038"/>
      <c r="BD744" s="3038"/>
      <c r="BE744" s="3038"/>
      <c r="BF744" s="3038"/>
      <c r="BG744" s="3038"/>
      <c r="BH744" s="3038"/>
      <c r="BI744" s="3038"/>
      <c r="BJ744" s="3038"/>
      <c r="BK744" s="3038"/>
      <c r="BL744" s="3038"/>
      <c r="BM744" s="3038"/>
      <c r="BN744" s="3038"/>
      <c r="BO744" s="3038"/>
      <c r="BP744" s="3038"/>
      <c r="BQ744" s="3038"/>
      <c r="BR744" s="3038"/>
      <c r="BS744" s="3038"/>
      <c r="BT744" s="3038"/>
      <c r="BU744" s="3038"/>
    </row>
    <row r="745" spans="3:73">
      <c r="C745" s="3038"/>
      <c r="D745" s="3038"/>
      <c r="E745" s="3038"/>
      <c r="H745" s="3038"/>
      <c r="I745" s="3038"/>
      <c r="J745" s="3038"/>
      <c r="K745" s="3038"/>
      <c r="M745" s="3038"/>
      <c r="N745" s="3038"/>
      <c r="O745" s="3038"/>
      <c r="P745" s="3038"/>
      <c r="Q745" s="3038"/>
      <c r="R745" s="3038"/>
      <c r="S745" s="3038"/>
      <c r="T745" s="3038"/>
      <c r="W745" s="3038"/>
      <c r="X745" s="3038"/>
      <c r="Y745" s="3038"/>
      <c r="Z745" s="3038"/>
      <c r="AA745" s="3113"/>
      <c r="AB745" s="3038"/>
      <c r="AC745" s="3038"/>
      <c r="AD745" s="3038"/>
      <c r="AE745" s="3132"/>
      <c r="AF745" s="3038"/>
      <c r="AG745" s="3038"/>
      <c r="AH745" s="3038"/>
      <c r="AK745" s="3038"/>
      <c r="AL745" s="3038"/>
      <c r="AM745" s="3038"/>
      <c r="AN745" s="3038"/>
      <c r="AO745" s="3038"/>
      <c r="AP745" s="3038"/>
      <c r="AQ745" s="3038"/>
      <c r="AR745" s="3038"/>
      <c r="AS745" s="3038"/>
      <c r="AT745" s="3038"/>
      <c r="AU745" s="3038"/>
      <c r="AV745" s="3038"/>
      <c r="AW745" s="3038"/>
      <c r="AX745" s="3038"/>
      <c r="AY745" s="3038"/>
      <c r="AZ745" s="3038"/>
      <c r="BA745" s="3038"/>
      <c r="BB745" s="3038"/>
      <c r="BC745" s="3038"/>
      <c r="BD745" s="3038"/>
      <c r="BE745" s="3038"/>
      <c r="BF745" s="3038"/>
      <c r="BG745" s="3038"/>
      <c r="BH745" s="3038"/>
      <c r="BI745" s="3038"/>
      <c r="BJ745" s="3038"/>
      <c r="BK745" s="3038"/>
      <c r="BL745" s="3038"/>
      <c r="BM745" s="3038"/>
      <c r="BN745" s="3038"/>
      <c r="BO745" s="3038"/>
      <c r="BP745" s="3038"/>
      <c r="BQ745" s="3038"/>
      <c r="BR745" s="3038"/>
      <c r="BS745" s="3038"/>
      <c r="BT745" s="3038"/>
      <c r="BU745" s="3038"/>
    </row>
    <row r="746" spans="3:73">
      <c r="C746" s="3038"/>
      <c r="D746" s="3038"/>
      <c r="E746" s="3038"/>
      <c r="H746" s="3038"/>
      <c r="I746" s="3038"/>
      <c r="J746" s="3038"/>
      <c r="K746" s="3038"/>
      <c r="M746" s="3038"/>
      <c r="N746" s="3038"/>
      <c r="O746" s="3038"/>
      <c r="P746" s="3038"/>
      <c r="Q746" s="3038"/>
      <c r="R746" s="3038"/>
      <c r="S746" s="3038"/>
      <c r="T746" s="3038"/>
      <c r="W746" s="3038"/>
      <c r="X746" s="3038"/>
      <c r="Y746" s="3038"/>
      <c r="Z746" s="3038"/>
      <c r="AA746" s="3113"/>
      <c r="AB746" s="3038"/>
      <c r="AC746" s="3038"/>
      <c r="AD746" s="3038"/>
      <c r="AE746" s="3132"/>
      <c r="AF746" s="3038"/>
      <c r="AG746" s="3038"/>
      <c r="AH746" s="3038"/>
      <c r="AK746" s="3038"/>
      <c r="AL746" s="3038"/>
      <c r="AM746" s="3038"/>
      <c r="AN746" s="3038"/>
      <c r="AO746" s="3038"/>
      <c r="AP746" s="3038"/>
      <c r="AQ746" s="3038"/>
      <c r="AR746" s="3038"/>
      <c r="AS746" s="3038"/>
      <c r="AT746" s="3038"/>
      <c r="AU746" s="3038"/>
      <c r="AV746" s="3038"/>
      <c r="AW746" s="3038"/>
      <c r="AX746" s="3038"/>
      <c r="AY746" s="3038"/>
      <c r="AZ746" s="3038"/>
      <c r="BA746" s="3038"/>
      <c r="BB746" s="3038"/>
      <c r="BC746" s="3038"/>
      <c r="BD746" s="3038"/>
      <c r="BE746" s="3038"/>
      <c r="BF746" s="3038"/>
      <c r="BG746" s="3038"/>
      <c r="BH746" s="3038"/>
      <c r="BI746" s="3038"/>
      <c r="BJ746" s="3038"/>
      <c r="BK746" s="3038"/>
      <c r="BL746" s="3038"/>
      <c r="BM746" s="3038"/>
      <c r="BN746" s="3038"/>
      <c r="BO746" s="3038"/>
      <c r="BP746" s="3038"/>
      <c r="BQ746" s="3038"/>
      <c r="BR746" s="3038"/>
      <c r="BS746" s="3038"/>
      <c r="BT746" s="3038"/>
      <c r="BU746" s="3038"/>
    </row>
    <row r="747" spans="3:73">
      <c r="C747" s="3038"/>
      <c r="D747" s="3038"/>
      <c r="E747" s="3038"/>
      <c r="H747" s="3038"/>
      <c r="I747" s="3038"/>
      <c r="J747" s="3038"/>
      <c r="K747" s="3038"/>
      <c r="M747" s="3038"/>
      <c r="N747" s="3038"/>
      <c r="O747" s="3038"/>
      <c r="P747" s="3038"/>
      <c r="Q747" s="3038"/>
      <c r="R747" s="3038"/>
      <c r="S747" s="3038"/>
      <c r="T747" s="3038"/>
      <c r="W747" s="3038"/>
      <c r="X747" s="3038"/>
      <c r="Y747" s="3038"/>
      <c r="Z747" s="3038"/>
      <c r="AA747" s="3113"/>
      <c r="AB747" s="3038"/>
      <c r="AC747" s="3038"/>
      <c r="AD747" s="3038"/>
      <c r="AE747" s="3132"/>
      <c r="AF747" s="3038"/>
      <c r="AG747" s="3038"/>
      <c r="AH747" s="3038"/>
      <c r="AK747" s="3038"/>
      <c r="AL747" s="3038"/>
      <c r="AM747" s="3038"/>
      <c r="AN747" s="3038"/>
      <c r="AO747" s="3038"/>
      <c r="AP747" s="3038"/>
      <c r="AQ747" s="3038"/>
      <c r="AR747" s="3038"/>
      <c r="AS747" s="3038"/>
      <c r="AT747" s="3038"/>
      <c r="AU747" s="3038"/>
      <c r="AV747" s="3038"/>
      <c r="AW747" s="3038"/>
      <c r="AX747" s="3038"/>
      <c r="AY747" s="3038"/>
      <c r="AZ747" s="3038"/>
      <c r="BA747" s="3038"/>
      <c r="BB747" s="3038"/>
      <c r="BC747" s="3038"/>
      <c r="BD747" s="3038"/>
      <c r="BE747" s="3038"/>
      <c r="BF747" s="3038"/>
      <c r="BG747" s="3038"/>
      <c r="BH747" s="3038"/>
      <c r="BI747" s="3038"/>
      <c r="BJ747" s="3038"/>
      <c r="BK747" s="3038"/>
      <c r="BL747" s="3038"/>
      <c r="BM747" s="3038"/>
      <c r="BN747" s="3038"/>
      <c r="BO747" s="3038"/>
      <c r="BP747" s="3038"/>
      <c r="BQ747" s="3038"/>
      <c r="BR747" s="3038"/>
      <c r="BS747" s="3038"/>
      <c r="BT747" s="3038"/>
      <c r="BU747" s="3038"/>
    </row>
    <row r="748" spans="3:73">
      <c r="C748" s="3038"/>
      <c r="D748" s="3038"/>
      <c r="E748" s="3038"/>
      <c r="H748" s="3038"/>
      <c r="I748" s="3038"/>
      <c r="J748" s="3038"/>
      <c r="K748" s="3038"/>
      <c r="M748" s="3038"/>
      <c r="N748" s="3038"/>
      <c r="O748" s="3038"/>
      <c r="P748" s="3038"/>
      <c r="Q748" s="3038"/>
      <c r="R748" s="3038"/>
      <c r="S748" s="3038"/>
      <c r="T748" s="3038"/>
      <c r="W748" s="3038"/>
      <c r="X748" s="3038"/>
      <c r="Y748" s="3038"/>
      <c r="Z748" s="3038"/>
      <c r="AA748" s="3113"/>
      <c r="AB748" s="3038"/>
      <c r="AC748" s="3038"/>
      <c r="AD748" s="3038"/>
      <c r="AE748" s="3132"/>
      <c r="AF748" s="3038"/>
      <c r="AG748" s="3038"/>
      <c r="AH748" s="3038"/>
      <c r="AK748" s="3038"/>
      <c r="AL748" s="3038"/>
      <c r="AM748" s="3038"/>
      <c r="AN748" s="3038"/>
      <c r="AO748" s="3038"/>
      <c r="AP748" s="3038"/>
      <c r="AQ748" s="3038"/>
      <c r="AR748" s="3038"/>
      <c r="AS748" s="3038"/>
      <c r="AT748" s="3038"/>
      <c r="AU748" s="3038"/>
      <c r="AV748" s="3038"/>
      <c r="AW748" s="3038"/>
      <c r="AX748" s="3038"/>
      <c r="AY748" s="3038"/>
      <c r="AZ748" s="3038"/>
      <c r="BA748" s="3038"/>
      <c r="BB748" s="3038"/>
      <c r="BC748" s="3038"/>
      <c r="BD748" s="3038"/>
      <c r="BE748" s="3038"/>
      <c r="BF748" s="3038"/>
      <c r="BG748" s="3038"/>
      <c r="BH748" s="3038"/>
      <c r="BI748" s="3038"/>
      <c r="BJ748" s="3038"/>
      <c r="BK748" s="3038"/>
      <c r="BL748" s="3038"/>
      <c r="BM748" s="3038"/>
      <c r="BN748" s="3038"/>
      <c r="BO748" s="3038"/>
      <c r="BP748" s="3038"/>
      <c r="BQ748" s="3038"/>
      <c r="BR748" s="3038"/>
      <c r="BS748" s="3038"/>
      <c r="BT748" s="3038"/>
      <c r="BU748" s="3038"/>
    </row>
    <row r="749" spans="3:73">
      <c r="C749" s="3038"/>
      <c r="D749" s="3038"/>
      <c r="E749" s="3038"/>
      <c r="H749" s="3038"/>
      <c r="I749" s="3038"/>
      <c r="J749" s="3038"/>
      <c r="K749" s="3038"/>
      <c r="M749" s="3038"/>
      <c r="N749" s="3038"/>
      <c r="O749" s="3038"/>
      <c r="P749" s="3038"/>
      <c r="Q749" s="3038"/>
      <c r="R749" s="3038"/>
      <c r="S749" s="3038"/>
      <c r="T749" s="3038"/>
      <c r="W749" s="3038"/>
      <c r="X749" s="3038"/>
      <c r="Y749" s="3038"/>
      <c r="Z749" s="3038"/>
      <c r="AA749" s="3113"/>
      <c r="AB749" s="3038"/>
      <c r="AC749" s="3038"/>
      <c r="AD749" s="3038"/>
      <c r="AE749" s="3132"/>
      <c r="AF749" s="3038"/>
      <c r="AG749" s="3038"/>
      <c r="AH749" s="3038"/>
      <c r="AK749" s="3038"/>
      <c r="AL749" s="3038"/>
      <c r="AM749" s="3038"/>
      <c r="AN749" s="3038"/>
      <c r="AO749" s="3038"/>
      <c r="AP749" s="3038"/>
      <c r="AQ749" s="3038"/>
      <c r="AR749" s="3038"/>
      <c r="AS749" s="3038"/>
      <c r="AT749" s="3038"/>
      <c r="AU749" s="3038"/>
      <c r="AV749" s="3038"/>
      <c r="AW749" s="3038"/>
      <c r="AX749" s="3038"/>
      <c r="AY749" s="3038"/>
      <c r="AZ749" s="3038"/>
      <c r="BA749" s="3038"/>
      <c r="BB749" s="3038"/>
      <c r="BC749" s="3038"/>
      <c r="BD749" s="3038"/>
      <c r="BE749" s="3038"/>
      <c r="BF749" s="3038"/>
      <c r="BG749" s="3038"/>
      <c r="BH749" s="3038"/>
      <c r="BI749" s="3038"/>
      <c r="BJ749" s="3038"/>
      <c r="BK749" s="3038"/>
      <c r="BL749" s="3038"/>
      <c r="BM749" s="3038"/>
      <c r="BN749" s="3038"/>
      <c r="BO749" s="3038"/>
      <c r="BP749" s="3038"/>
      <c r="BQ749" s="3038"/>
      <c r="BR749" s="3038"/>
      <c r="BS749" s="3038"/>
      <c r="BT749" s="3038"/>
      <c r="BU749" s="3038"/>
    </row>
    <row r="750" spans="3:73">
      <c r="C750" s="3038"/>
      <c r="D750" s="3038"/>
      <c r="E750" s="3038"/>
      <c r="H750" s="3038"/>
      <c r="I750" s="3038"/>
      <c r="J750" s="3038"/>
      <c r="K750" s="3038"/>
      <c r="M750" s="3038"/>
      <c r="N750" s="3038"/>
      <c r="O750" s="3038"/>
      <c r="P750" s="3038"/>
      <c r="Q750" s="3038"/>
      <c r="R750" s="3038"/>
      <c r="S750" s="3038"/>
      <c r="T750" s="3038"/>
      <c r="W750" s="3038"/>
      <c r="X750" s="3038"/>
      <c r="Y750" s="3038"/>
      <c r="Z750" s="3038"/>
      <c r="AA750" s="3113"/>
      <c r="AB750" s="3038"/>
      <c r="AC750" s="3038"/>
      <c r="AD750" s="3038"/>
      <c r="AE750" s="3132"/>
      <c r="AF750" s="3038"/>
      <c r="AG750" s="3038"/>
      <c r="AH750" s="3038"/>
      <c r="AK750" s="3038"/>
      <c r="AL750" s="3038"/>
      <c r="AM750" s="3038"/>
      <c r="AN750" s="3038"/>
      <c r="AO750" s="3038"/>
      <c r="AP750" s="3038"/>
      <c r="AQ750" s="3038"/>
      <c r="AR750" s="3038"/>
      <c r="AS750" s="3038"/>
      <c r="AT750" s="3038"/>
      <c r="AU750" s="3038"/>
      <c r="AV750" s="3038"/>
      <c r="AW750" s="3038"/>
      <c r="AX750" s="3038"/>
      <c r="AY750" s="3038"/>
      <c r="AZ750" s="3038"/>
      <c r="BA750" s="3038"/>
      <c r="BB750" s="3038"/>
      <c r="BC750" s="3038"/>
      <c r="BD750" s="3038"/>
      <c r="BE750" s="3038"/>
      <c r="BF750" s="3038"/>
      <c r="BG750" s="3038"/>
      <c r="BH750" s="3038"/>
      <c r="BI750" s="3038"/>
      <c r="BJ750" s="3038"/>
      <c r="BK750" s="3038"/>
      <c r="BL750" s="3038"/>
      <c r="BM750" s="3038"/>
      <c r="BN750" s="3038"/>
      <c r="BO750" s="3038"/>
      <c r="BP750" s="3038"/>
      <c r="BQ750" s="3038"/>
      <c r="BR750" s="3038"/>
      <c r="BS750" s="3038"/>
      <c r="BT750" s="3038"/>
      <c r="BU750" s="3038"/>
    </row>
    <row r="751" spans="3:73">
      <c r="C751" s="3038"/>
      <c r="D751" s="3038"/>
      <c r="E751" s="3038"/>
      <c r="H751" s="3038"/>
      <c r="I751" s="3038"/>
      <c r="J751" s="3038"/>
      <c r="K751" s="3038"/>
      <c r="M751" s="3038"/>
      <c r="N751" s="3038"/>
      <c r="O751" s="3038"/>
      <c r="P751" s="3038"/>
      <c r="Q751" s="3038"/>
      <c r="R751" s="3038"/>
      <c r="S751" s="3038"/>
      <c r="T751" s="3038"/>
      <c r="W751" s="3038"/>
      <c r="X751" s="3038"/>
      <c r="Y751" s="3038"/>
      <c r="Z751" s="3038"/>
      <c r="AA751" s="3113"/>
      <c r="AB751" s="3038"/>
      <c r="AC751" s="3038"/>
      <c r="AD751" s="3038"/>
      <c r="AE751" s="3132"/>
      <c r="AF751" s="3038"/>
      <c r="AG751" s="3038"/>
      <c r="AH751" s="3038"/>
      <c r="AK751" s="3038"/>
      <c r="AL751" s="3038"/>
      <c r="AM751" s="3038"/>
      <c r="AN751" s="3038"/>
      <c r="AO751" s="3038"/>
      <c r="AP751" s="3038"/>
      <c r="AQ751" s="3038"/>
      <c r="AR751" s="3038"/>
      <c r="AS751" s="3038"/>
      <c r="AT751" s="3038"/>
      <c r="AU751" s="3038"/>
      <c r="AV751" s="3038"/>
      <c r="AW751" s="3038"/>
      <c r="AX751" s="3038"/>
      <c r="AY751" s="3038"/>
      <c r="AZ751" s="3038"/>
      <c r="BA751" s="3038"/>
      <c r="BB751" s="3038"/>
      <c r="BC751" s="3038"/>
      <c r="BD751" s="3038"/>
      <c r="BE751" s="3038"/>
      <c r="BF751" s="3038"/>
      <c r="BG751" s="3038"/>
      <c r="BH751" s="3038"/>
      <c r="BI751" s="3038"/>
      <c r="BJ751" s="3038"/>
      <c r="BK751" s="3038"/>
      <c r="BL751" s="3038"/>
      <c r="BM751" s="3038"/>
      <c r="BN751" s="3038"/>
      <c r="BO751" s="3038"/>
      <c r="BP751" s="3038"/>
      <c r="BQ751" s="3038"/>
      <c r="BR751" s="3038"/>
      <c r="BS751" s="3038"/>
      <c r="BT751" s="3038"/>
      <c r="BU751" s="3038"/>
    </row>
    <row r="752" spans="3:73">
      <c r="C752" s="3038"/>
      <c r="D752" s="3038"/>
      <c r="E752" s="3038"/>
      <c r="H752" s="3038"/>
      <c r="I752" s="3038"/>
      <c r="J752" s="3038"/>
      <c r="K752" s="3038"/>
      <c r="M752" s="3038"/>
      <c r="N752" s="3038"/>
      <c r="O752" s="3038"/>
      <c r="P752" s="3038"/>
      <c r="Q752" s="3038"/>
      <c r="R752" s="3038"/>
      <c r="S752" s="3038"/>
      <c r="T752" s="3038"/>
      <c r="W752" s="3038"/>
      <c r="X752" s="3038"/>
      <c r="Y752" s="3038"/>
      <c r="Z752" s="3038"/>
      <c r="AA752" s="3113"/>
      <c r="AB752" s="3038"/>
      <c r="AC752" s="3038"/>
      <c r="AD752" s="3038"/>
      <c r="AE752" s="3132"/>
      <c r="AF752" s="3038"/>
      <c r="AG752" s="3038"/>
      <c r="AH752" s="3038"/>
      <c r="AK752" s="3038"/>
      <c r="AL752" s="3038"/>
      <c r="AM752" s="3038"/>
      <c r="AN752" s="3038"/>
      <c r="AO752" s="3038"/>
      <c r="AP752" s="3038"/>
      <c r="AQ752" s="3038"/>
      <c r="AR752" s="3038"/>
      <c r="AS752" s="3038"/>
      <c r="AT752" s="3038"/>
      <c r="AU752" s="3038"/>
      <c r="AV752" s="3038"/>
      <c r="AW752" s="3038"/>
      <c r="AX752" s="3038"/>
      <c r="AY752" s="3038"/>
      <c r="AZ752" s="3038"/>
      <c r="BA752" s="3038"/>
      <c r="BB752" s="3038"/>
      <c r="BC752" s="3038"/>
      <c r="BD752" s="3038"/>
      <c r="BE752" s="3038"/>
      <c r="BF752" s="3038"/>
      <c r="BG752" s="3038"/>
      <c r="BH752" s="3038"/>
      <c r="BI752" s="3038"/>
      <c r="BJ752" s="3038"/>
      <c r="BK752" s="3038"/>
      <c r="BL752" s="3038"/>
      <c r="BM752" s="3038"/>
      <c r="BN752" s="3038"/>
      <c r="BO752" s="3038"/>
      <c r="BP752" s="3038"/>
      <c r="BQ752" s="3038"/>
      <c r="BR752" s="3038"/>
      <c r="BS752" s="3038"/>
      <c r="BT752" s="3038"/>
      <c r="BU752" s="3038"/>
    </row>
    <row r="753" spans="3:73">
      <c r="C753" s="3038"/>
      <c r="D753" s="3038"/>
      <c r="E753" s="3038"/>
      <c r="H753" s="3038"/>
      <c r="I753" s="3038"/>
      <c r="J753" s="3038"/>
      <c r="K753" s="3038"/>
      <c r="M753" s="3038"/>
      <c r="N753" s="3038"/>
      <c r="O753" s="3038"/>
      <c r="P753" s="3038"/>
      <c r="Q753" s="3038"/>
      <c r="R753" s="3038"/>
      <c r="S753" s="3038"/>
      <c r="T753" s="3038"/>
      <c r="W753" s="3038"/>
      <c r="X753" s="3038"/>
      <c r="Y753" s="3038"/>
      <c r="Z753" s="3038"/>
      <c r="AA753" s="3113"/>
      <c r="AB753" s="3038"/>
      <c r="AC753" s="3038"/>
      <c r="AD753" s="3038"/>
      <c r="AE753" s="3132"/>
      <c r="AF753" s="3038"/>
      <c r="AG753" s="3038"/>
      <c r="AH753" s="3038"/>
      <c r="AK753" s="3038"/>
      <c r="AL753" s="3038"/>
      <c r="AM753" s="3038"/>
      <c r="AN753" s="3038"/>
      <c r="AO753" s="3038"/>
      <c r="AP753" s="3038"/>
      <c r="AQ753" s="3038"/>
      <c r="AR753" s="3038"/>
      <c r="AS753" s="3038"/>
      <c r="AT753" s="3038"/>
      <c r="AU753" s="3038"/>
      <c r="AV753" s="3038"/>
      <c r="AW753" s="3038"/>
      <c r="AX753" s="3038"/>
      <c r="AY753" s="3038"/>
      <c r="AZ753" s="3038"/>
      <c r="BA753" s="3038"/>
      <c r="BB753" s="3038"/>
      <c r="BC753" s="3038"/>
      <c r="BD753" s="3038"/>
      <c r="BE753" s="3038"/>
      <c r="BF753" s="3038"/>
      <c r="BG753" s="3038"/>
      <c r="BH753" s="3038"/>
      <c r="BI753" s="3038"/>
      <c r="BJ753" s="3038"/>
      <c r="BK753" s="3038"/>
      <c r="BL753" s="3038"/>
      <c r="BM753" s="3038"/>
      <c r="BN753" s="3038"/>
      <c r="BO753" s="3038"/>
      <c r="BP753" s="3038"/>
      <c r="BQ753" s="3038"/>
      <c r="BR753" s="3038"/>
      <c r="BS753" s="3038"/>
      <c r="BT753" s="3038"/>
      <c r="BU753" s="3038"/>
    </row>
    <row r="754" spans="3:73">
      <c r="C754" s="3038"/>
      <c r="D754" s="3038"/>
      <c r="E754" s="3038"/>
      <c r="H754" s="3038"/>
      <c r="I754" s="3038"/>
      <c r="J754" s="3038"/>
      <c r="K754" s="3038"/>
      <c r="M754" s="3038"/>
      <c r="N754" s="3038"/>
      <c r="O754" s="3038"/>
      <c r="P754" s="3038"/>
      <c r="Q754" s="3038"/>
      <c r="R754" s="3038"/>
      <c r="S754" s="3038"/>
      <c r="T754" s="3038"/>
      <c r="W754" s="3038"/>
      <c r="X754" s="3038"/>
      <c r="Y754" s="3038"/>
      <c r="Z754" s="3038"/>
      <c r="AA754" s="3113"/>
      <c r="AB754" s="3038"/>
      <c r="AC754" s="3038"/>
      <c r="AD754" s="3038"/>
      <c r="AE754" s="3132"/>
      <c r="AF754" s="3038"/>
      <c r="AG754" s="3038"/>
      <c r="AH754" s="3038"/>
      <c r="AK754" s="3038"/>
      <c r="AL754" s="3038"/>
      <c r="AM754" s="3038"/>
      <c r="AN754" s="3038"/>
      <c r="AO754" s="3038"/>
      <c r="AP754" s="3038"/>
      <c r="AQ754" s="3038"/>
      <c r="AR754" s="3038"/>
      <c r="AS754" s="3038"/>
      <c r="AT754" s="3038"/>
      <c r="AU754" s="3038"/>
      <c r="AV754" s="3038"/>
      <c r="AW754" s="3038"/>
      <c r="AX754" s="3038"/>
      <c r="AY754" s="3038"/>
      <c r="AZ754" s="3038"/>
      <c r="BA754" s="3038"/>
      <c r="BB754" s="3038"/>
      <c r="BC754" s="3038"/>
      <c r="BD754" s="3038"/>
      <c r="BE754" s="3038"/>
      <c r="BF754" s="3038"/>
      <c r="BG754" s="3038"/>
      <c r="BH754" s="3038"/>
      <c r="BI754" s="3038"/>
      <c r="BJ754" s="3038"/>
      <c r="BK754" s="3038"/>
      <c r="BL754" s="3038"/>
      <c r="BM754" s="3038"/>
      <c r="BN754" s="3038"/>
      <c r="BO754" s="3038"/>
      <c r="BP754" s="3038"/>
      <c r="BQ754" s="3038"/>
      <c r="BR754" s="3038"/>
      <c r="BS754" s="3038"/>
      <c r="BT754" s="3038"/>
      <c r="BU754" s="3038"/>
    </row>
    <row r="755" spans="3:73">
      <c r="C755" s="3038"/>
      <c r="D755" s="3038"/>
      <c r="E755" s="3038"/>
      <c r="H755" s="3038"/>
      <c r="I755" s="3038"/>
      <c r="J755" s="3038"/>
      <c r="K755" s="3038"/>
      <c r="M755" s="3038"/>
      <c r="N755" s="3038"/>
      <c r="O755" s="3038"/>
      <c r="P755" s="3038"/>
      <c r="Q755" s="3038"/>
      <c r="R755" s="3038"/>
      <c r="S755" s="3038"/>
      <c r="T755" s="3038"/>
      <c r="W755" s="3038"/>
      <c r="X755" s="3038"/>
      <c r="Y755" s="3038"/>
      <c r="Z755" s="3038"/>
      <c r="AA755" s="3113"/>
      <c r="AB755" s="3038"/>
      <c r="AC755" s="3038"/>
      <c r="AD755" s="3038"/>
      <c r="AE755" s="3132"/>
      <c r="AF755" s="3038"/>
      <c r="AG755" s="3038"/>
      <c r="AH755" s="3038"/>
      <c r="AK755" s="3038"/>
      <c r="AL755" s="3038"/>
      <c r="AM755" s="3038"/>
      <c r="AN755" s="3038"/>
      <c r="AO755" s="3038"/>
      <c r="AP755" s="3038"/>
      <c r="AQ755" s="3038"/>
      <c r="AR755" s="3038"/>
      <c r="AS755" s="3038"/>
      <c r="AT755" s="3038"/>
      <c r="AU755" s="3038"/>
      <c r="AV755" s="3038"/>
      <c r="AW755" s="3038"/>
      <c r="AX755" s="3038"/>
      <c r="AY755" s="3038"/>
      <c r="AZ755" s="3038"/>
      <c r="BA755" s="3038"/>
      <c r="BB755" s="3038"/>
      <c r="BC755" s="3038"/>
      <c r="BD755" s="3038"/>
      <c r="BE755" s="3038"/>
      <c r="BF755" s="3038"/>
      <c r="BG755" s="3038"/>
      <c r="BH755" s="3038"/>
      <c r="BI755" s="3038"/>
      <c r="BJ755" s="3038"/>
      <c r="BK755" s="3038"/>
      <c r="BL755" s="3038"/>
      <c r="BM755" s="3038"/>
      <c r="BN755" s="3038"/>
      <c r="BO755" s="3038"/>
      <c r="BP755" s="3038"/>
      <c r="BQ755" s="3038"/>
      <c r="BR755" s="3038"/>
      <c r="BS755" s="3038"/>
      <c r="BT755" s="3038"/>
      <c r="BU755" s="3038"/>
    </row>
    <row r="756" spans="3:73">
      <c r="C756" s="3038"/>
      <c r="D756" s="3038"/>
      <c r="E756" s="3038"/>
      <c r="H756" s="3038"/>
      <c r="I756" s="3038"/>
      <c r="J756" s="3038"/>
      <c r="K756" s="3038"/>
      <c r="M756" s="3038"/>
      <c r="N756" s="3038"/>
      <c r="O756" s="3038"/>
      <c r="P756" s="3038"/>
      <c r="Q756" s="3038"/>
      <c r="R756" s="3038"/>
      <c r="S756" s="3038"/>
      <c r="T756" s="3038"/>
      <c r="W756" s="3038"/>
      <c r="X756" s="3038"/>
      <c r="Y756" s="3038"/>
      <c r="Z756" s="3038"/>
      <c r="AA756" s="3113"/>
      <c r="AB756" s="3038"/>
      <c r="AC756" s="3038"/>
      <c r="AD756" s="3038"/>
      <c r="AE756" s="3132"/>
      <c r="AF756" s="3038"/>
      <c r="AG756" s="3038"/>
      <c r="AH756" s="3038"/>
      <c r="AK756" s="3038"/>
      <c r="AL756" s="3038"/>
      <c r="AM756" s="3038"/>
      <c r="AN756" s="3038"/>
      <c r="AO756" s="3038"/>
      <c r="AP756" s="3038"/>
      <c r="AQ756" s="3038"/>
      <c r="AR756" s="3038"/>
      <c r="AS756" s="3038"/>
      <c r="AT756" s="3038"/>
      <c r="AU756" s="3038"/>
      <c r="AV756" s="3038"/>
      <c r="AW756" s="3038"/>
      <c r="AX756" s="3038"/>
      <c r="AY756" s="3038"/>
      <c r="AZ756" s="3038"/>
      <c r="BA756" s="3038"/>
      <c r="BB756" s="3038"/>
      <c r="BC756" s="3038"/>
      <c r="BD756" s="3038"/>
      <c r="BE756" s="3038"/>
      <c r="BF756" s="3038"/>
      <c r="BG756" s="3038"/>
      <c r="BH756" s="3038"/>
      <c r="BI756" s="3038"/>
      <c r="BJ756" s="3038"/>
      <c r="BK756" s="3038"/>
      <c r="BL756" s="3038"/>
      <c r="BM756" s="3038"/>
      <c r="BN756" s="3038"/>
      <c r="BO756" s="3038"/>
      <c r="BP756" s="3038"/>
      <c r="BQ756" s="3038"/>
      <c r="BR756" s="3038"/>
      <c r="BS756" s="3038"/>
      <c r="BT756" s="3038"/>
      <c r="BU756" s="3038"/>
    </row>
    <row r="757" spans="3:73">
      <c r="C757" s="3038"/>
      <c r="D757" s="3038"/>
      <c r="E757" s="3038"/>
      <c r="H757" s="3038"/>
      <c r="I757" s="3038"/>
      <c r="J757" s="3038"/>
      <c r="K757" s="3038"/>
      <c r="M757" s="3038"/>
      <c r="N757" s="3038"/>
      <c r="O757" s="3038"/>
      <c r="P757" s="3038"/>
      <c r="Q757" s="3038"/>
      <c r="R757" s="3038"/>
      <c r="S757" s="3038"/>
      <c r="T757" s="3038"/>
      <c r="W757" s="3038"/>
      <c r="X757" s="3038"/>
      <c r="Y757" s="3038"/>
      <c r="Z757" s="3038"/>
      <c r="AA757" s="3113"/>
      <c r="AB757" s="3038"/>
      <c r="AC757" s="3038"/>
      <c r="AD757" s="3038"/>
      <c r="AE757" s="3132"/>
      <c r="AF757" s="3038"/>
      <c r="AG757" s="3038"/>
      <c r="AH757" s="3038"/>
      <c r="AK757" s="3038"/>
      <c r="AL757" s="3038"/>
      <c r="AM757" s="3038"/>
      <c r="AN757" s="3038"/>
      <c r="AO757" s="3038"/>
      <c r="AP757" s="3038"/>
      <c r="AQ757" s="3038"/>
      <c r="AR757" s="3038"/>
      <c r="AS757" s="3038"/>
      <c r="AT757" s="3038"/>
      <c r="AU757" s="3038"/>
      <c r="AV757" s="3038"/>
      <c r="AW757" s="3038"/>
      <c r="AX757" s="3038"/>
      <c r="AY757" s="3038"/>
      <c r="AZ757" s="3038"/>
      <c r="BA757" s="3038"/>
      <c r="BB757" s="3038"/>
      <c r="BC757" s="3038"/>
      <c r="BD757" s="3038"/>
      <c r="BE757" s="3038"/>
      <c r="BF757" s="3038"/>
      <c r="BG757" s="3038"/>
      <c r="BH757" s="3038"/>
      <c r="BI757" s="3038"/>
      <c r="BJ757" s="3038"/>
      <c r="BK757" s="3038"/>
      <c r="BL757" s="3038"/>
      <c r="BM757" s="3038"/>
      <c r="BN757" s="3038"/>
      <c r="BO757" s="3038"/>
      <c r="BP757" s="3038"/>
      <c r="BQ757" s="3038"/>
      <c r="BR757" s="3038"/>
      <c r="BS757" s="3038"/>
      <c r="BT757" s="3038"/>
      <c r="BU757" s="3038"/>
    </row>
    <row r="758" spans="3:73">
      <c r="C758" s="3038"/>
      <c r="D758" s="3038"/>
      <c r="E758" s="3038"/>
      <c r="H758" s="3038"/>
      <c r="I758" s="3038"/>
      <c r="J758" s="3038"/>
      <c r="K758" s="3038"/>
      <c r="M758" s="3038"/>
      <c r="N758" s="3038"/>
      <c r="O758" s="3038"/>
      <c r="P758" s="3038"/>
      <c r="Q758" s="3038"/>
      <c r="R758" s="3038"/>
      <c r="S758" s="3038"/>
      <c r="T758" s="3038"/>
      <c r="W758" s="3038"/>
      <c r="X758" s="3038"/>
      <c r="Y758" s="3038"/>
      <c r="Z758" s="3038"/>
      <c r="AA758" s="3113"/>
      <c r="AB758" s="3038"/>
      <c r="AC758" s="3038"/>
      <c r="AD758" s="3038"/>
      <c r="AE758" s="3132"/>
      <c r="AF758" s="3038"/>
      <c r="AG758" s="3038"/>
      <c r="AH758" s="3038"/>
      <c r="AK758" s="3038"/>
      <c r="AL758" s="3038"/>
      <c r="AM758" s="3038"/>
      <c r="AN758" s="3038"/>
      <c r="AO758" s="3038"/>
      <c r="AP758" s="3038"/>
      <c r="AQ758" s="3038"/>
      <c r="AR758" s="3038"/>
      <c r="AS758" s="3038"/>
      <c r="AT758" s="3038"/>
      <c r="AU758" s="3038"/>
      <c r="AV758" s="3038"/>
      <c r="AW758" s="3038"/>
      <c r="AX758" s="3038"/>
      <c r="AY758" s="3038"/>
      <c r="AZ758" s="3038"/>
      <c r="BA758" s="3038"/>
      <c r="BB758" s="3038"/>
      <c r="BC758" s="3038"/>
      <c r="BD758" s="3038"/>
      <c r="BE758" s="3038"/>
      <c r="BF758" s="3038"/>
      <c r="BG758" s="3038"/>
      <c r="BH758" s="3038"/>
      <c r="BI758" s="3038"/>
      <c r="BJ758" s="3038"/>
      <c r="BK758" s="3038"/>
      <c r="BL758" s="3038"/>
      <c r="BM758" s="3038"/>
      <c r="BN758" s="3038"/>
      <c r="BO758" s="3038"/>
      <c r="BP758" s="3038"/>
      <c r="BQ758" s="3038"/>
      <c r="BR758" s="3038"/>
      <c r="BS758" s="3038"/>
      <c r="BT758" s="3038"/>
      <c r="BU758" s="3038"/>
    </row>
    <row r="759" spans="3:73">
      <c r="C759" s="3038"/>
      <c r="D759" s="3038"/>
      <c r="E759" s="3038"/>
      <c r="H759" s="3038"/>
      <c r="I759" s="3038"/>
      <c r="J759" s="3038"/>
      <c r="K759" s="3038"/>
      <c r="M759" s="3038"/>
      <c r="N759" s="3038"/>
      <c r="O759" s="3038"/>
      <c r="P759" s="3038"/>
      <c r="Q759" s="3038"/>
      <c r="R759" s="3038"/>
      <c r="S759" s="3038"/>
      <c r="T759" s="3038"/>
      <c r="W759" s="3038"/>
      <c r="X759" s="3038"/>
      <c r="Y759" s="3038"/>
      <c r="Z759" s="3038"/>
      <c r="AA759" s="3113"/>
      <c r="AB759" s="3038"/>
      <c r="AC759" s="3038"/>
      <c r="AD759" s="3038"/>
      <c r="AE759" s="3132"/>
      <c r="AF759" s="3038"/>
      <c r="AG759" s="3038"/>
      <c r="AH759" s="3038"/>
      <c r="AK759" s="3038"/>
      <c r="AL759" s="3038"/>
      <c r="AM759" s="3038"/>
      <c r="AN759" s="3038"/>
      <c r="AO759" s="3038"/>
      <c r="AP759" s="3038"/>
      <c r="AQ759" s="3038"/>
      <c r="AR759" s="3038"/>
      <c r="AS759" s="3038"/>
      <c r="AT759" s="3038"/>
      <c r="AU759" s="3038"/>
      <c r="AV759" s="3038"/>
      <c r="AW759" s="3038"/>
      <c r="AX759" s="3038"/>
      <c r="AY759" s="3038"/>
      <c r="AZ759" s="3038"/>
      <c r="BA759" s="3038"/>
      <c r="BB759" s="3038"/>
      <c r="BC759" s="3038"/>
      <c r="BD759" s="3038"/>
      <c r="BE759" s="3038"/>
      <c r="BF759" s="3038"/>
      <c r="BG759" s="3038"/>
      <c r="BH759" s="3038"/>
      <c r="BI759" s="3038"/>
      <c r="BJ759" s="3038"/>
      <c r="BK759" s="3038"/>
      <c r="BL759" s="3038"/>
      <c r="BM759" s="3038"/>
      <c r="BN759" s="3038"/>
      <c r="BO759" s="3038"/>
      <c r="BP759" s="3038"/>
      <c r="BQ759" s="3038"/>
      <c r="BR759" s="3038"/>
      <c r="BS759" s="3038"/>
      <c r="BT759" s="3038"/>
      <c r="BU759" s="3038"/>
    </row>
    <row r="760" spans="3:73">
      <c r="C760" s="3038"/>
      <c r="D760" s="3038"/>
      <c r="E760" s="3038"/>
      <c r="H760" s="3038"/>
      <c r="I760" s="3038"/>
      <c r="J760" s="3038"/>
      <c r="K760" s="3038"/>
      <c r="M760" s="3038"/>
      <c r="N760" s="3038"/>
      <c r="O760" s="3038"/>
      <c r="P760" s="3038"/>
      <c r="Q760" s="3038"/>
      <c r="R760" s="3038"/>
      <c r="S760" s="3038"/>
      <c r="T760" s="3038"/>
      <c r="W760" s="3038"/>
      <c r="X760" s="3038"/>
      <c r="Y760" s="3038"/>
      <c r="Z760" s="3038"/>
      <c r="AA760" s="3113"/>
      <c r="AB760" s="3038"/>
      <c r="AC760" s="3038"/>
      <c r="AD760" s="3038"/>
      <c r="AE760" s="3132"/>
      <c r="AF760" s="3038"/>
      <c r="AG760" s="3038"/>
      <c r="AH760" s="3038"/>
      <c r="AK760" s="3038"/>
      <c r="AL760" s="3038"/>
      <c r="AM760" s="3038"/>
      <c r="AN760" s="3038"/>
      <c r="AO760" s="3038"/>
      <c r="AP760" s="3038"/>
      <c r="AQ760" s="3038"/>
      <c r="AR760" s="3038"/>
      <c r="AS760" s="3038"/>
      <c r="AT760" s="3038"/>
      <c r="AU760" s="3038"/>
      <c r="AV760" s="3038"/>
      <c r="AW760" s="3038"/>
      <c r="AX760" s="3038"/>
      <c r="AY760" s="3038"/>
      <c r="AZ760" s="3038"/>
      <c r="BA760" s="3038"/>
      <c r="BB760" s="3038"/>
      <c r="BC760" s="3038"/>
      <c r="BD760" s="3038"/>
      <c r="BE760" s="3038"/>
      <c r="BF760" s="3038"/>
      <c r="BG760" s="3038"/>
      <c r="BH760" s="3038"/>
      <c r="BI760" s="3038"/>
      <c r="BJ760" s="3038"/>
      <c r="BK760" s="3038"/>
      <c r="BL760" s="3038"/>
      <c r="BM760" s="3038"/>
      <c r="BN760" s="3038"/>
      <c r="BO760" s="3038"/>
      <c r="BP760" s="3038"/>
      <c r="BQ760" s="3038"/>
      <c r="BR760" s="3038"/>
      <c r="BS760" s="3038"/>
      <c r="BT760" s="3038"/>
      <c r="BU760" s="3038"/>
    </row>
    <row r="761" spans="3:73">
      <c r="C761" s="3038"/>
      <c r="D761" s="3038"/>
      <c r="E761" s="3038"/>
      <c r="H761" s="3038"/>
      <c r="I761" s="3038"/>
      <c r="J761" s="3038"/>
      <c r="K761" s="3038"/>
      <c r="M761" s="3038"/>
      <c r="N761" s="3038"/>
      <c r="O761" s="3038"/>
      <c r="P761" s="3038"/>
      <c r="Q761" s="3038"/>
      <c r="R761" s="3038"/>
      <c r="S761" s="3038"/>
      <c r="T761" s="3038"/>
      <c r="W761" s="3038"/>
      <c r="X761" s="3038"/>
      <c r="Y761" s="3038"/>
      <c r="Z761" s="3038"/>
      <c r="AA761" s="3113"/>
      <c r="AB761" s="3038"/>
      <c r="AC761" s="3038"/>
      <c r="AD761" s="3038"/>
      <c r="AE761" s="3132"/>
      <c r="AF761" s="3038"/>
      <c r="AG761" s="3038"/>
      <c r="AH761" s="3038"/>
      <c r="AK761" s="3038"/>
      <c r="AL761" s="3038"/>
      <c r="AM761" s="3038"/>
      <c r="AN761" s="3038"/>
      <c r="AO761" s="3038"/>
      <c r="AP761" s="3038"/>
      <c r="AQ761" s="3038"/>
      <c r="AR761" s="3038"/>
      <c r="AS761" s="3038"/>
      <c r="AT761" s="3038"/>
      <c r="AU761" s="3038"/>
      <c r="AV761" s="3038"/>
      <c r="AW761" s="3038"/>
      <c r="AX761" s="3038"/>
      <c r="AY761" s="3038"/>
      <c r="AZ761" s="3038"/>
      <c r="BA761" s="3038"/>
      <c r="BB761" s="3038"/>
      <c r="BC761" s="3038"/>
      <c r="BD761" s="3038"/>
      <c r="BE761" s="3038"/>
      <c r="BF761" s="3038"/>
      <c r="BG761" s="3038"/>
      <c r="BH761" s="3038"/>
      <c r="BI761" s="3038"/>
      <c r="BJ761" s="3038"/>
      <c r="BK761" s="3038"/>
      <c r="BL761" s="3038"/>
      <c r="BM761" s="3038"/>
      <c r="BN761" s="3038"/>
      <c r="BO761" s="3038"/>
      <c r="BP761" s="3038"/>
      <c r="BQ761" s="3038"/>
      <c r="BR761" s="3038"/>
      <c r="BS761" s="3038"/>
      <c r="BT761" s="3038"/>
      <c r="BU761" s="3038"/>
    </row>
    <row r="762" spans="3:73">
      <c r="C762" s="3038"/>
      <c r="D762" s="3038"/>
      <c r="E762" s="3038"/>
      <c r="H762" s="3038"/>
      <c r="I762" s="3038"/>
      <c r="J762" s="3038"/>
      <c r="K762" s="3038"/>
      <c r="M762" s="3038"/>
      <c r="N762" s="3038"/>
      <c r="O762" s="3038"/>
      <c r="P762" s="3038"/>
      <c r="Q762" s="3038"/>
      <c r="R762" s="3038"/>
      <c r="S762" s="3038"/>
      <c r="T762" s="3038"/>
      <c r="W762" s="3038"/>
      <c r="X762" s="3038"/>
      <c r="Y762" s="3038"/>
      <c r="Z762" s="3038"/>
      <c r="AA762" s="3113"/>
      <c r="AB762" s="3038"/>
      <c r="AC762" s="3038"/>
      <c r="AD762" s="3038"/>
      <c r="AE762" s="3132"/>
      <c r="AF762" s="3038"/>
      <c r="AG762" s="3038"/>
      <c r="AH762" s="3038"/>
      <c r="AK762" s="3038"/>
      <c r="AL762" s="3038"/>
      <c r="AM762" s="3038"/>
      <c r="AN762" s="3038"/>
      <c r="AO762" s="3038"/>
      <c r="AP762" s="3038"/>
      <c r="AQ762" s="3038"/>
      <c r="AR762" s="3038"/>
      <c r="AS762" s="3038"/>
      <c r="AT762" s="3038"/>
      <c r="AU762" s="3038"/>
      <c r="AV762" s="3038"/>
      <c r="AW762" s="3038"/>
      <c r="AX762" s="3038"/>
      <c r="AY762" s="3038"/>
      <c r="AZ762" s="3038"/>
      <c r="BA762" s="3038"/>
      <c r="BB762" s="3038"/>
      <c r="BC762" s="3038"/>
      <c r="BD762" s="3038"/>
      <c r="BE762" s="3038"/>
      <c r="BF762" s="3038"/>
      <c r="BG762" s="3038"/>
      <c r="BH762" s="3038"/>
      <c r="BI762" s="3038"/>
      <c r="BJ762" s="3038"/>
      <c r="BK762" s="3038"/>
      <c r="BL762" s="3038"/>
      <c r="BM762" s="3038"/>
      <c r="BN762" s="3038"/>
      <c r="BO762" s="3038"/>
      <c r="BP762" s="3038"/>
      <c r="BQ762" s="3038"/>
      <c r="BR762" s="3038"/>
      <c r="BS762" s="3038"/>
      <c r="BT762" s="3038"/>
      <c r="BU762" s="3038"/>
    </row>
    <row r="763" spans="3:73">
      <c r="C763" s="3038"/>
      <c r="D763" s="3038"/>
      <c r="E763" s="3038"/>
      <c r="H763" s="3038"/>
      <c r="I763" s="3038"/>
      <c r="J763" s="3038"/>
      <c r="K763" s="3038"/>
      <c r="M763" s="3038"/>
      <c r="N763" s="3038"/>
      <c r="O763" s="3038"/>
      <c r="P763" s="3038"/>
      <c r="Q763" s="3038"/>
      <c r="R763" s="3038"/>
      <c r="S763" s="3038"/>
      <c r="T763" s="3038"/>
      <c r="W763" s="3038"/>
      <c r="X763" s="3038"/>
      <c r="Y763" s="3038"/>
      <c r="Z763" s="3038"/>
      <c r="AA763" s="3113"/>
      <c r="AB763" s="3038"/>
      <c r="AC763" s="3038"/>
      <c r="AD763" s="3038"/>
      <c r="AE763" s="3132"/>
      <c r="AF763" s="3038"/>
      <c r="AG763" s="3038"/>
      <c r="AH763" s="3038"/>
      <c r="AK763" s="3038"/>
      <c r="AL763" s="3038"/>
      <c r="AM763" s="3038"/>
      <c r="AN763" s="3038"/>
      <c r="AO763" s="3038"/>
      <c r="AP763" s="3038"/>
      <c r="AQ763" s="3038"/>
      <c r="AR763" s="3038"/>
      <c r="AS763" s="3038"/>
      <c r="AT763" s="3038"/>
      <c r="AU763" s="3038"/>
      <c r="AV763" s="3038"/>
      <c r="AW763" s="3038"/>
      <c r="AX763" s="3038"/>
      <c r="AY763" s="3038"/>
      <c r="AZ763" s="3038"/>
      <c r="BA763" s="3038"/>
      <c r="BB763" s="3038"/>
      <c r="BC763" s="3038"/>
      <c r="BD763" s="3038"/>
      <c r="BE763" s="3038"/>
      <c r="BF763" s="3038"/>
      <c r="BG763" s="3038"/>
      <c r="BH763" s="3038"/>
      <c r="BI763" s="3038"/>
      <c r="BJ763" s="3038"/>
      <c r="BK763" s="3038"/>
      <c r="BL763" s="3038"/>
      <c r="BM763" s="3038"/>
      <c r="BN763" s="3038"/>
      <c r="BO763" s="3038"/>
      <c r="BP763" s="3038"/>
      <c r="BQ763" s="3038"/>
      <c r="BR763" s="3038"/>
      <c r="BS763" s="3038"/>
      <c r="BT763" s="3038"/>
      <c r="BU763" s="3038"/>
    </row>
    <row r="764" spans="3:73">
      <c r="C764" s="3038"/>
      <c r="D764" s="3038"/>
      <c r="E764" s="3038"/>
      <c r="H764" s="3038"/>
      <c r="I764" s="3038"/>
      <c r="J764" s="3038"/>
      <c r="K764" s="3038"/>
      <c r="M764" s="3038"/>
      <c r="N764" s="3038"/>
      <c r="O764" s="3038"/>
      <c r="P764" s="3038"/>
      <c r="Q764" s="3038"/>
      <c r="R764" s="3038"/>
      <c r="S764" s="3038"/>
      <c r="T764" s="3038"/>
      <c r="W764" s="3038"/>
      <c r="X764" s="3038"/>
      <c r="Y764" s="3038"/>
      <c r="Z764" s="3038"/>
      <c r="AA764" s="3113"/>
      <c r="AB764" s="3038"/>
      <c r="AC764" s="3038"/>
      <c r="AD764" s="3038"/>
      <c r="AE764" s="3132"/>
      <c r="AF764" s="3038"/>
      <c r="AG764" s="3038"/>
      <c r="AH764" s="3038"/>
      <c r="AK764" s="3038"/>
      <c r="AL764" s="3038"/>
      <c r="AM764" s="3038"/>
      <c r="AN764" s="3038"/>
      <c r="AO764" s="3038"/>
      <c r="AP764" s="3038"/>
      <c r="AQ764" s="3038"/>
      <c r="AR764" s="3038"/>
      <c r="AS764" s="3038"/>
      <c r="AT764" s="3038"/>
      <c r="AU764" s="3038"/>
      <c r="AV764" s="3038"/>
      <c r="AW764" s="3038"/>
      <c r="AX764" s="3038"/>
      <c r="AY764" s="3038"/>
      <c r="AZ764" s="3038"/>
      <c r="BA764" s="3038"/>
      <c r="BB764" s="3038"/>
      <c r="BC764" s="3038"/>
      <c r="BD764" s="3038"/>
      <c r="BE764" s="3038"/>
      <c r="BF764" s="3038"/>
      <c r="BG764" s="3038"/>
      <c r="BH764" s="3038"/>
      <c r="BI764" s="3038"/>
      <c r="BJ764" s="3038"/>
      <c r="BK764" s="3038"/>
      <c r="BL764" s="3038"/>
      <c r="BM764" s="3038"/>
      <c r="BN764" s="3038"/>
      <c r="BO764" s="3038"/>
      <c r="BP764" s="3038"/>
      <c r="BQ764" s="3038"/>
      <c r="BR764" s="3038"/>
      <c r="BS764" s="3038"/>
      <c r="BT764" s="3038"/>
      <c r="BU764" s="3038"/>
    </row>
    <row r="765" spans="3:73">
      <c r="C765" s="3038"/>
      <c r="D765" s="3038"/>
      <c r="E765" s="3038"/>
      <c r="H765" s="3038"/>
      <c r="I765" s="3038"/>
      <c r="J765" s="3038"/>
      <c r="K765" s="3038"/>
      <c r="M765" s="3038"/>
      <c r="N765" s="3038"/>
      <c r="O765" s="3038"/>
      <c r="P765" s="3038"/>
      <c r="Q765" s="3038"/>
      <c r="R765" s="3038"/>
      <c r="S765" s="3038"/>
      <c r="T765" s="3038"/>
      <c r="W765" s="3038"/>
      <c r="X765" s="3038"/>
      <c r="Y765" s="3038"/>
      <c r="Z765" s="3038"/>
      <c r="AA765" s="3113"/>
      <c r="AB765" s="3038"/>
      <c r="AC765" s="3038"/>
      <c r="AD765" s="3038"/>
      <c r="AE765" s="3132"/>
      <c r="AF765" s="3038"/>
      <c r="AG765" s="3038"/>
      <c r="AH765" s="3038"/>
      <c r="AK765" s="3038"/>
      <c r="AL765" s="3038"/>
      <c r="AM765" s="3038"/>
      <c r="AN765" s="3038"/>
      <c r="AO765" s="3038"/>
      <c r="AP765" s="3038"/>
      <c r="AQ765" s="3038"/>
      <c r="AR765" s="3038"/>
      <c r="AS765" s="3038"/>
      <c r="AT765" s="3038"/>
      <c r="AU765" s="3038"/>
      <c r="AV765" s="3038"/>
      <c r="AW765" s="3038"/>
      <c r="AX765" s="3038"/>
      <c r="AY765" s="3038"/>
      <c r="AZ765" s="3038"/>
      <c r="BA765" s="3038"/>
      <c r="BB765" s="3038"/>
      <c r="BC765" s="3038"/>
      <c r="BD765" s="3038"/>
      <c r="BE765" s="3038"/>
      <c r="BF765" s="3038"/>
      <c r="BG765" s="3038"/>
      <c r="BH765" s="3038"/>
      <c r="BI765" s="3038"/>
      <c r="BJ765" s="3038"/>
      <c r="BK765" s="3038"/>
      <c r="BL765" s="3038"/>
      <c r="BM765" s="3038"/>
      <c r="BN765" s="3038"/>
      <c r="BO765" s="3038"/>
      <c r="BP765" s="3038"/>
      <c r="BQ765" s="3038"/>
      <c r="BR765" s="3038"/>
      <c r="BS765" s="3038"/>
      <c r="BT765" s="3038"/>
      <c r="BU765" s="3038"/>
    </row>
    <row r="766" spans="3:73">
      <c r="C766" s="3038"/>
      <c r="D766" s="3038"/>
      <c r="E766" s="3038"/>
      <c r="H766" s="3038"/>
      <c r="I766" s="3038"/>
      <c r="J766" s="3038"/>
      <c r="K766" s="3038"/>
      <c r="M766" s="3038"/>
      <c r="N766" s="3038"/>
      <c r="O766" s="3038"/>
      <c r="P766" s="3038"/>
      <c r="Q766" s="3038"/>
      <c r="R766" s="3038"/>
      <c r="S766" s="3038"/>
      <c r="T766" s="3038"/>
      <c r="W766" s="3038"/>
      <c r="X766" s="3038"/>
      <c r="Y766" s="3038"/>
      <c r="Z766" s="3038"/>
      <c r="AA766" s="3113"/>
      <c r="AB766" s="3038"/>
      <c r="AC766" s="3038"/>
      <c r="AD766" s="3038"/>
      <c r="AE766" s="3132"/>
      <c r="AF766" s="3038"/>
      <c r="AG766" s="3038"/>
      <c r="AH766" s="3038"/>
      <c r="AK766" s="3038"/>
      <c r="AL766" s="3038"/>
      <c r="AM766" s="3038"/>
      <c r="AN766" s="3038"/>
      <c r="AO766" s="3038"/>
      <c r="AP766" s="3038"/>
      <c r="AQ766" s="3038"/>
      <c r="AR766" s="3038"/>
      <c r="AS766" s="3038"/>
      <c r="AT766" s="3038"/>
      <c r="AU766" s="3038"/>
      <c r="AV766" s="3038"/>
      <c r="AW766" s="3038"/>
      <c r="AX766" s="3038"/>
      <c r="AY766" s="3038"/>
      <c r="AZ766" s="3038"/>
      <c r="BA766" s="3038"/>
      <c r="BB766" s="3038"/>
      <c r="BC766" s="3038"/>
      <c r="BD766" s="3038"/>
      <c r="BE766" s="3038"/>
      <c r="BF766" s="3038"/>
      <c r="BG766" s="3038"/>
      <c r="BH766" s="3038"/>
      <c r="BI766" s="3038"/>
      <c r="BJ766" s="3038"/>
      <c r="BK766" s="3038"/>
      <c r="BL766" s="3038"/>
      <c r="BM766" s="3038"/>
      <c r="BN766" s="3038"/>
      <c r="BO766" s="3038"/>
      <c r="BP766" s="3038"/>
      <c r="BQ766" s="3038"/>
      <c r="BR766" s="3038"/>
      <c r="BS766" s="3038"/>
      <c r="BT766" s="3038"/>
      <c r="BU766" s="3038"/>
    </row>
    <row r="767" spans="3:73">
      <c r="C767" s="3038"/>
      <c r="D767" s="3038"/>
      <c r="E767" s="3038"/>
      <c r="H767" s="3038"/>
      <c r="I767" s="3038"/>
      <c r="J767" s="3038"/>
      <c r="K767" s="3038"/>
      <c r="M767" s="3038"/>
      <c r="N767" s="3038"/>
      <c r="O767" s="3038"/>
      <c r="P767" s="3038"/>
      <c r="Q767" s="3038"/>
      <c r="R767" s="3038"/>
      <c r="S767" s="3038"/>
      <c r="T767" s="3038"/>
      <c r="W767" s="3038"/>
      <c r="X767" s="3038"/>
      <c r="Y767" s="3038"/>
      <c r="Z767" s="3038"/>
      <c r="AA767" s="3113"/>
      <c r="AB767" s="3038"/>
      <c r="AC767" s="3038"/>
      <c r="AD767" s="3038"/>
      <c r="AE767" s="3132"/>
      <c r="AF767" s="3038"/>
      <c r="AG767" s="3038"/>
      <c r="AH767" s="3038"/>
      <c r="AK767" s="3038"/>
      <c r="AL767" s="3038"/>
      <c r="AM767" s="3038"/>
      <c r="AN767" s="3038"/>
      <c r="AO767" s="3038"/>
      <c r="AP767" s="3038"/>
      <c r="AQ767" s="3038"/>
      <c r="AR767" s="3038"/>
      <c r="AS767" s="3038"/>
      <c r="AT767" s="3038"/>
      <c r="AU767" s="3038"/>
      <c r="AV767" s="3038"/>
      <c r="AW767" s="3038"/>
      <c r="AX767" s="3038"/>
      <c r="AY767" s="3038"/>
      <c r="AZ767" s="3038"/>
      <c r="BA767" s="3038"/>
      <c r="BB767" s="3038"/>
      <c r="BC767" s="3038"/>
      <c r="BD767" s="3038"/>
      <c r="BE767" s="3038"/>
      <c r="BF767" s="3038"/>
      <c r="BG767" s="3038"/>
      <c r="BH767" s="3038"/>
      <c r="BI767" s="3038"/>
      <c r="BJ767" s="3038"/>
      <c r="BK767" s="3038"/>
      <c r="BL767" s="3038"/>
      <c r="BM767" s="3038"/>
      <c r="BN767" s="3038"/>
      <c r="BO767" s="3038"/>
      <c r="BP767" s="3038"/>
      <c r="BQ767" s="3038"/>
      <c r="BR767" s="3038"/>
      <c r="BS767" s="3038"/>
      <c r="BT767" s="3038"/>
      <c r="BU767" s="3038"/>
    </row>
    <row r="768" spans="3:73">
      <c r="C768" s="3038"/>
      <c r="D768" s="3038"/>
      <c r="E768" s="3038"/>
      <c r="H768" s="3038"/>
      <c r="I768" s="3038"/>
      <c r="J768" s="3038"/>
      <c r="K768" s="3038"/>
      <c r="M768" s="3038"/>
      <c r="N768" s="3038"/>
      <c r="O768" s="3038"/>
      <c r="P768" s="3038"/>
      <c r="Q768" s="3038"/>
      <c r="R768" s="3038"/>
      <c r="S768" s="3038"/>
      <c r="T768" s="3038"/>
      <c r="W768" s="3038"/>
      <c r="X768" s="3038"/>
      <c r="Y768" s="3038"/>
      <c r="Z768" s="3038"/>
      <c r="AA768" s="3113"/>
      <c r="AB768" s="3038"/>
      <c r="AC768" s="3038"/>
      <c r="AD768" s="3038"/>
      <c r="AE768" s="3132"/>
      <c r="AF768" s="3038"/>
      <c r="AG768" s="3038"/>
      <c r="AH768" s="3038"/>
      <c r="AK768" s="3038"/>
      <c r="AL768" s="3038"/>
      <c r="AM768" s="3038"/>
      <c r="AN768" s="3038"/>
      <c r="AO768" s="3038"/>
      <c r="AP768" s="3038"/>
      <c r="AQ768" s="3038"/>
      <c r="AR768" s="3038"/>
      <c r="AS768" s="3038"/>
      <c r="AT768" s="3038"/>
      <c r="AU768" s="3038"/>
      <c r="AV768" s="3038"/>
      <c r="AW768" s="3038"/>
      <c r="AX768" s="3038"/>
      <c r="AY768" s="3038"/>
      <c r="AZ768" s="3038"/>
      <c r="BA768" s="3038"/>
      <c r="BB768" s="3038"/>
      <c r="BC768" s="3038"/>
      <c r="BD768" s="3038"/>
      <c r="BE768" s="3038"/>
      <c r="BF768" s="3038"/>
      <c r="BG768" s="3038"/>
      <c r="BH768" s="3038"/>
      <c r="BI768" s="3038"/>
      <c r="BJ768" s="3038"/>
      <c r="BK768" s="3038"/>
      <c r="BL768" s="3038"/>
      <c r="BM768" s="3038"/>
      <c r="BN768" s="3038"/>
      <c r="BO768" s="3038"/>
      <c r="BP768" s="3038"/>
      <c r="BQ768" s="3038"/>
      <c r="BR768" s="3038"/>
      <c r="BS768" s="3038"/>
      <c r="BT768" s="3038"/>
      <c r="BU768" s="3038"/>
    </row>
    <row r="769" spans="3:73">
      <c r="C769" s="3038"/>
      <c r="D769" s="3038"/>
      <c r="E769" s="3038"/>
      <c r="H769" s="3038"/>
      <c r="I769" s="3038"/>
      <c r="J769" s="3038"/>
      <c r="K769" s="3038"/>
      <c r="M769" s="3038"/>
      <c r="N769" s="3038"/>
      <c r="O769" s="3038"/>
      <c r="P769" s="3038"/>
      <c r="Q769" s="3038"/>
      <c r="R769" s="3038"/>
      <c r="S769" s="3038"/>
      <c r="T769" s="3038"/>
      <c r="W769" s="3038"/>
      <c r="X769" s="3038"/>
      <c r="Y769" s="3038"/>
      <c r="Z769" s="3038"/>
      <c r="AA769" s="3113"/>
      <c r="AB769" s="3038"/>
      <c r="AC769" s="3038"/>
      <c r="AD769" s="3038"/>
      <c r="AE769" s="3132"/>
      <c r="AF769" s="3038"/>
      <c r="AG769" s="3038"/>
      <c r="AH769" s="3038"/>
      <c r="AK769" s="3038"/>
      <c r="AL769" s="3038"/>
      <c r="AM769" s="3038"/>
      <c r="AN769" s="3038"/>
      <c r="AO769" s="3038"/>
      <c r="AP769" s="3038"/>
      <c r="AQ769" s="3038"/>
      <c r="AR769" s="3038"/>
      <c r="AS769" s="3038"/>
      <c r="AT769" s="3038"/>
      <c r="AU769" s="3038"/>
      <c r="AV769" s="3038"/>
      <c r="AW769" s="3038"/>
      <c r="AX769" s="3038"/>
      <c r="AY769" s="3038"/>
      <c r="AZ769" s="3038"/>
      <c r="BA769" s="3038"/>
      <c r="BB769" s="3038"/>
      <c r="BC769" s="3038"/>
      <c r="BD769" s="3038"/>
      <c r="BE769" s="3038"/>
      <c r="BF769" s="3038"/>
      <c r="BG769" s="3038"/>
      <c r="BH769" s="3038"/>
      <c r="BI769" s="3038"/>
      <c r="BJ769" s="3038"/>
      <c r="BK769" s="3038"/>
      <c r="BL769" s="3038"/>
      <c r="BM769" s="3038"/>
      <c r="BN769" s="3038"/>
      <c r="BO769" s="3038"/>
      <c r="BP769" s="3038"/>
      <c r="BQ769" s="3038"/>
      <c r="BR769" s="3038"/>
      <c r="BS769" s="3038"/>
      <c r="BT769" s="3038"/>
      <c r="BU769" s="3038"/>
    </row>
    <row r="770" spans="3:73">
      <c r="C770" s="3038"/>
      <c r="D770" s="3038"/>
      <c r="E770" s="3038"/>
      <c r="H770" s="3038"/>
      <c r="I770" s="3038"/>
      <c r="J770" s="3038"/>
      <c r="K770" s="3038"/>
      <c r="M770" s="3038"/>
      <c r="N770" s="3038"/>
      <c r="O770" s="3038"/>
      <c r="P770" s="3038"/>
      <c r="Q770" s="3038"/>
      <c r="R770" s="3038"/>
      <c r="S770" s="3038"/>
      <c r="T770" s="3038"/>
      <c r="W770" s="3038"/>
      <c r="X770" s="3038"/>
      <c r="Y770" s="3038"/>
      <c r="Z770" s="3038"/>
      <c r="AA770" s="3113"/>
      <c r="AB770" s="3038"/>
      <c r="AC770" s="3038"/>
      <c r="AD770" s="3038"/>
      <c r="AE770" s="3132"/>
      <c r="AF770" s="3038"/>
      <c r="AG770" s="3038"/>
      <c r="AH770" s="3038"/>
      <c r="AK770" s="3038"/>
      <c r="AL770" s="3038"/>
      <c r="AM770" s="3038"/>
      <c r="AN770" s="3038"/>
      <c r="AO770" s="3038"/>
      <c r="AP770" s="3038"/>
      <c r="AQ770" s="3038"/>
      <c r="AR770" s="3038"/>
      <c r="AS770" s="3038"/>
      <c r="AT770" s="3038"/>
      <c r="AU770" s="3038"/>
      <c r="AV770" s="3038"/>
      <c r="AW770" s="3038"/>
      <c r="AX770" s="3038"/>
      <c r="AY770" s="3038"/>
      <c r="AZ770" s="3038"/>
      <c r="BA770" s="3038"/>
      <c r="BB770" s="3038"/>
      <c r="BC770" s="3038"/>
      <c r="BD770" s="3038"/>
      <c r="BE770" s="3038"/>
      <c r="BF770" s="3038"/>
      <c r="BG770" s="3038"/>
      <c r="BH770" s="3038"/>
      <c r="BI770" s="3038"/>
      <c r="BJ770" s="3038"/>
      <c r="BK770" s="3038"/>
      <c r="BL770" s="3038"/>
      <c r="BM770" s="3038"/>
      <c r="BN770" s="3038"/>
      <c r="BO770" s="3038"/>
      <c r="BP770" s="3038"/>
      <c r="BQ770" s="3038"/>
      <c r="BR770" s="3038"/>
      <c r="BS770" s="3038"/>
      <c r="BT770" s="3038"/>
      <c r="BU770" s="3038"/>
    </row>
    <row r="771" spans="3:73">
      <c r="C771" s="3038"/>
      <c r="D771" s="3038"/>
      <c r="E771" s="3038"/>
      <c r="H771" s="3038"/>
      <c r="I771" s="3038"/>
      <c r="J771" s="3038"/>
      <c r="K771" s="3038"/>
      <c r="M771" s="3038"/>
      <c r="N771" s="3038"/>
      <c r="O771" s="3038"/>
      <c r="P771" s="3038"/>
      <c r="Q771" s="3038"/>
      <c r="R771" s="3038"/>
      <c r="S771" s="3038"/>
      <c r="T771" s="3038"/>
      <c r="W771" s="3038"/>
      <c r="X771" s="3038"/>
      <c r="Y771" s="3038"/>
      <c r="Z771" s="3038"/>
      <c r="AA771" s="3113"/>
      <c r="AB771" s="3038"/>
      <c r="AC771" s="3038"/>
      <c r="AD771" s="3038"/>
      <c r="AE771" s="3132"/>
      <c r="AF771" s="3038"/>
      <c r="AG771" s="3038"/>
      <c r="AH771" s="3038"/>
      <c r="AK771" s="3038"/>
      <c r="AL771" s="3038"/>
      <c r="AM771" s="3038"/>
      <c r="AN771" s="3038"/>
      <c r="AO771" s="3038"/>
      <c r="AP771" s="3038"/>
      <c r="AQ771" s="3038"/>
      <c r="AR771" s="3038"/>
      <c r="AS771" s="3038"/>
      <c r="AT771" s="3038"/>
      <c r="AU771" s="3038"/>
      <c r="AV771" s="3038"/>
      <c r="AW771" s="3038"/>
      <c r="AX771" s="3038"/>
      <c r="AY771" s="3038"/>
      <c r="AZ771" s="3038"/>
      <c r="BA771" s="3038"/>
      <c r="BB771" s="3038"/>
      <c r="BC771" s="3038"/>
      <c r="BD771" s="3038"/>
      <c r="BE771" s="3038"/>
      <c r="BF771" s="3038"/>
      <c r="BG771" s="3038"/>
      <c r="BH771" s="3038"/>
      <c r="BI771" s="3038"/>
      <c r="BJ771" s="3038"/>
      <c r="BK771" s="3038"/>
      <c r="BL771" s="3038"/>
      <c r="BM771" s="3038"/>
      <c r="BN771" s="3038"/>
      <c r="BO771" s="3038"/>
      <c r="BP771" s="3038"/>
      <c r="BQ771" s="3038"/>
      <c r="BR771" s="3038"/>
      <c r="BS771" s="3038"/>
      <c r="BT771" s="3038"/>
      <c r="BU771" s="3038"/>
    </row>
    <row r="772" spans="3:73">
      <c r="C772" s="3038"/>
      <c r="D772" s="3038"/>
      <c r="E772" s="3038"/>
      <c r="H772" s="3038"/>
      <c r="I772" s="3038"/>
      <c r="J772" s="3038"/>
      <c r="K772" s="3038"/>
      <c r="M772" s="3038"/>
      <c r="N772" s="3038"/>
      <c r="O772" s="3038"/>
      <c r="P772" s="3038"/>
      <c r="Q772" s="3038"/>
      <c r="R772" s="3038"/>
      <c r="S772" s="3038"/>
      <c r="T772" s="3038"/>
      <c r="W772" s="3038"/>
      <c r="X772" s="3038"/>
      <c r="Y772" s="3038"/>
      <c r="Z772" s="3038"/>
      <c r="AA772" s="3113"/>
      <c r="AB772" s="3038"/>
      <c r="AC772" s="3038"/>
      <c r="AD772" s="3038"/>
      <c r="AE772" s="3132"/>
      <c r="AF772" s="3038"/>
      <c r="AG772" s="3038"/>
      <c r="AH772" s="3038"/>
      <c r="AK772" s="3038"/>
      <c r="AL772" s="3038"/>
      <c r="AM772" s="3038"/>
      <c r="AN772" s="3038"/>
      <c r="AO772" s="3038"/>
      <c r="AP772" s="3038"/>
      <c r="AQ772" s="3038"/>
      <c r="AR772" s="3038"/>
      <c r="AS772" s="3038"/>
      <c r="AT772" s="3038"/>
      <c r="AU772" s="3038"/>
      <c r="AV772" s="3038"/>
      <c r="AW772" s="3038"/>
      <c r="AX772" s="3038"/>
      <c r="AY772" s="3038"/>
      <c r="AZ772" s="3038"/>
      <c r="BA772" s="3038"/>
      <c r="BB772" s="3038"/>
      <c r="BC772" s="3038"/>
      <c r="BD772" s="3038"/>
      <c r="BE772" s="3038"/>
      <c r="BF772" s="3038"/>
      <c r="BG772" s="3038"/>
      <c r="BH772" s="3038"/>
      <c r="BI772" s="3038"/>
      <c r="BJ772" s="3038"/>
      <c r="BK772" s="3038"/>
      <c r="BL772" s="3038"/>
      <c r="BM772" s="3038"/>
      <c r="BN772" s="3038"/>
      <c r="BO772" s="3038"/>
      <c r="BP772" s="3038"/>
      <c r="BQ772" s="3038"/>
      <c r="BR772" s="3038"/>
      <c r="BS772" s="3038"/>
      <c r="BT772" s="3038"/>
      <c r="BU772" s="3038"/>
    </row>
    <row r="773" spans="3:73">
      <c r="C773" s="3038"/>
      <c r="D773" s="3038"/>
      <c r="E773" s="3038"/>
      <c r="H773" s="3038"/>
      <c r="I773" s="3038"/>
      <c r="J773" s="3038"/>
      <c r="K773" s="3038"/>
      <c r="M773" s="3038"/>
      <c r="N773" s="3038"/>
      <c r="O773" s="3038"/>
      <c r="P773" s="3038"/>
      <c r="Q773" s="3038"/>
      <c r="R773" s="3038"/>
      <c r="S773" s="3038"/>
      <c r="T773" s="3038"/>
      <c r="W773" s="3038"/>
      <c r="X773" s="3038"/>
      <c r="Y773" s="3038"/>
      <c r="Z773" s="3038"/>
      <c r="AA773" s="3113"/>
      <c r="AB773" s="3038"/>
      <c r="AC773" s="3038"/>
      <c r="AD773" s="3038"/>
      <c r="AE773" s="3132"/>
      <c r="AF773" s="3038"/>
      <c r="AG773" s="3038"/>
      <c r="AH773" s="3038"/>
      <c r="AK773" s="3038"/>
      <c r="AL773" s="3038"/>
      <c r="AM773" s="3038"/>
      <c r="AN773" s="3038"/>
      <c r="AO773" s="3038"/>
      <c r="AP773" s="3038"/>
      <c r="AQ773" s="3038"/>
      <c r="AR773" s="3038"/>
      <c r="AS773" s="3038"/>
      <c r="AT773" s="3038"/>
      <c r="AU773" s="3038"/>
      <c r="AV773" s="3038"/>
      <c r="AW773" s="3038"/>
      <c r="AX773" s="3038"/>
      <c r="AY773" s="3038"/>
      <c r="AZ773" s="3038"/>
      <c r="BA773" s="3038"/>
      <c r="BB773" s="3038"/>
      <c r="BC773" s="3038"/>
      <c r="BD773" s="3038"/>
      <c r="BE773" s="3038"/>
      <c r="BF773" s="3038"/>
      <c r="BG773" s="3038"/>
      <c r="BH773" s="3038"/>
      <c r="BI773" s="3038"/>
      <c r="BJ773" s="3038"/>
      <c r="BK773" s="3038"/>
      <c r="BL773" s="3038"/>
      <c r="BM773" s="3038"/>
      <c r="BN773" s="3038"/>
      <c r="BO773" s="3038"/>
      <c r="BP773" s="3038"/>
      <c r="BQ773" s="3038"/>
      <c r="BR773" s="3038"/>
      <c r="BS773" s="3038"/>
      <c r="BT773" s="3038"/>
      <c r="BU773" s="3038"/>
    </row>
    <row r="774" spans="3:73">
      <c r="C774" s="3038"/>
      <c r="D774" s="3038"/>
      <c r="E774" s="3038"/>
      <c r="H774" s="3038"/>
      <c r="I774" s="3038"/>
      <c r="J774" s="3038"/>
      <c r="K774" s="3038"/>
      <c r="M774" s="3038"/>
      <c r="N774" s="3038"/>
      <c r="O774" s="3038"/>
      <c r="P774" s="3038"/>
      <c r="Q774" s="3038"/>
      <c r="R774" s="3038"/>
      <c r="S774" s="3038"/>
      <c r="T774" s="3038"/>
      <c r="W774" s="3038"/>
      <c r="X774" s="3038"/>
      <c r="Y774" s="3038"/>
      <c r="Z774" s="3038"/>
      <c r="AA774" s="3113"/>
      <c r="AB774" s="3038"/>
      <c r="AC774" s="3038"/>
      <c r="AD774" s="3038"/>
      <c r="AE774" s="3132"/>
      <c r="AF774" s="3038"/>
      <c r="AG774" s="3038"/>
      <c r="AH774" s="3038"/>
      <c r="AK774" s="3038"/>
      <c r="AL774" s="3038"/>
      <c r="AM774" s="3038"/>
      <c r="AN774" s="3038"/>
      <c r="AO774" s="3038"/>
      <c r="AP774" s="3038"/>
      <c r="AQ774" s="3038"/>
      <c r="AR774" s="3038"/>
      <c r="AS774" s="3038"/>
      <c r="AT774" s="3038"/>
      <c r="AU774" s="3038"/>
      <c r="AV774" s="3038"/>
      <c r="AW774" s="3038"/>
      <c r="AX774" s="3038"/>
      <c r="AY774" s="3038"/>
      <c r="AZ774" s="3038"/>
      <c r="BA774" s="3038"/>
      <c r="BB774" s="3038"/>
      <c r="BC774" s="3038"/>
      <c r="BD774" s="3038"/>
      <c r="BE774" s="3038"/>
      <c r="BF774" s="3038"/>
      <c r="BG774" s="3038"/>
      <c r="BH774" s="3038"/>
      <c r="BI774" s="3038"/>
      <c r="BJ774" s="3038"/>
      <c r="BK774" s="3038"/>
      <c r="BL774" s="3038"/>
      <c r="BM774" s="3038"/>
      <c r="BN774" s="3038"/>
      <c r="BO774" s="3038"/>
      <c r="BP774" s="3038"/>
      <c r="BQ774" s="3038"/>
      <c r="BR774" s="3038"/>
      <c r="BS774" s="3038"/>
      <c r="BT774" s="3038"/>
      <c r="BU774" s="3038"/>
    </row>
    <row r="775" spans="3:73">
      <c r="C775" s="3038"/>
      <c r="D775" s="3038"/>
      <c r="E775" s="3038"/>
      <c r="H775" s="3038"/>
      <c r="I775" s="3038"/>
      <c r="J775" s="3038"/>
      <c r="K775" s="3038"/>
      <c r="M775" s="3038"/>
      <c r="N775" s="3038"/>
      <c r="O775" s="3038"/>
      <c r="P775" s="3038"/>
      <c r="Q775" s="3038"/>
      <c r="R775" s="3038"/>
      <c r="S775" s="3038"/>
      <c r="T775" s="3038"/>
      <c r="W775" s="3038"/>
      <c r="X775" s="3038"/>
      <c r="Y775" s="3038"/>
      <c r="Z775" s="3038"/>
      <c r="AA775" s="3113"/>
      <c r="AB775" s="3038"/>
      <c r="AC775" s="3038"/>
      <c r="AD775" s="3038"/>
      <c r="AE775" s="3132"/>
      <c r="AF775" s="3038"/>
      <c r="AG775" s="3038"/>
      <c r="AH775" s="3038"/>
      <c r="AK775" s="3038"/>
      <c r="AL775" s="3038"/>
      <c r="AM775" s="3038"/>
      <c r="AN775" s="3038"/>
      <c r="AO775" s="3038"/>
      <c r="AP775" s="3038"/>
      <c r="AQ775" s="3038"/>
      <c r="AR775" s="3038"/>
      <c r="AS775" s="3038"/>
      <c r="AT775" s="3038"/>
      <c r="AU775" s="3038"/>
      <c r="AV775" s="3038"/>
      <c r="AW775" s="3038"/>
      <c r="AX775" s="3038"/>
      <c r="AY775" s="3038"/>
      <c r="AZ775" s="3038"/>
      <c r="BA775" s="3038"/>
      <c r="BB775" s="3038"/>
      <c r="BC775" s="3038"/>
      <c r="BD775" s="3038"/>
      <c r="BE775" s="3038"/>
      <c r="BF775" s="3038"/>
      <c r="BG775" s="3038"/>
      <c r="BH775" s="3038"/>
      <c r="BI775" s="3038"/>
      <c r="BJ775" s="3038"/>
      <c r="BK775" s="3038"/>
      <c r="BL775" s="3038"/>
      <c r="BM775" s="3038"/>
      <c r="BN775" s="3038"/>
      <c r="BO775" s="3038"/>
      <c r="BP775" s="3038"/>
      <c r="BQ775" s="3038"/>
      <c r="BR775" s="3038"/>
      <c r="BS775" s="3038"/>
      <c r="BT775" s="3038"/>
      <c r="BU775" s="3038"/>
    </row>
    <row r="776" spans="3:73">
      <c r="C776" s="3038"/>
      <c r="D776" s="3038"/>
      <c r="E776" s="3038"/>
      <c r="H776" s="3038"/>
      <c r="I776" s="3038"/>
      <c r="J776" s="3038"/>
      <c r="K776" s="3038"/>
      <c r="M776" s="3038"/>
      <c r="N776" s="3038"/>
      <c r="O776" s="3038"/>
      <c r="P776" s="3038"/>
      <c r="Q776" s="3038"/>
      <c r="R776" s="3038"/>
      <c r="S776" s="3038"/>
      <c r="T776" s="3038"/>
      <c r="W776" s="3038"/>
      <c r="X776" s="3038"/>
      <c r="Y776" s="3038"/>
      <c r="Z776" s="3038"/>
      <c r="AA776" s="3113"/>
      <c r="AB776" s="3038"/>
      <c r="AC776" s="3038"/>
      <c r="AD776" s="3038"/>
      <c r="AE776" s="3132"/>
      <c r="AF776" s="3038"/>
      <c r="AG776" s="3038"/>
      <c r="AH776" s="3038"/>
      <c r="AK776" s="3038"/>
      <c r="AL776" s="3038"/>
      <c r="AM776" s="3038"/>
      <c r="AN776" s="3038"/>
      <c r="AO776" s="3038"/>
      <c r="AP776" s="3038"/>
      <c r="AQ776" s="3038"/>
      <c r="AR776" s="3038"/>
      <c r="AS776" s="3038"/>
      <c r="AT776" s="3038"/>
      <c r="AU776" s="3038"/>
      <c r="AV776" s="3038"/>
      <c r="AW776" s="3038"/>
      <c r="AX776" s="3038"/>
      <c r="AY776" s="3038"/>
      <c r="AZ776" s="3038"/>
      <c r="BA776" s="3038"/>
      <c r="BB776" s="3038"/>
      <c r="BC776" s="3038"/>
      <c r="BD776" s="3038"/>
      <c r="BE776" s="3038"/>
      <c r="BF776" s="3038"/>
      <c r="BG776" s="3038"/>
      <c r="BH776" s="3038"/>
      <c r="BI776" s="3038"/>
      <c r="BJ776" s="3038"/>
      <c r="BK776" s="3038"/>
      <c r="BL776" s="3038"/>
      <c r="BM776" s="3038"/>
      <c r="BN776" s="3038"/>
      <c r="BO776" s="3038"/>
      <c r="BP776" s="3038"/>
      <c r="BQ776" s="3038"/>
      <c r="BR776" s="3038"/>
      <c r="BS776" s="3038"/>
      <c r="BT776" s="3038"/>
      <c r="BU776" s="3038"/>
    </row>
    <row r="777" spans="3:73">
      <c r="C777" s="3038"/>
      <c r="D777" s="3038"/>
      <c r="E777" s="3038"/>
      <c r="H777" s="3038"/>
      <c r="I777" s="3038"/>
      <c r="J777" s="3038"/>
      <c r="K777" s="3038"/>
      <c r="M777" s="3038"/>
      <c r="N777" s="3038"/>
      <c r="O777" s="3038"/>
      <c r="P777" s="3038"/>
      <c r="Q777" s="3038"/>
      <c r="R777" s="3038"/>
      <c r="S777" s="3038"/>
      <c r="T777" s="3038"/>
      <c r="W777" s="3038"/>
      <c r="X777" s="3038"/>
      <c r="Y777" s="3038"/>
      <c r="Z777" s="3038"/>
      <c r="AA777" s="3113"/>
      <c r="AB777" s="3038"/>
      <c r="AC777" s="3038"/>
      <c r="AD777" s="3038"/>
      <c r="AE777" s="3132"/>
      <c r="AF777" s="3038"/>
      <c r="AG777" s="3038"/>
      <c r="AH777" s="3038"/>
      <c r="AK777" s="3038"/>
      <c r="AL777" s="3038"/>
      <c r="AM777" s="3038"/>
      <c r="AN777" s="3038"/>
      <c r="AO777" s="3038"/>
      <c r="AP777" s="3038"/>
      <c r="AQ777" s="3038"/>
      <c r="AR777" s="3038"/>
      <c r="AS777" s="3038"/>
      <c r="AT777" s="3038"/>
      <c r="AU777" s="3038"/>
      <c r="AV777" s="3038"/>
      <c r="AW777" s="3038"/>
      <c r="AX777" s="3038"/>
      <c r="AY777" s="3038"/>
      <c r="AZ777" s="3038"/>
      <c r="BA777" s="3038"/>
      <c r="BB777" s="3038"/>
      <c r="BC777" s="3038"/>
      <c r="BD777" s="3038"/>
      <c r="BE777" s="3038"/>
      <c r="BF777" s="3038"/>
      <c r="BG777" s="3038"/>
      <c r="BH777" s="3038"/>
      <c r="BI777" s="3038"/>
      <c r="BJ777" s="3038"/>
      <c r="BK777" s="3038"/>
      <c r="BL777" s="3038"/>
      <c r="BM777" s="3038"/>
      <c r="BN777" s="3038"/>
      <c r="BO777" s="3038"/>
      <c r="BP777" s="3038"/>
      <c r="BQ777" s="3038"/>
      <c r="BR777" s="3038"/>
      <c r="BS777" s="3038"/>
      <c r="BT777" s="3038"/>
      <c r="BU777" s="3038"/>
    </row>
    <row r="778" spans="3:73">
      <c r="C778" s="3038"/>
      <c r="D778" s="3038"/>
      <c r="E778" s="3038"/>
      <c r="H778" s="3038"/>
      <c r="I778" s="3038"/>
      <c r="J778" s="3038"/>
      <c r="K778" s="3038"/>
      <c r="M778" s="3038"/>
      <c r="N778" s="3038"/>
      <c r="O778" s="3038"/>
      <c r="P778" s="3038"/>
      <c r="Q778" s="3038"/>
      <c r="R778" s="3038"/>
      <c r="S778" s="3038"/>
      <c r="T778" s="3038"/>
      <c r="W778" s="3038"/>
      <c r="X778" s="3038"/>
      <c r="Y778" s="3038"/>
      <c r="Z778" s="3038"/>
      <c r="AA778" s="3113"/>
      <c r="AB778" s="3038"/>
      <c r="AC778" s="3038"/>
      <c r="AD778" s="3038"/>
      <c r="AE778" s="3132"/>
      <c r="AF778" s="3038"/>
      <c r="AG778" s="3038"/>
      <c r="AH778" s="3038"/>
      <c r="AK778" s="3038"/>
      <c r="AL778" s="3038"/>
      <c r="AM778" s="3038"/>
      <c r="AN778" s="3038"/>
      <c r="AO778" s="3038"/>
      <c r="AP778" s="3038"/>
      <c r="AQ778" s="3038"/>
      <c r="AR778" s="3038"/>
      <c r="AS778" s="3038"/>
      <c r="AT778" s="3038"/>
      <c r="AU778" s="3038"/>
      <c r="AV778" s="3038"/>
      <c r="AW778" s="3038"/>
      <c r="AX778" s="3038"/>
      <c r="AY778" s="3038"/>
      <c r="AZ778" s="3038"/>
      <c r="BA778" s="3038"/>
      <c r="BB778" s="3038"/>
      <c r="BC778" s="3038"/>
      <c r="BD778" s="3038"/>
      <c r="BE778" s="3038"/>
      <c r="BF778" s="3038"/>
      <c r="BG778" s="3038"/>
      <c r="BH778" s="3038"/>
      <c r="BI778" s="3038"/>
      <c r="BJ778" s="3038"/>
      <c r="BK778" s="3038"/>
      <c r="BL778" s="3038"/>
      <c r="BM778" s="3038"/>
      <c r="BN778" s="3038"/>
      <c r="BO778" s="3038"/>
      <c r="BP778" s="3038"/>
      <c r="BQ778" s="3038"/>
      <c r="BR778" s="3038"/>
      <c r="BS778" s="3038"/>
      <c r="BT778" s="3038"/>
      <c r="BU778" s="3038"/>
    </row>
    <row r="779" spans="3:73">
      <c r="C779" s="3038"/>
      <c r="D779" s="3038"/>
      <c r="E779" s="3038"/>
      <c r="H779" s="3038"/>
      <c r="I779" s="3038"/>
      <c r="J779" s="3038"/>
      <c r="K779" s="3038"/>
      <c r="M779" s="3038"/>
      <c r="N779" s="3038"/>
      <c r="O779" s="3038"/>
      <c r="P779" s="3038"/>
      <c r="Q779" s="3038"/>
      <c r="R779" s="3038"/>
      <c r="S779" s="3038"/>
      <c r="T779" s="3038"/>
      <c r="W779" s="3038"/>
      <c r="X779" s="3038"/>
      <c r="Y779" s="3038"/>
      <c r="Z779" s="3038"/>
      <c r="AA779" s="3113"/>
      <c r="AB779" s="3038"/>
      <c r="AC779" s="3038"/>
      <c r="AD779" s="3038"/>
      <c r="AE779" s="3132"/>
      <c r="AF779" s="3038"/>
      <c r="AG779" s="3038"/>
      <c r="AH779" s="3038"/>
      <c r="AK779" s="3038"/>
      <c r="AL779" s="3038"/>
      <c r="AM779" s="3038"/>
      <c r="AN779" s="3038"/>
      <c r="AO779" s="3038"/>
      <c r="AP779" s="3038"/>
      <c r="AQ779" s="3038"/>
      <c r="AR779" s="3038"/>
      <c r="AS779" s="3038"/>
      <c r="AT779" s="3038"/>
      <c r="AU779" s="3038"/>
      <c r="AV779" s="3038"/>
      <c r="AW779" s="3038"/>
      <c r="AX779" s="3038"/>
      <c r="AY779" s="3038"/>
      <c r="AZ779" s="3038"/>
      <c r="BA779" s="3038"/>
      <c r="BB779" s="3038"/>
      <c r="BC779" s="3038"/>
      <c r="BD779" s="3038"/>
      <c r="BE779" s="3038"/>
      <c r="BF779" s="3038"/>
      <c r="BG779" s="3038"/>
      <c r="BH779" s="3038"/>
      <c r="BI779" s="3038"/>
      <c r="BJ779" s="3038"/>
      <c r="BK779" s="3038"/>
      <c r="BL779" s="3038"/>
      <c r="BM779" s="3038"/>
      <c r="BN779" s="3038"/>
      <c r="BO779" s="3038"/>
      <c r="BP779" s="3038"/>
      <c r="BQ779" s="3038"/>
      <c r="BR779" s="3038"/>
      <c r="BS779" s="3038"/>
      <c r="BT779" s="3038"/>
      <c r="BU779" s="3038"/>
    </row>
    <row r="780" spans="3:73">
      <c r="C780" s="3038"/>
      <c r="D780" s="3038"/>
      <c r="E780" s="3038"/>
      <c r="H780" s="3038"/>
      <c r="I780" s="3038"/>
      <c r="J780" s="3038"/>
      <c r="K780" s="3038"/>
      <c r="M780" s="3038"/>
      <c r="N780" s="3038"/>
      <c r="O780" s="3038"/>
      <c r="P780" s="3038"/>
      <c r="Q780" s="3038"/>
      <c r="R780" s="3038"/>
      <c r="S780" s="3038"/>
      <c r="T780" s="3038"/>
      <c r="W780" s="3038"/>
      <c r="X780" s="3038"/>
      <c r="Y780" s="3038"/>
      <c r="Z780" s="3038"/>
      <c r="AA780" s="3113"/>
      <c r="AB780" s="3038"/>
      <c r="AC780" s="3038"/>
      <c r="AD780" s="3038"/>
      <c r="AE780" s="3132"/>
      <c r="AF780" s="3038"/>
      <c r="AG780" s="3038"/>
      <c r="AH780" s="3038"/>
      <c r="AK780" s="3038"/>
      <c r="AL780" s="3038"/>
      <c r="AM780" s="3038"/>
      <c r="AN780" s="3038"/>
      <c r="AO780" s="3038"/>
      <c r="AP780" s="3038"/>
      <c r="AQ780" s="3038"/>
      <c r="AR780" s="3038"/>
      <c r="AS780" s="3038"/>
      <c r="AT780" s="3038"/>
      <c r="AU780" s="3038"/>
      <c r="AV780" s="3038"/>
      <c r="AW780" s="3038"/>
      <c r="AX780" s="3038"/>
      <c r="AY780" s="3038"/>
      <c r="AZ780" s="3038"/>
      <c r="BA780" s="3038"/>
      <c r="BB780" s="3038"/>
      <c r="BC780" s="3038"/>
      <c r="BD780" s="3038"/>
      <c r="BE780" s="3038"/>
      <c r="BF780" s="3038"/>
      <c r="BG780" s="3038"/>
      <c r="BH780" s="3038"/>
      <c r="BI780" s="3038"/>
      <c r="BJ780" s="3038"/>
      <c r="BK780" s="3038"/>
      <c r="BL780" s="3038"/>
      <c r="BM780" s="3038"/>
      <c r="BN780" s="3038"/>
      <c r="BO780" s="3038"/>
      <c r="BP780" s="3038"/>
      <c r="BQ780" s="3038"/>
      <c r="BR780" s="3038"/>
      <c r="BS780" s="3038"/>
      <c r="BT780" s="3038"/>
      <c r="BU780" s="3038"/>
    </row>
    <row r="781" spans="3:73">
      <c r="C781" s="3038"/>
      <c r="D781" s="3038"/>
      <c r="E781" s="3038"/>
      <c r="H781" s="3038"/>
      <c r="I781" s="3038"/>
      <c r="J781" s="3038"/>
      <c r="K781" s="3038"/>
      <c r="M781" s="3038"/>
      <c r="N781" s="3038"/>
      <c r="O781" s="3038"/>
      <c r="P781" s="3038"/>
      <c r="Q781" s="3038"/>
      <c r="R781" s="3038"/>
      <c r="S781" s="3038"/>
      <c r="T781" s="3038"/>
      <c r="W781" s="3038"/>
      <c r="X781" s="3038"/>
      <c r="Y781" s="3038"/>
      <c r="Z781" s="3038"/>
      <c r="AA781" s="3113"/>
      <c r="AB781" s="3038"/>
      <c r="AC781" s="3038"/>
      <c r="AD781" s="3038"/>
      <c r="AE781" s="3132"/>
      <c r="AF781" s="3038"/>
      <c r="AG781" s="3038"/>
      <c r="AH781" s="3038"/>
      <c r="AK781" s="3038"/>
      <c r="AL781" s="3038"/>
      <c r="AM781" s="3038"/>
      <c r="AN781" s="3038"/>
      <c r="AO781" s="3038"/>
      <c r="AP781" s="3038"/>
      <c r="AQ781" s="3038"/>
      <c r="AR781" s="3038"/>
      <c r="AS781" s="3038"/>
      <c r="AT781" s="3038"/>
      <c r="AU781" s="3038"/>
      <c r="AV781" s="3038"/>
      <c r="AW781" s="3038"/>
      <c r="AX781" s="3038"/>
      <c r="AY781" s="3038"/>
      <c r="AZ781" s="3038"/>
      <c r="BA781" s="3038"/>
      <c r="BB781" s="3038"/>
      <c r="BC781" s="3038"/>
      <c r="BD781" s="3038"/>
      <c r="BE781" s="3038"/>
      <c r="BF781" s="3038"/>
      <c r="BG781" s="3038"/>
      <c r="BH781" s="3038"/>
      <c r="BI781" s="3038"/>
      <c r="BJ781" s="3038"/>
      <c r="BK781" s="3038"/>
      <c r="BL781" s="3038"/>
      <c r="BM781" s="3038"/>
      <c r="BN781" s="3038"/>
      <c r="BO781" s="3038"/>
      <c r="BP781" s="3038"/>
      <c r="BQ781" s="3038"/>
      <c r="BR781" s="3038"/>
      <c r="BS781" s="3038"/>
      <c r="BT781" s="3038"/>
      <c r="BU781" s="3038"/>
    </row>
    <row r="782" spans="3:73">
      <c r="C782" s="3038"/>
      <c r="D782" s="3038"/>
      <c r="E782" s="3038"/>
      <c r="H782" s="3038"/>
      <c r="I782" s="3038"/>
      <c r="J782" s="3038"/>
      <c r="K782" s="3038"/>
      <c r="M782" s="3038"/>
      <c r="N782" s="3038"/>
      <c r="O782" s="3038"/>
      <c r="P782" s="3038"/>
      <c r="Q782" s="3038"/>
      <c r="R782" s="3038"/>
      <c r="S782" s="3038"/>
      <c r="T782" s="3038"/>
      <c r="W782" s="3038"/>
      <c r="X782" s="3038"/>
      <c r="Y782" s="3038"/>
      <c r="Z782" s="3038"/>
      <c r="AA782" s="3113"/>
      <c r="AB782" s="3038"/>
      <c r="AC782" s="3038"/>
      <c r="AD782" s="3038"/>
      <c r="AE782" s="3132"/>
      <c r="AF782" s="3038"/>
      <c r="AG782" s="3038"/>
      <c r="AH782" s="3038"/>
      <c r="AK782" s="3038"/>
      <c r="AL782" s="3038"/>
      <c r="AM782" s="3038"/>
      <c r="AN782" s="3038"/>
      <c r="AO782" s="3038"/>
      <c r="AP782" s="3038"/>
      <c r="AQ782" s="3038"/>
      <c r="AR782" s="3038"/>
      <c r="AS782" s="3038"/>
      <c r="AT782" s="3038"/>
      <c r="AU782" s="3038"/>
      <c r="AV782" s="3038"/>
      <c r="AW782" s="3038"/>
      <c r="AX782" s="3038"/>
      <c r="AY782" s="3038"/>
      <c r="AZ782" s="3038"/>
      <c r="BA782" s="3038"/>
      <c r="BB782" s="3038"/>
      <c r="BC782" s="3038"/>
      <c r="BD782" s="3038"/>
      <c r="BE782" s="3038"/>
      <c r="BF782" s="3038"/>
      <c r="BG782" s="3038"/>
      <c r="BH782" s="3038"/>
      <c r="BI782" s="3038"/>
      <c r="BJ782" s="3038"/>
      <c r="BK782" s="3038"/>
      <c r="BL782" s="3038"/>
      <c r="BM782" s="3038"/>
      <c r="BN782" s="3038"/>
      <c r="BO782" s="3038"/>
      <c r="BP782" s="3038"/>
      <c r="BQ782" s="3038"/>
      <c r="BR782" s="3038"/>
      <c r="BS782" s="3038"/>
      <c r="BT782" s="3038"/>
      <c r="BU782" s="3038"/>
    </row>
    <row r="783" spans="3:73">
      <c r="C783" s="3038"/>
      <c r="D783" s="3038"/>
      <c r="E783" s="3038"/>
      <c r="H783" s="3038"/>
      <c r="I783" s="3038"/>
      <c r="J783" s="3038"/>
      <c r="K783" s="3038"/>
      <c r="M783" s="3038"/>
      <c r="N783" s="3038"/>
      <c r="O783" s="3038"/>
      <c r="P783" s="3038"/>
      <c r="Q783" s="3038"/>
      <c r="R783" s="3038"/>
      <c r="S783" s="3038"/>
      <c r="T783" s="3038"/>
      <c r="W783" s="3038"/>
      <c r="X783" s="3038"/>
      <c r="Y783" s="3038"/>
      <c r="Z783" s="3038"/>
      <c r="AA783" s="3113"/>
      <c r="AB783" s="3038"/>
      <c r="AC783" s="3038"/>
      <c r="AD783" s="3038"/>
      <c r="AE783" s="3132"/>
      <c r="AF783" s="3038"/>
      <c r="AG783" s="3038"/>
      <c r="AH783" s="3038"/>
      <c r="AK783" s="3038"/>
      <c r="AL783" s="3038"/>
      <c r="AM783" s="3038"/>
      <c r="AN783" s="3038"/>
      <c r="AO783" s="3038"/>
      <c r="AP783" s="3038"/>
      <c r="AQ783" s="3038"/>
      <c r="AR783" s="3038"/>
      <c r="AS783" s="3038"/>
      <c r="AT783" s="3038"/>
      <c r="AU783" s="3038"/>
      <c r="AV783" s="3038"/>
      <c r="AW783" s="3038"/>
      <c r="AX783" s="3038"/>
      <c r="AY783" s="3038"/>
      <c r="AZ783" s="3038"/>
      <c r="BA783" s="3038"/>
      <c r="BB783" s="3038"/>
      <c r="BC783" s="3038"/>
      <c r="BD783" s="3038"/>
      <c r="BE783" s="3038"/>
      <c r="BF783" s="3038"/>
      <c r="BG783" s="3038"/>
      <c r="BH783" s="3038"/>
      <c r="BI783" s="3038"/>
      <c r="BJ783" s="3038"/>
      <c r="BK783" s="3038"/>
      <c r="BL783" s="3038"/>
      <c r="BM783" s="3038"/>
      <c r="BN783" s="3038"/>
      <c r="BO783" s="3038"/>
      <c r="BP783" s="3038"/>
      <c r="BQ783" s="3038"/>
      <c r="BR783" s="3038"/>
      <c r="BS783" s="3038"/>
      <c r="BT783" s="3038"/>
      <c r="BU783" s="3038"/>
    </row>
    <row r="784" spans="3:73">
      <c r="C784" s="3038"/>
      <c r="D784" s="3038"/>
      <c r="E784" s="3038"/>
      <c r="H784" s="3038"/>
      <c r="I784" s="3038"/>
      <c r="J784" s="3038"/>
      <c r="K784" s="3038"/>
      <c r="M784" s="3038"/>
      <c r="N784" s="3038"/>
      <c r="O784" s="3038"/>
      <c r="P784" s="3038"/>
      <c r="Q784" s="3038"/>
      <c r="R784" s="3038"/>
      <c r="S784" s="3038"/>
      <c r="T784" s="3038"/>
      <c r="W784" s="3038"/>
      <c r="X784" s="3038"/>
      <c r="Y784" s="3038"/>
      <c r="Z784" s="3038"/>
      <c r="AA784" s="3113"/>
      <c r="AB784" s="3038"/>
      <c r="AC784" s="3038"/>
      <c r="AD784" s="3038"/>
      <c r="AE784" s="3132"/>
      <c r="AF784" s="3038"/>
      <c r="AG784" s="3038"/>
      <c r="AH784" s="3038"/>
      <c r="AK784" s="3038"/>
      <c r="AL784" s="3038"/>
      <c r="AM784" s="3038"/>
      <c r="AN784" s="3038"/>
      <c r="AO784" s="3038"/>
      <c r="AP784" s="3038"/>
      <c r="AQ784" s="3038"/>
      <c r="AR784" s="3038"/>
      <c r="AS784" s="3038"/>
      <c r="AT784" s="3038"/>
      <c r="AU784" s="3038"/>
      <c r="AV784" s="3038"/>
      <c r="AW784" s="3038"/>
      <c r="AX784" s="3038"/>
      <c r="AY784" s="3038"/>
      <c r="AZ784" s="3038"/>
      <c r="BA784" s="3038"/>
      <c r="BB784" s="3038"/>
      <c r="BC784" s="3038"/>
      <c r="BD784" s="3038"/>
      <c r="BE784" s="3038"/>
      <c r="BF784" s="3038"/>
      <c r="BG784" s="3038"/>
      <c r="BH784" s="3038"/>
      <c r="BI784" s="3038"/>
      <c r="BJ784" s="3038"/>
      <c r="BK784" s="3038"/>
      <c r="BL784" s="3038"/>
      <c r="BM784" s="3038"/>
      <c r="BN784" s="3038"/>
      <c r="BO784" s="3038"/>
      <c r="BP784" s="3038"/>
      <c r="BQ784" s="3038"/>
      <c r="BR784" s="3038"/>
      <c r="BS784" s="3038"/>
      <c r="BT784" s="3038"/>
      <c r="BU784" s="3038"/>
    </row>
    <row r="785" spans="3:73">
      <c r="C785" s="3038"/>
      <c r="D785" s="3038"/>
      <c r="E785" s="3038"/>
      <c r="H785" s="3038"/>
      <c r="I785" s="3038"/>
      <c r="J785" s="3038"/>
      <c r="K785" s="3038"/>
      <c r="M785" s="3038"/>
      <c r="N785" s="3038"/>
      <c r="O785" s="3038"/>
      <c r="P785" s="3038"/>
      <c r="Q785" s="3038"/>
      <c r="R785" s="3038"/>
      <c r="S785" s="3038"/>
      <c r="T785" s="3038"/>
      <c r="W785" s="3038"/>
      <c r="X785" s="3038"/>
      <c r="Y785" s="3038"/>
      <c r="Z785" s="3038"/>
      <c r="AA785" s="3113"/>
      <c r="AB785" s="3038"/>
      <c r="AC785" s="3038"/>
      <c r="AD785" s="3038"/>
      <c r="AE785" s="3132"/>
      <c r="AF785" s="3038"/>
      <c r="AG785" s="3038"/>
      <c r="AH785" s="3038"/>
      <c r="AK785" s="3038"/>
      <c r="AL785" s="3038"/>
      <c r="AM785" s="3038"/>
      <c r="AN785" s="3038"/>
      <c r="AO785" s="3038"/>
      <c r="AP785" s="3038"/>
      <c r="AQ785" s="3038"/>
      <c r="AR785" s="3038"/>
      <c r="AS785" s="3038"/>
      <c r="AT785" s="3038"/>
      <c r="AU785" s="3038"/>
      <c r="AV785" s="3038"/>
      <c r="AW785" s="3038"/>
      <c r="AX785" s="3038"/>
      <c r="AY785" s="3038"/>
      <c r="AZ785" s="3038"/>
      <c r="BA785" s="3038"/>
      <c r="BB785" s="3038"/>
      <c r="BC785" s="3038"/>
      <c r="BD785" s="3038"/>
      <c r="BE785" s="3038"/>
      <c r="BF785" s="3038"/>
      <c r="BG785" s="3038"/>
      <c r="BH785" s="3038"/>
      <c r="BI785" s="3038"/>
      <c r="BJ785" s="3038"/>
      <c r="BK785" s="3038"/>
      <c r="BL785" s="3038"/>
      <c r="BM785" s="3038"/>
      <c r="BN785" s="3038"/>
      <c r="BO785" s="3038"/>
      <c r="BP785" s="3038"/>
      <c r="BQ785" s="3038"/>
      <c r="BR785" s="3038"/>
      <c r="BS785" s="3038"/>
      <c r="BT785" s="3038"/>
      <c r="BU785" s="3038"/>
    </row>
    <row r="786" spans="3:73">
      <c r="C786" s="3038"/>
      <c r="D786" s="3038"/>
      <c r="E786" s="3038"/>
      <c r="H786" s="3038"/>
      <c r="I786" s="3038"/>
      <c r="J786" s="3038"/>
      <c r="K786" s="3038"/>
      <c r="M786" s="3038"/>
      <c r="N786" s="3038"/>
      <c r="O786" s="3038"/>
      <c r="P786" s="3038"/>
      <c r="Q786" s="3038"/>
      <c r="R786" s="3038"/>
      <c r="S786" s="3038"/>
      <c r="T786" s="3038"/>
      <c r="W786" s="3038"/>
      <c r="X786" s="3038"/>
      <c r="Y786" s="3038"/>
      <c r="Z786" s="3038"/>
      <c r="AA786" s="3113"/>
      <c r="AB786" s="3038"/>
      <c r="AC786" s="3038"/>
      <c r="AD786" s="3038"/>
      <c r="AE786" s="3132"/>
      <c r="AF786" s="3038"/>
      <c r="AG786" s="3038"/>
      <c r="AH786" s="3038"/>
      <c r="AK786" s="3038"/>
      <c r="AL786" s="3038"/>
      <c r="AM786" s="3038"/>
      <c r="AN786" s="3038"/>
      <c r="AO786" s="3038"/>
      <c r="AP786" s="3038"/>
      <c r="AQ786" s="3038"/>
      <c r="AR786" s="3038"/>
      <c r="AS786" s="3038"/>
      <c r="AT786" s="3038"/>
      <c r="AU786" s="3038"/>
      <c r="AV786" s="3038"/>
      <c r="AW786" s="3038"/>
      <c r="AX786" s="3038"/>
      <c r="AY786" s="3038"/>
      <c r="AZ786" s="3038"/>
      <c r="BA786" s="3038"/>
      <c r="BB786" s="3038"/>
      <c r="BC786" s="3038"/>
      <c r="BD786" s="3038"/>
      <c r="BE786" s="3038"/>
      <c r="BF786" s="3038"/>
      <c r="BG786" s="3038"/>
      <c r="BH786" s="3038"/>
      <c r="BI786" s="3038"/>
      <c r="BJ786" s="3038"/>
      <c r="BK786" s="3038"/>
      <c r="BL786" s="3038"/>
      <c r="BM786" s="3038"/>
      <c r="BN786" s="3038"/>
      <c r="BO786" s="3038"/>
      <c r="BP786" s="3038"/>
      <c r="BQ786" s="3038"/>
      <c r="BR786" s="3038"/>
      <c r="BS786" s="3038"/>
      <c r="BT786" s="3038"/>
      <c r="BU786" s="3038"/>
    </row>
    <row r="787" spans="3:73">
      <c r="C787" s="3038"/>
      <c r="D787" s="3038"/>
      <c r="E787" s="3038"/>
      <c r="H787" s="3038"/>
      <c r="I787" s="3038"/>
      <c r="J787" s="3038"/>
      <c r="K787" s="3038"/>
      <c r="M787" s="3038"/>
      <c r="N787" s="3038"/>
      <c r="O787" s="3038"/>
      <c r="P787" s="3038"/>
      <c r="Q787" s="3038"/>
      <c r="R787" s="3038"/>
      <c r="S787" s="3038"/>
      <c r="T787" s="3038"/>
      <c r="W787" s="3038"/>
      <c r="X787" s="3038"/>
      <c r="Y787" s="3038"/>
      <c r="Z787" s="3038"/>
      <c r="AA787" s="3113"/>
      <c r="AB787" s="3038"/>
      <c r="AC787" s="3038"/>
      <c r="AD787" s="3038"/>
      <c r="AE787" s="3132"/>
      <c r="AF787" s="3038"/>
      <c r="AG787" s="3038"/>
      <c r="AH787" s="3038"/>
      <c r="AK787" s="3038"/>
      <c r="AL787" s="3038"/>
      <c r="AM787" s="3038"/>
      <c r="AN787" s="3038"/>
      <c r="AO787" s="3038"/>
      <c r="AP787" s="3038"/>
      <c r="AQ787" s="3038"/>
      <c r="AR787" s="3038"/>
      <c r="AS787" s="3038"/>
      <c r="AT787" s="3038"/>
      <c r="AU787" s="3038"/>
      <c r="AV787" s="3038"/>
      <c r="AW787" s="3038"/>
      <c r="AX787" s="3038"/>
      <c r="AY787" s="3038"/>
      <c r="AZ787" s="3038"/>
      <c r="BA787" s="3038"/>
      <c r="BB787" s="3038"/>
      <c r="BC787" s="3038"/>
      <c r="BD787" s="3038"/>
      <c r="BE787" s="3038"/>
      <c r="BF787" s="3038"/>
      <c r="BG787" s="3038"/>
      <c r="BH787" s="3038"/>
      <c r="BI787" s="3038"/>
      <c r="BJ787" s="3038"/>
      <c r="BK787" s="3038"/>
      <c r="BL787" s="3038"/>
      <c r="BM787" s="3038"/>
      <c r="BN787" s="3038"/>
      <c r="BO787" s="3038"/>
      <c r="BP787" s="3038"/>
      <c r="BQ787" s="3038"/>
      <c r="BR787" s="3038"/>
      <c r="BS787" s="3038"/>
      <c r="BT787" s="3038"/>
      <c r="BU787" s="3038"/>
    </row>
    <row r="788" spans="3:73">
      <c r="C788" s="3038"/>
      <c r="D788" s="3038"/>
      <c r="E788" s="3038"/>
      <c r="H788" s="3038"/>
      <c r="I788" s="3038"/>
      <c r="J788" s="3038"/>
      <c r="K788" s="3038"/>
      <c r="M788" s="3038"/>
      <c r="N788" s="3038"/>
      <c r="O788" s="3038"/>
      <c r="P788" s="3038"/>
      <c r="Q788" s="3038"/>
      <c r="R788" s="3038"/>
      <c r="S788" s="3038"/>
      <c r="T788" s="3038"/>
      <c r="W788" s="3038"/>
      <c r="X788" s="3038"/>
      <c r="Y788" s="3038"/>
      <c r="Z788" s="3038"/>
      <c r="AA788" s="3113"/>
      <c r="AB788" s="3038"/>
      <c r="AC788" s="3038"/>
      <c r="AD788" s="3038"/>
      <c r="AE788" s="3132"/>
      <c r="AF788" s="3038"/>
      <c r="AG788" s="3038"/>
      <c r="AH788" s="3038"/>
      <c r="AK788" s="3038"/>
      <c r="AL788" s="3038"/>
      <c r="AM788" s="3038"/>
      <c r="AN788" s="3038"/>
      <c r="AO788" s="3038"/>
      <c r="AP788" s="3038"/>
      <c r="AQ788" s="3038"/>
      <c r="AR788" s="3038"/>
      <c r="AS788" s="3038"/>
      <c r="AT788" s="3038"/>
      <c r="AU788" s="3038"/>
      <c r="AV788" s="3038"/>
      <c r="AW788" s="3038"/>
      <c r="AX788" s="3038"/>
      <c r="AY788" s="3038"/>
      <c r="AZ788" s="3038"/>
      <c r="BA788" s="3038"/>
      <c r="BB788" s="3038"/>
      <c r="BC788" s="3038"/>
      <c r="BD788" s="3038"/>
      <c r="BE788" s="3038"/>
      <c r="BF788" s="3038"/>
      <c r="BG788" s="3038"/>
      <c r="BH788" s="3038"/>
      <c r="BI788" s="3038"/>
      <c r="BJ788" s="3038"/>
      <c r="BK788" s="3038"/>
      <c r="BL788" s="3038"/>
      <c r="BM788" s="3038"/>
      <c r="BN788" s="3038"/>
      <c r="BO788" s="3038"/>
      <c r="BP788" s="3038"/>
      <c r="BQ788" s="3038"/>
      <c r="BR788" s="3038"/>
      <c r="BS788" s="3038"/>
      <c r="BT788" s="3038"/>
      <c r="BU788" s="3038"/>
    </row>
    <row r="789" spans="3:73">
      <c r="C789" s="3038"/>
      <c r="D789" s="3038"/>
      <c r="E789" s="3038"/>
      <c r="H789" s="3038"/>
      <c r="I789" s="3038"/>
      <c r="J789" s="3038"/>
      <c r="K789" s="3038"/>
      <c r="M789" s="3038"/>
      <c r="N789" s="3038"/>
      <c r="O789" s="3038"/>
      <c r="P789" s="3038"/>
      <c r="Q789" s="3038"/>
      <c r="R789" s="3038"/>
      <c r="S789" s="3038"/>
      <c r="T789" s="3038"/>
      <c r="W789" s="3038"/>
      <c r="X789" s="3038"/>
      <c r="Y789" s="3038"/>
      <c r="Z789" s="3038"/>
      <c r="AA789" s="3113"/>
      <c r="AB789" s="3038"/>
      <c r="AC789" s="3038"/>
      <c r="AD789" s="3038"/>
      <c r="AE789" s="3132"/>
      <c r="AF789" s="3038"/>
      <c r="AG789" s="3038"/>
      <c r="AH789" s="3038"/>
      <c r="AK789" s="3038"/>
      <c r="AL789" s="3038"/>
      <c r="AM789" s="3038"/>
      <c r="AN789" s="3038"/>
      <c r="AO789" s="3038"/>
      <c r="AP789" s="3038"/>
      <c r="AQ789" s="3038"/>
      <c r="AR789" s="3038"/>
      <c r="AS789" s="3038"/>
      <c r="AT789" s="3038"/>
      <c r="AU789" s="3038"/>
      <c r="AV789" s="3038"/>
      <c r="AW789" s="3038"/>
      <c r="AX789" s="3038"/>
      <c r="AY789" s="3038"/>
      <c r="AZ789" s="3038"/>
      <c r="BA789" s="3038"/>
      <c r="BB789" s="3038"/>
      <c r="BC789" s="3038"/>
      <c r="BD789" s="3038"/>
      <c r="BE789" s="3038"/>
      <c r="BF789" s="3038"/>
      <c r="BG789" s="3038"/>
      <c r="BH789" s="3038"/>
      <c r="BI789" s="3038"/>
      <c r="BJ789" s="3038"/>
      <c r="BK789" s="3038"/>
      <c r="BL789" s="3038"/>
      <c r="BM789" s="3038"/>
      <c r="BN789" s="3038"/>
      <c r="BO789" s="3038"/>
      <c r="BP789" s="3038"/>
      <c r="BQ789" s="3038"/>
      <c r="BR789" s="3038"/>
      <c r="BS789" s="3038"/>
      <c r="BT789" s="3038"/>
      <c r="BU789" s="3038"/>
    </row>
    <row r="790" spans="3:73">
      <c r="C790" s="3038"/>
      <c r="D790" s="3038"/>
      <c r="E790" s="3038"/>
      <c r="H790" s="3038"/>
      <c r="I790" s="3038"/>
      <c r="J790" s="3038"/>
      <c r="K790" s="3038"/>
      <c r="M790" s="3038"/>
      <c r="N790" s="3038"/>
      <c r="O790" s="3038"/>
      <c r="P790" s="3038"/>
      <c r="Q790" s="3038"/>
      <c r="R790" s="3038"/>
      <c r="S790" s="3038"/>
      <c r="T790" s="3038"/>
      <c r="W790" s="3038"/>
      <c r="X790" s="3038"/>
      <c r="Y790" s="3038"/>
      <c r="Z790" s="3038"/>
      <c r="AA790" s="3113"/>
      <c r="AB790" s="3038"/>
      <c r="AC790" s="3038"/>
      <c r="AD790" s="3038"/>
      <c r="AE790" s="3132"/>
      <c r="AF790" s="3038"/>
      <c r="AG790" s="3038"/>
      <c r="AH790" s="3038"/>
      <c r="AK790" s="3038"/>
      <c r="AL790" s="3038"/>
      <c r="AM790" s="3038"/>
      <c r="AN790" s="3038"/>
      <c r="AO790" s="3038"/>
      <c r="AP790" s="3038"/>
      <c r="AQ790" s="3038"/>
      <c r="AR790" s="3038"/>
      <c r="AS790" s="3038"/>
      <c r="AT790" s="3038"/>
      <c r="AU790" s="3038"/>
      <c r="AV790" s="3038"/>
      <c r="AW790" s="3038"/>
      <c r="AX790" s="3038"/>
      <c r="AY790" s="3038"/>
      <c r="AZ790" s="3038"/>
      <c r="BA790" s="3038"/>
      <c r="BB790" s="3038"/>
      <c r="BC790" s="3038"/>
      <c r="BD790" s="3038"/>
      <c r="BE790" s="3038"/>
      <c r="BF790" s="3038"/>
      <c r="BG790" s="3038"/>
      <c r="BH790" s="3038"/>
      <c r="BI790" s="3038"/>
      <c r="BJ790" s="3038"/>
      <c r="BK790" s="3038"/>
      <c r="BL790" s="3038"/>
      <c r="BM790" s="3038"/>
      <c r="BN790" s="3038"/>
      <c r="BO790" s="3038"/>
      <c r="BP790" s="3038"/>
      <c r="BQ790" s="3038"/>
      <c r="BR790" s="3038"/>
      <c r="BS790" s="3038"/>
      <c r="BT790" s="3038"/>
      <c r="BU790" s="3038"/>
    </row>
    <row r="791" spans="3:73">
      <c r="C791" s="3038"/>
      <c r="D791" s="3038"/>
      <c r="E791" s="3038"/>
      <c r="H791" s="3038"/>
      <c r="I791" s="3038"/>
      <c r="J791" s="3038"/>
      <c r="K791" s="3038"/>
      <c r="M791" s="3038"/>
      <c r="N791" s="3038"/>
      <c r="O791" s="3038"/>
      <c r="P791" s="3038"/>
      <c r="Q791" s="3038"/>
      <c r="R791" s="3038"/>
      <c r="S791" s="3038"/>
      <c r="T791" s="3038"/>
      <c r="W791" s="3038"/>
      <c r="X791" s="3038"/>
      <c r="Y791" s="3038"/>
      <c r="Z791" s="3038"/>
      <c r="AA791" s="3113"/>
      <c r="AB791" s="3038"/>
      <c r="AC791" s="3038"/>
      <c r="AD791" s="3038"/>
      <c r="AE791" s="3132"/>
      <c r="AF791" s="3038"/>
      <c r="AG791" s="3038"/>
      <c r="AH791" s="3038"/>
      <c r="AK791" s="3038"/>
      <c r="AL791" s="3038"/>
      <c r="AM791" s="3038"/>
      <c r="AN791" s="3038"/>
      <c r="AO791" s="3038"/>
      <c r="AP791" s="3038"/>
      <c r="AQ791" s="3038"/>
      <c r="AR791" s="3038"/>
      <c r="AS791" s="3038"/>
      <c r="AT791" s="3038"/>
      <c r="AU791" s="3038"/>
      <c r="AV791" s="3038"/>
      <c r="AW791" s="3038"/>
      <c r="AX791" s="3038"/>
      <c r="AY791" s="3038"/>
      <c r="AZ791" s="3038"/>
      <c r="BA791" s="3038"/>
      <c r="BB791" s="3038"/>
      <c r="BC791" s="3038"/>
      <c r="BD791" s="3038"/>
      <c r="BE791" s="3038"/>
      <c r="BF791" s="3038"/>
      <c r="BG791" s="3038"/>
      <c r="BH791" s="3038"/>
      <c r="BI791" s="3038"/>
      <c r="BJ791" s="3038"/>
      <c r="BK791" s="3038"/>
      <c r="BL791" s="3038"/>
      <c r="BM791" s="3038"/>
      <c r="BN791" s="3038"/>
      <c r="BO791" s="3038"/>
      <c r="BP791" s="3038"/>
      <c r="BQ791" s="3038"/>
      <c r="BR791" s="3038"/>
      <c r="BS791" s="3038"/>
      <c r="BT791" s="3038"/>
      <c r="BU791" s="3038"/>
    </row>
    <row r="792" spans="3:73">
      <c r="C792" s="3038"/>
      <c r="D792" s="3038"/>
      <c r="E792" s="3038"/>
      <c r="H792" s="3038"/>
      <c r="I792" s="3038"/>
      <c r="J792" s="3038"/>
      <c r="K792" s="3038"/>
      <c r="M792" s="3038"/>
      <c r="N792" s="3038"/>
      <c r="O792" s="3038"/>
      <c r="P792" s="3038"/>
      <c r="Q792" s="3038"/>
      <c r="R792" s="3038"/>
      <c r="S792" s="3038"/>
      <c r="T792" s="3038"/>
      <c r="W792" s="3038"/>
      <c r="X792" s="3038"/>
      <c r="Y792" s="3038"/>
      <c r="Z792" s="3038"/>
      <c r="AA792" s="3113"/>
      <c r="AB792" s="3038"/>
      <c r="AC792" s="3038"/>
      <c r="AD792" s="3038"/>
      <c r="AE792" s="3132"/>
      <c r="AF792" s="3038"/>
      <c r="AG792" s="3038"/>
      <c r="AH792" s="3038"/>
      <c r="AK792" s="3038"/>
      <c r="AL792" s="3038"/>
      <c r="AM792" s="3038"/>
      <c r="AN792" s="3038"/>
      <c r="AO792" s="3038"/>
      <c r="AP792" s="3038"/>
      <c r="AQ792" s="3038"/>
      <c r="AR792" s="3038"/>
      <c r="AS792" s="3038"/>
      <c r="AT792" s="3038"/>
      <c r="AU792" s="3038"/>
      <c r="AV792" s="3038"/>
      <c r="AW792" s="3038"/>
      <c r="AX792" s="3038"/>
      <c r="AY792" s="3038"/>
      <c r="AZ792" s="3038"/>
      <c r="BA792" s="3038"/>
      <c r="BB792" s="3038"/>
      <c r="BC792" s="3038"/>
      <c r="BD792" s="3038"/>
      <c r="BE792" s="3038"/>
      <c r="BF792" s="3038"/>
      <c r="BG792" s="3038"/>
      <c r="BH792" s="3038"/>
      <c r="BI792" s="3038"/>
      <c r="BJ792" s="3038"/>
      <c r="BK792" s="3038"/>
      <c r="BL792" s="3038"/>
      <c r="BM792" s="3038"/>
      <c r="BN792" s="3038"/>
      <c r="BO792" s="3038"/>
      <c r="BP792" s="3038"/>
      <c r="BQ792" s="3038"/>
      <c r="BR792" s="3038"/>
      <c r="BS792" s="3038"/>
      <c r="BT792" s="3038"/>
      <c r="BU792" s="3038"/>
    </row>
    <row r="793" spans="3:73">
      <c r="C793" s="3038"/>
      <c r="D793" s="3038"/>
      <c r="E793" s="3038"/>
      <c r="H793" s="3038"/>
      <c r="I793" s="3038"/>
      <c r="J793" s="3038"/>
      <c r="K793" s="3038"/>
      <c r="M793" s="3038"/>
      <c r="N793" s="3038"/>
      <c r="O793" s="3038"/>
      <c r="P793" s="3038"/>
      <c r="Q793" s="3038"/>
      <c r="R793" s="3038"/>
      <c r="S793" s="3038"/>
      <c r="T793" s="3038"/>
      <c r="W793" s="3038"/>
      <c r="X793" s="3038"/>
      <c r="Y793" s="3038"/>
      <c r="Z793" s="3038"/>
      <c r="AA793" s="3113"/>
      <c r="AB793" s="3038"/>
      <c r="AC793" s="3038"/>
      <c r="AD793" s="3038"/>
      <c r="AE793" s="3132"/>
      <c r="AF793" s="3038"/>
      <c r="AG793" s="3038"/>
      <c r="AH793" s="3038"/>
      <c r="AK793" s="3038"/>
      <c r="AL793" s="3038"/>
      <c r="AM793" s="3038"/>
      <c r="AN793" s="3038"/>
      <c r="AO793" s="3038"/>
      <c r="AP793" s="3038"/>
      <c r="AQ793" s="3038"/>
      <c r="AR793" s="3038"/>
      <c r="AS793" s="3038"/>
      <c r="AT793" s="3038"/>
      <c r="AU793" s="3038"/>
      <c r="AV793" s="3038"/>
      <c r="AW793" s="3038"/>
      <c r="AX793" s="3038"/>
      <c r="AY793" s="3038"/>
      <c r="AZ793" s="3038"/>
      <c r="BA793" s="3038"/>
      <c r="BB793" s="3038"/>
      <c r="BC793" s="3038"/>
      <c r="BD793" s="3038"/>
      <c r="BE793" s="3038"/>
      <c r="BF793" s="3038"/>
      <c r="BG793" s="3038"/>
      <c r="BH793" s="3038"/>
      <c r="BI793" s="3038"/>
      <c r="BJ793" s="3038"/>
      <c r="BK793" s="3038"/>
      <c r="BL793" s="3038"/>
      <c r="BM793" s="3038"/>
      <c r="BN793" s="3038"/>
      <c r="BO793" s="3038"/>
      <c r="BP793" s="3038"/>
      <c r="BQ793" s="3038"/>
      <c r="BR793" s="3038"/>
      <c r="BS793" s="3038"/>
      <c r="BT793" s="3038"/>
      <c r="BU793" s="3038"/>
    </row>
    <row r="794" spans="3:73">
      <c r="C794" s="3038"/>
      <c r="D794" s="3038"/>
      <c r="E794" s="3038"/>
      <c r="H794" s="3038"/>
      <c r="I794" s="3038"/>
      <c r="J794" s="3038"/>
      <c r="K794" s="3038"/>
      <c r="M794" s="3038"/>
      <c r="N794" s="3038"/>
      <c r="O794" s="3038"/>
      <c r="P794" s="3038"/>
      <c r="Q794" s="3038"/>
      <c r="R794" s="3038"/>
      <c r="S794" s="3038"/>
      <c r="T794" s="3038"/>
      <c r="W794" s="3038"/>
      <c r="X794" s="3038"/>
      <c r="Y794" s="3038"/>
      <c r="Z794" s="3038"/>
      <c r="AA794" s="3113"/>
      <c r="AB794" s="3038"/>
      <c r="AC794" s="3038"/>
      <c r="AD794" s="3038"/>
      <c r="AE794" s="3132"/>
      <c r="AF794" s="3038"/>
      <c r="AG794" s="3038"/>
      <c r="AH794" s="3038"/>
      <c r="AK794" s="3038"/>
      <c r="AL794" s="3038"/>
      <c r="AM794" s="3038"/>
      <c r="AN794" s="3038"/>
      <c r="AO794" s="3038"/>
      <c r="AP794" s="3038"/>
      <c r="AQ794" s="3038"/>
      <c r="AR794" s="3038"/>
      <c r="AS794" s="3038"/>
      <c r="AT794" s="3038"/>
      <c r="AU794" s="3038"/>
      <c r="AV794" s="3038"/>
      <c r="AW794" s="3038"/>
      <c r="AX794" s="3038"/>
      <c r="AY794" s="3038"/>
      <c r="AZ794" s="3038"/>
      <c r="BA794" s="3038"/>
      <c r="BB794" s="3038"/>
      <c r="BC794" s="3038"/>
      <c r="BD794" s="3038"/>
      <c r="BE794" s="3038"/>
      <c r="BF794" s="3038"/>
      <c r="BG794" s="3038"/>
      <c r="BH794" s="3038"/>
      <c r="BI794" s="3038"/>
      <c r="BJ794" s="3038"/>
      <c r="BK794" s="3038"/>
      <c r="BL794" s="3038"/>
      <c r="BM794" s="3038"/>
      <c r="BN794" s="3038"/>
      <c r="BO794" s="3038"/>
      <c r="BP794" s="3038"/>
      <c r="BQ794" s="3038"/>
      <c r="BR794" s="3038"/>
      <c r="BS794" s="3038"/>
      <c r="BT794" s="3038"/>
      <c r="BU794" s="3038"/>
    </row>
    <row r="795" spans="3:73">
      <c r="C795" s="3038"/>
      <c r="D795" s="3038"/>
      <c r="E795" s="3038"/>
      <c r="H795" s="3038"/>
      <c r="I795" s="3038"/>
      <c r="J795" s="3038"/>
      <c r="K795" s="3038"/>
      <c r="M795" s="3038"/>
      <c r="N795" s="3038"/>
      <c r="O795" s="3038"/>
      <c r="P795" s="3038"/>
      <c r="Q795" s="3038"/>
      <c r="R795" s="3038"/>
      <c r="S795" s="3038"/>
      <c r="T795" s="3038"/>
      <c r="W795" s="3038"/>
      <c r="X795" s="3038"/>
      <c r="Y795" s="3038"/>
      <c r="Z795" s="3038"/>
      <c r="AA795" s="3113"/>
      <c r="AB795" s="3038"/>
      <c r="AC795" s="3038"/>
      <c r="AD795" s="3038"/>
      <c r="AE795" s="3132"/>
      <c r="AF795" s="3038"/>
      <c r="AG795" s="3038"/>
      <c r="AH795" s="3038"/>
      <c r="AK795" s="3038"/>
      <c r="AL795" s="3038"/>
      <c r="AM795" s="3038"/>
      <c r="AN795" s="3038"/>
      <c r="AO795" s="3038"/>
      <c r="AP795" s="3038"/>
      <c r="AQ795" s="3038"/>
      <c r="AR795" s="3038"/>
      <c r="AS795" s="3038"/>
      <c r="AT795" s="3038"/>
      <c r="AU795" s="3038"/>
      <c r="AV795" s="3038"/>
      <c r="AW795" s="3038"/>
      <c r="AX795" s="3038"/>
      <c r="AY795" s="3038"/>
      <c r="AZ795" s="3038"/>
      <c r="BA795" s="3038"/>
      <c r="BB795" s="3038"/>
      <c r="BC795" s="3038"/>
      <c r="BD795" s="3038"/>
      <c r="BE795" s="3038"/>
      <c r="BF795" s="3038"/>
      <c r="BG795" s="3038"/>
      <c r="BH795" s="3038"/>
      <c r="BI795" s="3038"/>
      <c r="BJ795" s="3038"/>
      <c r="BK795" s="3038"/>
      <c r="BL795" s="3038"/>
      <c r="BM795" s="3038"/>
      <c r="BN795" s="3038"/>
      <c r="BO795" s="3038"/>
      <c r="BP795" s="3038"/>
      <c r="BQ795" s="3038"/>
      <c r="BR795" s="3038"/>
      <c r="BS795" s="3038"/>
      <c r="BT795" s="3038"/>
      <c r="BU795" s="3038"/>
    </row>
    <row r="796" spans="3:73">
      <c r="C796" s="3038"/>
      <c r="D796" s="3038"/>
      <c r="E796" s="3038"/>
      <c r="H796" s="3038"/>
      <c r="I796" s="3038"/>
      <c r="J796" s="3038"/>
      <c r="K796" s="3038"/>
      <c r="M796" s="3038"/>
      <c r="N796" s="3038"/>
      <c r="O796" s="3038"/>
      <c r="P796" s="3038"/>
      <c r="Q796" s="3038"/>
      <c r="R796" s="3038"/>
      <c r="S796" s="3038"/>
      <c r="T796" s="3038"/>
      <c r="W796" s="3038"/>
      <c r="X796" s="3038"/>
      <c r="Y796" s="3038"/>
      <c r="Z796" s="3038"/>
      <c r="AA796" s="3113"/>
      <c r="AB796" s="3038"/>
      <c r="AC796" s="3038"/>
      <c r="AD796" s="3038"/>
      <c r="AE796" s="3132"/>
      <c r="AF796" s="3038"/>
      <c r="AG796" s="3038"/>
      <c r="AH796" s="3038"/>
      <c r="AK796" s="3038"/>
      <c r="AL796" s="3038"/>
      <c r="AM796" s="3038"/>
      <c r="AN796" s="3038"/>
      <c r="AO796" s="3038"/>
      <c r="AP796" s="3038"/>
      <c r="AQ796" s="3038"/>
      <c r="AR796" s="3038"/>
      <c r="AS796" s="3038"/>
      <c r="AT796" s="3038"/>
      <c r="AU796" s="3038"/>
      <c r="AV796" s="3038"/>
      <c r="AW796" s="3038"/>
      <c r="AX796" s="3038"/>
      <c r="AY796" s="3038"/>
      <c r="AZ796" s="3038"/>
      <c r="BA796" s="3038"/>
      <c r="BB796" s="3038"/>
      <c r="BC796" s="3038"/>
      <c r="BD796" s="3038"/>
      <c r="BE796" s="3038"/>
      <c r="BF796" s="3038"/>
      <c r="BG796" s="3038"/>
      <c r="BH796" s="3038"/>
      <c r="BI796" s="3038"/>
      <c r="BJ796" s="3038"/>
      <c r="BK796" s="3038"/>
      <c r="BL796" s="3038"/>
      <c r="BM796" s="3038"/>
      <c r="BN796" s="3038"/>
      <c r="BO796" s="3038"/>
      <c r="BP796" s="3038"/>
      <c r="BQ796" s="3038"/>
      <c r="BR796" s="3038"/>
      <c r="BS796" s="3038"/>
      <c r="BT796" s="3038"/>
      <c r="BU796" s="3038"/>
    </row>
    <row r="797" spans="3:73">
      <c r="C797" s="3038"/>
      <c r="D797" s="3038"/>
      <c r="E797" s="3038"/>
      <c r="H797" s="3038"/>
      <c r="I797" s="3038"/>
      <c r="J797" s="3038"/>
      <c r="K797" s="3038"/>
      <c r="M797" s="3038"/>
      <c r="N797" s="3038"/>
      <c r="O797" s="3038"/>
      <c r="P797" s="3038"/>
      <c r="Q797" s="3038"/>
      <c r="R797" s="3038"/>
      <c r="S797" s="3038"/>
      <c r="T797" s="3038"/>
      <c r="W797" s="3038"/>
      <c r="X797" s="3038"/>
      <c r="Y797" s="3038"/>
      <c r="Z797" s="3038"/>
      <c r="AA797" s="3113"/>
      <c r="AB797" s="3038"/>
      <c r="AC797" s="3038"/>
      <c r="AD797" s="3038"/>
      <c r="AE797" s="3132"/>
      <c r="AF797" s="3038"/>
      <c r="AG797" s="3038"/>
      <c r="AH797" s="3038"/>
      <c r="AK797" s="3038"/>
      <c r="AL797" s="3038"/>
      <c r="AM797" s="3038"/>
      <c r="AN797" s="3038"/>
      <c r="AO797" s="3038"/>
      <c r="AP797" s="3038"/>
      <c r="AQ797" s="3038"/>
      <c r="AR797" s="3038"/>
      <c r="AS797" s="3038"/>
      <c r="AT797" s="3038"/>
      <c r="AU797" s="3038"/>
      <c r="AV797" s="3038"/>
      <c r="AW797" s="3038"/>
      <c r="AX797" s="3038"/>
      <c r="AY797" s="3038"/>
      <c r="AZ797" s="3038"/>
      <c r="BA797" s="3038"/>
      <c r="BB797" s="3038"/>
      <c r="BC797" s="3038"/>
      <c r="BD797" s="3038"/>
      <c r="BE797" s="3038"/>
      <c r="BF797" s="3038"/>
      <c r="BG797" s="3038"/>
      <c r="BH797" s="3038"/>
      <c r="BI797" s="3038"/>
      <c r="BJ797" s="3038"/>
      <c r="BK797" s="3038"/>
      <c r="BL797" s="3038"/>
      <c r="BM797" s="3038"/>
      <c r="BN797" s="3038"/>
      <c r="BO797" s="3038"/>
      <c r="BP797" s="3038"/>
      <c r="BQ797" s="3038"/>
      <c r="BR797" s="3038"/>
      <c r="BS797" s="3038"/>
      <c r="BT797" s="3038"/>
      <c r="BU797" s="3038"/>
    </row>
    <row r="798" spans="3:73">
      <c r="C798" s="3038"/>
      <c r="D798" s="3038"/>
      <c r="E798" s="3038"/>
      <c r="H798" s="3038"/>
      <c r="I798" s="3038"/>
      <c r="J798" s="3038"/>
      <c r="K798" s="3038"/>
      <c r="M798" s="3038"/>
      <c r="N798" s="3038"/>
      <c r="O798" s="3038"/>
      <c r="P798" s="3038"/>
      <c r="Q798" s="3038"/>
      <c r="R798" s="3038"/>
      <c r="S798" s="3038"/>
      <c r="T798" s="3038"/>
      <c r="W798" s="3038"/>
      <c r="X798" s="3038"/>
      <c r="Y798" s="3038"/>
      <c r="Z798" s="3038"/>
      <c r="AA798" s="3113"/>
      <c r="AB798" s="3038"/>
      <c r="AC798" s="3038"/>
      <c r="AD798" s="3038"/>
      <c r="AE798" s="3132"/>
      <c r="AF798" s="3038"/>
      <c r="AG798" s="3038"/>
      <c r="AH798" s="3038"/>
      <c r="AK798" s="3038"/>
      <c r="AL798" s="3038"/>
      <c r="AM798" s="3038"/>
      <c r="AN798" s="3038"/>
      <c r="AO798" s="3038"/>
      <c r="AP798" s="3038"/>
      <c r="AQ798" s="3038"/>
      <c r="AR798" s="3038"/>
      <c r="AS798" s="3038"/>
      <c r="AT798" s="3038"/>
      <c r="AU798" s="3038"/>
      <c r="AV798" s="3038"/>
      <c r="AW798" s="3038"/>
      <c r="AX798" s="3038"/>
      <c r="AY798" s="3038"/>
      <c r="AZ798" s="3038"/>
      <c r="BA798" s="3038"/>
      <c r="BB798" s="3038"/>
      <c r="BC798" s="3038"/>
      <c r="BD798" s="3038"/>
      <c r="BE798" s="3038"/>
      <c r="BF798" s="3038"/>
      <c r="BG798" s="3038"/>
      <c r="BH798" s="3038"/>
      <c r="BI798" s="3038"/>
      <c r="BJ798" s="3038"/>
      <c r="BK798" s="3038"/>
      <c r="BL798" s="3038"/>
      <c r="BM798" s="3038"/>
      <c r="BN798" s="3038"/>
      <c r="BO798" s="3038"/>
      <c r="BP798" s="3038"/>
      <c r="BQ798" s="3038"/>
      <c r="BR798" s="3038"/>
      <c r="BS798" s="3038"/>
      <c r="BT798" s="3038"/>
      <c r="BU798" s="3038"/>
    </row>
    <row r="799" spans="3:73">
      <c r="C799" s="3038"/>
      <c r="D799" s="3038"/>
      <c r="E799" s="3038"/>
      <c r="H799" s="3038"/>
      <c r="I799" s="3038"/>
      <c r="J799" s="3038"/>
      <c r="K799" s="3038"/>
      <c r="M799" s="3038"/>
      <c r="N799" s="3038"/>
      <c r="O799" s="3038"/>
      <c r="P799" s="3038"/>
      <c r="Q799" s="3038"/>
      <c r="R799" s="3038"/>
      <c r="S799" s="3038"/>
      <c r="T799" s="3038"/>
      <c r="W799" s="3038"/>
      <c r="X799" s="3038"/>
      <c r="Y799" s="3038"/>
      <c r="Z799" s="3038"/>
      <c r="AA799" s="3113"/>
      <c r="AB799" s="3038"/>
      <c r="AC799" s="3038"/>
      <c r="AD799" s="3038"/>
      <c r="AE799" s="3132"/>
      <c r="AF799" s="3038"/>
      <c r="AG799" s="3038"/>
      <c r="AH799" s="3038"/>
      <c r="AK799" s="3038"/>
      <c r="AL799" s="3038"/>
      <c r="AM799" s="3038"/>
      <c r="AN799" s="3038"/>
      <c r="AO799" s="3038"/>
      <c r="AP799" s="3038"/>
      <c r="AQ799" s="3038"/>
      <c r="AR799" s="3038"/>
      <c r="AS799" s="3038"/>
      <c r="AT799" s="3038"/>
      <c r="AU799" s="3038"/>
      <c r="AV799" s="3038"/>
      <c r="AW799" s="3038"/>
      <c r="AX799" s="3038"/>
      <c r="AY799" s="3038"/>
      <c r="AZ799" s="3038"/>
      <c r="BA799" s="3038"/>
      <c r="BB799" s="3038"/>
      <c r="BC799" s="3038"/>
      <c r="BD799" s="3038"/>
      <c r="BE799" s="3038"/>
      <c r="BF799" s="3038"/>
      <c r="BG799" s="3038"/>
      <c r="BH799" s="3038"/>
      <c r="BI799" s="3038"/>
      <c r="BJ799" s="3038"/>
      <c r="BK799" s="3038"/>
      <c r="BL799" s="3038"/>
      <c r="BM799" s="3038"/>
      <c r="BN799" s="3038"/>
      <c r="BO799" s="3038"/>
      <c r="BP799" s="3038"/>
      <c r="BQ799" s="3038"/>
      <c r="BR799" s="3038"/>
      <c r="BS799" s="3038"/>
      <c r="BT799" s="3038"/>
      <c r="BU799" s="3038"/>
    </row>
    <row r="800" spans="3:73">
      <c r="C800" s="3038"/>
      <c r="D800" s="3038"/>
      <c r="E800" s="3038"/>
      <c r="H800" s="3038"/>
      <c r="I800" s="3038"/>
      <c r="J800" s="3038"/>
      <c r="K800" s="3038"/>
      <c r="M800" s="3038"/>
      <c r="N800" s="3038"/>
      <c r="O800" s="3038"/>
      <c r="P800" s="3038"/>
      <c r="Q800" s="3038"/>
      <c r="R800" s="3038"/>
      <c r="S800" s="3038"/>
      <c r="T800" s="3038"/>
      <c r="W800" s="3038"/>
      <c r="X800" s="3038"/>
      <c r="Y800" s="3038"/>
      <c r="Z800" s="3038"/>
      <c r="AA800" s="3113"/>
      <c r="AB800" s="3038"/>
      <c r="AC800" s="3038"/>
      <c r="AD800" s="3038"/>
      <c r="AE800" s="3132"/>
      <c r="AF800" s="3038"/>
      <c r="AG800" s="3038"/>
      <c r="AH800" s="3038"/>
      <c r="AK800" s="3038"/>
      <c r="AL800" s="3038"/>
      <c r="AM800" s="3038"/>
      <c r="AN800" s="3038"/>
      <c r="AO800" s="3038"/>
      <c r="AP800" s="3038"/>
      <c r="AQ800" s="3038"/>
      <c r="AR800" s="3038"/>
      <c r="AS800" s="3038"/>
      <c r="AT800" s="3038"/>
      <c r="AU800" s="3038"/>
      <c r="AV800" s="3038"/>
      <c r="AW800" s="3038"/>
      <c r="AX800" s="3038"/>
      <c r="AY800" s="3038"/>
      <c r="AZ800" s="3038"/>
      <c r="BA800" s="3038"/>
      <c r="BB800" s="3038"/>
      <c r="BC800" s="3038"/>
      <c r="BD800" s="3038"/>
      <c r="BE800" s="3038"/>
      <c r="BF800" s="3038"/>
      <c r="BG800" s="3038"/>
      <c r="BH800" s="3038"/>
      <c r="BI800" s="3038"/>
      <c r="BJ800" s="3038"/>
      <c r="BK800" s="3038"/>
      <c r="BL800" s="3038"/>
      <c r="BM800" s="3038"/>
      <c r="BN800" s="3038"/>
      <c r="BO800" s="3038"/>
      <c r="BP800" s="3038"/>
      <c r="BQ800" s="3038"/>
      <c r="BR800" s="3038"/>
      <c r="BS800" s="3038"/>
      <c r="BT800" s="3038"/>
      <c r="BU800" s="3038"/>
    </row>
    <row r="801" spans="3:73">
      <c r="C801" s="3038"/>
      <c r="D801" s="3038"/>
      <c r="E801" s="3038"/>
      <c r="H801" s="3038"/>
      <c r="I801" s="3038"/>
      <c r="J801" s="3038"/>
      <c r="K801" s="3038"/>
      <c r="M801" s="3038"/>
      <c r="N801" s="3038"/>
      <c r="O801" s="3038"/>
      <c r="P801" s="3038"/>
      <c r="Q801" s="3038"/>
      <c r="R801" s="3038"/>
      <c r="S801" s="3038"/>
      <c r="T801" s="3038"/>
      <c r="W801" s="3038"/>
      <c r="X801" s="3038"/>
      <c r="Y801" s="3038"/>
      <c r="Z801" s="3038"/>
      <c r="AA801" s="3113"/>
      <c r="AB801" s="3038"/>
      <c r="AC801" s="3038"/>
      <c r="AD801" s="3038"/>
      <c r="AE801" s="3132"/>
      <c r="AF801" s="3038"/>
      <c r="AG801" s="3038"/>
      <c r="AH801" s="3038"/>
      <c r="AK801" s="3038"/>
      <c r="AL801" s="3038"/>
      <c r="AM801" s="3038"/>
      <c r="AN801" s="3038"/>
      <c r="AO801" s="3038"/>
      <c r="AP801" s="3038"/>
      <c r="AQ801" s="3038"/>
      <c r="AR801" s="3038"/>
      <c r="AS801" s="3038"/>
      <c r="AT801" s="3038"/>
      <c r="AU801" s="3038"/>
      <c r="AV801" s="3038"/>
      <c r="AW801" s="3038"/>
      <c r="AX801" s="3038"/>
      <c r="AY801" s="3038"/>
      <c r="AZ801" s="3038"/>
      <c r="BA801" s="3038"/>
      <c r="BB801" s="3038"/>
      <c r="BC801" s="3038"/>
      <c r="BD801" s="3038"/>
      <c r="BE801" s="3038"/>
      <c r="BF801" s="3038"/>
      <c r="BG801" s="3038"/>
      <c r="BH801" s="3038"/>
      <c r="BI801" s="3038"/>
      <c r="BJ801" s="3038"/>
      <c r="BK801" s="3038"/>
      <c r="BL801" s="3038"/>
      <c r="BM801" s="3038"/>
      <c r="BN801" s="3038"/>
      <c r="BO801" s="3038"/>
      <c r="BP801" s="3038"/>
      <c r="BQ801" s="3038"/>
      <c r="BR801" s="3038"/>
      <c r="BS801" s="3038"/>
      <c r="BT801" s="3038"/>
      <c r="BU801" s="3038"/>
    </row>
    <row r="802" spans="3:73">
      <c r="C802" s="3038"/>
      <c r="D802" s="3038"/>
      <c r="E802" s="3038"/>
      <c r="H802" s="3038"/>
      <c r="I802" s="3038"/>
      <c r="J802" s="3038"/>
      <c r="K802" s="3038"/>
      <c r="M802" s="3038"/>
      <c r="N802" s="3038"/>
      <c r="O802" s="3038"/>
      <c r="P802" s="3038"/>
      <c r="Q802" s="3038"/>
      <c r="R802" s="3038"/>
      <c r="S802" s="3038"/>
      <c r="T802" s="3038"/>
      <c r="W802" s="3038"/>
      <c r="X802" s="3038"/>
      <c r="Y802" s="3038"/>
      <c r="Z802" s="3038"/>
      <c r="AA802" s="3113"/>
      <c r="AB802" s="3038"/>
      <c r="AC802" s="3038"/>
      <c r="AD802" s="3038"/>
      <c r="AE802" s="3132"/>
      <c r="AF802" s="3038"/>
      <c r="AG802" s="3038"/>
      <c r="AH802" s="3038"/>
      <c r="AK802" s="3038"/>
      <c r="AL802" s="3038"/>
      <c r="AM802" s="3038"/>
      <c r="AN802" s="3038"/>
      <c r="AO802" s="3038"/>
      <c r="AP802" s="3038"/>
      <c r="AQ802" s="3038"/>
      <c r="AR802" s="3038"/>
      <c r="AS802" s="3038"/>
      <c r="AT802" s="3038"/>
      <c r="AU802" s="3038"/>
      <c r="AV802" s="3038"/>
      <c r="AW802" s="3038"/>
      <c r="AX802" s="3038"/>
      <c r="AY802" s="3038"/>
      <c r="AZ802" s="3038"/>
      <c r="BA802" s="3038"/>
      <c r="BB802" s="3038"/>
      <c r="BC802" s="3038"/>
      <c r="BD802" s="3038"/>
      <c r="BE802" s="3038"/>
      <c r="BF802" s="3038"/>
      <c r="BG802" s="3038"/>
      <c r="BH802" s="3038"/>
      <c r="BI802" s="3038"/>
      <c r="BJ802" s="3038"/>
      <c r="BK802" s="3038"/>
      <c r="BL802" s="3038"/>
      <c r="BM802" s="3038"/>
      <c r="BN802" s="3038"/>
      <c r="BO802" s="3038"/>
      <c r="BP802" s="3038"/>
      <c r="BQ802" s="3038"/>
      <c r="BR802" s="3038"/>
      <c r="BS802" s="3038"/>
      <c r="BT802" s="3038"/>
      <c r="BU802" s="3038"/>
    </row>
    <row r="803" spans="3:73">
      <c r="C803" s="3038"/>
      <c r="D803" s="3038"/>
      <c r="E803" s="3038"/>
      <c r="H803" s="3038"/>
      <c r="I803" s="3038"/>
      <c r="J803" s="3038"/>
      <c r="K803" s="3038"/>
      <c r="M803" s="3038"/>
      <c r="N803" s="3038"/>
      <c r="O803" s="3038"/>
      <c r="P803" s="3038"/>
      <c r="Q803" s="3038"/>
      <c r="R803" s="3038"/>
      <c r="S803" s="3038"/>
      <c r="T803" s="3038"/>
      <c r="W803" s="3038"/>
      <c r="X803" s="3038"/>
      <c r="Y803" s="3038"/>
      <c r="Z803" s="3038"/>
      <c r="AA803" s="3113"/>
      <c r="AB803" s="3038"/>
      <c r="AC803" s="3038"/>
      <c r="AD803" s="3038"/>
      <c r="AE803" s="3132"/>
      <c r="AF803" s="3038"/>
      <c r="AG803" s="3038"/>
      <c r="AH803" s="3038"/>
      <c r="AK803" s="3038"/>
      <c r="AL803" s="3038"/>
      <c r="AM803" s="3038"/>
      <c r="AN803" s="3038"/>
      <c r="AO803" s="3038"/>
      <c r="AP803" s="3038"/>
      <c r="AQ803" s="3038"/>
      <c r="AR803" s="3038"/>
      <c r="AS803" s="3038"/>
      <c r="AT803" s="3038"/>
      <c r="AU803" s="3038"/>
      <c r="AV803" s="3038"/>
      <c r="AW803" s="3038"/>
      <c r="AX803" s="3038"/>
      <c r="AY803" s="3038"/>
      <c r="AZ803" s="3038"/>
      <c r="BA803" s="3038"/>
      <c r="BB803" s="3038"/>
      <c r="BC803" s="3038"/>
      <c r="BD803" s="3038"/>
      <c r="BE803" s="3038"/>
      <c r="BF803" s="3038"/>
      <c r="BG803" s="3038"/>
      <c r="BH803" s="3038"/>
      <c r="BI803" s="3038"/>
      <c r="BJ803" s="3038"/>
      <c r="BK803" s="3038"/>
      <c r="BL803" s="3038"/>
      <c r="BM803" s="3038"/>
      <c r="BN803" s="3038"/>
      <c r="BO803" s="3038"/>
      <c r="BP803" s="3038"/>
      <c r="BQ803" s="3038"/>
      <c r="BR803" s="3038"/>
      <c r="BS803" s="3038"/>
      <c r="BT803" s="3038"/>
      <c r="BU803" s="3038"/>
    </row>
    <row r="804" spans="3:73">
      <c r="C804" s="3038"/>
      <c r="D804" s="3038"/>
      <c r="E804" s="3038"/>
      <c r="H804" s="3038"/>
      <c r="I804" s="3038"/>
      <c r="J804" s="3038"/>
      <c r="K804" s="3038"/>
      <c r="M804" s="3038"/>
      <c r="N804" s="3038"/>
      <c r="O804" s="3038"/>
      <c r="P804" s="3038"/>
      <c r="Q804" s="3038"/>
      <c r="R804" s="3038"/>
      <c r="S804" s="3038"/>
      <c r="T804" s="3038"/>
      <c r="W804" s="3038"/>
      <c r="X804" s="3038"/>
      <c r="Y804" s="3038"/>
      <c r="Z804" s="3038"/>
      <c r="AA804" s="3113"/>
      <c r="AB804" s="3038"/>
      <c r="AC804" s="3038"/>
      <c r="AD804" s="3038"/>
      <c r="AE804" s="3132"/>
      <c r="AF804" s="3038"/>
      <c r="AG804" s="3038"/>
      <c r="AH804" s="3038"/>
      <c r="AK804" s="3038"/>
      <c r="AL804" s="3038"/>
      <c r="AM804" s="3038"/>
      <c r="AN804" s="3038"/>
      <c r="AO804" s="3038"/>
      <c r="AP804" s="3038"/>
      <c r="AQ804" s="3038"/>
      <c r="AR804" s="3038"/>
      <c r="AS804" s="3038"/>
      <c r="AT804" s="3038"/>
      <c r="AU804" s="3038"/>
      <c r="AV804" s="3038"/>
      <c r="AW804" s="3038"/>
      <c r="AX804" s="3038"/>
      <c r="AY804" s="3038"/>
      <c r="AZ804" s="3038"/>
      <c r="BA804" s="3038"/>
      <c r="BB804" s="3038"/>
      <c r="BC804" s="3038"/>
      <c r="BD804" s="3038"/>
      <c r="BE804" s="3038"/>
      <c r="BF804" s="3038"/>
      <c r="BG804" s="3038"/>
      <c r="BH804" s="3038"/>
      <c r="BI804" s="3038"/>
      <c r="BJ804" s="3038"/>
      <c r="BK804" s="3038"/>
      <c r="BL804" s="3038"/>
      <c r="BM804" s="3038"/>
      <c r="BN804" s="3038"/>
      <c r="BO804" s="3038"/>
      <c r="BP804" s="3038"/>
      <c r="BQ804" s="3038"/>
      <c r="BR804" s="3038"/>
      <c r="BS804" s="3038"/>
      <c r="BT804" s="3038"/>
      <c r="BU804" s="3038"/>
    </row>
    <row r="805" spans="3:73">
      <c r="C805" s="3038"/>
      <c r="D805" s="3038"/>
      <c r="E805" s="3038"/>
      <c r="H805" s="3038"/>
      <c r="I805" s="3038"/>
      <c r="J805" s="3038"/>
      <c r="K805" s="3038"/>
      <c r="M805" s="3038"/>
      <c r="N805" s="3038"/>
      <c r="O805" s="3038"/>
      <c r="P805" s="3038"/>
      <c r="Q805" s="3038"/>
      <c r="R805" s="3038"/>
      <c r="S805" s="3038"/>
      <c r="T805" s="3038"/>
      <c r="W805" s="3038"/>
      <c r="X805" s="3038"/>
      <c r="Y805" s="3038"/>
      <c r="Z805" s="3038"/>
      <c r="AA805" s="3113"/>
      <c r="AB805" s="3038"/>
      <c r="AC805" s="3038"/>
      <c r="AD805" s="3038"/>
      <c r="AE805" s="3132"/>
      <c r="AF805" s="3038"/>
      <c r="AG805" s="3038"/>
      <c r="AH805" s="3038"/>
      <c r="AK805" s="3038"/>
      <c r="AL805" s="3038"/>
      <c r="AM805" s="3038"/>
      <c r="AN805" s="3038"/>
      <c r="AO805" s="3038"/>
      <c r="AP805" s="3038"/>
      <c r="AQ805" s="3038"/>
      <c r="AR805" s="3038"/>
      <c r="AS805" s="3038"/>
      <c r="AT805" s="3038"/>
      <c r="AU805" s="3038"/>
      <c r="AV805" s="3038"/>
      <c r="AW805" s="3038"/>
      <c r="AX805" s="3038"/>
      <c r="AY805" s="3038"/>
      <c r="AZ805" s="3038"/>
      <c r="BA805" s="3038"/>
      <c r="BB805" s="3038"/>
      <c r="BC805" s="3038"/>
      <c r="BD805" s="3038"/>
      <c r="BE805" s="3038"/>
      <c r="BF805" s="3038"/>
      <c r="BG805" s="3038"/>
      <c r="BH805" s="3038"/>
      <c r="BI805" s="3038"/>
      <c r="BJ805" s="3038"/>
      <c r="BK805" s="3038"/>
      <c r="BL805" s="3038"/>
      <c r="BM805" s="3038"/>
      <c r="BN805" s="3038"/>
      <c r="BO805" s="3038"/>
      <c r="BP805" s="3038"/>
      <c r="BQ805" s="3038"/>
      <c r="BR805" s="3038"/>
      <c r="BS805" s="3038"/>
      <c r="BT805" s="3038"/>
      <c r="BU805" s="3038"/>
    </row>
    <row r="806" spans="3:73">
      <c r="C806" s="3038"/>
      <c r="D806" s="3038"/>
      <c r="E806" s="3038"/>
      <c r="H806" s="3038"/>
      <c r="I806" s="3038"/>
      <c r="J806" s="3038"/>
      <c r="K806" s="3038"/>
      <c r="M806" s="3038"/>
      <c r="N806" s="3038"/>
      <c r="O806" s="3038"/>
      <c r="P806" s="3038"/>
      <c r="Q806" s="3038"/>
      <c r="R806" s="3038"/>
      <c r="S806" s="3038"/>
      <c r="T806" s="3038"/>
      <c r="W806" s="3038"/>
      <c r="X806" s="3038"/>
      <c r="Y806" s="3038"/>
      <c r="Z806" s="3038"/>
      <c r="AA806" s="3113"/>
      <c r="AB806" s="3038"/>
      <c r="AC806" s="3038"/>
      <c r="AD806" s="3038"/>
      <c r="AE806" s="3132"/>
      <c r="AF806" s="3038"/>
      <c r="AG806" s="3038"/>
      <c r="AH806" s="3038"/>
      <c r="AK806" s="3038"/>
      <c r="AL806" s="3038"/>
      <c r="AM806" s="3038"/>
      <c r="AN806" s="3038"/>
      <c r="AO806" s="3038"/>
      <c r="AP806" s="3038"/>
      <c r="AQ806" s="3038"/>
      <c r="AR806" s="3038"/>
      <c r="AS806" s="3038"/>
      <c r="AT806" s="3038"/>
      <c r="AU806" s="3038"/>
      <c r="AV806" s="3038"/>
      <c r="AW806" s="3038"/>
      <c r="AX806" s="3038"/>
      <c r="AY806" s="3038"/>
      <c r="AZ806" s="3038"/>
      <c r="BA806" s="3038"/>
      <c r="BB806" s="3038"/>
      <c r="BC806" s="3038"/>
      <c r="BD806" s="3038"/>
      <c r="BE806" s="3038"/>
      <c r="BF806" s="3038"/>
      <c r="BG806" s="3038"/>
      <c r="BH806" s="3038"/>
      <c r="BI806" s="3038"/>
      <c r="BJ806" s="3038"/>
      <c r="BK806" s="3038"/>
      <c r="BL806" s="3038"/>
      <c r="BM806" s="3038"/>
      <c r="BN806" s="3038"/>
      <c r="BO806" s="3038"/>
      <c r="BP806" s="3038"/>
      <c r="BQ806" s="3038"/>
      <c r="BR806" s="3038"/>
      <c r="BS806" s="3038"/>
      <c r="BT806" s="3038"/>
      <c r="BU806" s="3038"/>
    </row>
    <row r="807" spans="3:73">
      <c r="C807" s="3038"/>
      <c r="D807" s="3038"/>
      <c r="E807" s="3038"/>
      <c r="H807" s="3038"/>
      <c r="I807" s="3038"/>
      <c r="J807" s="3038"/>
      <c r="K807" s="3038"/>
      <c r="M807" s="3038"/>
      <c r="N807" s="3038"/>
      <c r="O807" s="3038"/>
      <c r="P807" s="3038"/>
      <c r="Q807" s="3038"/>
      <c r="R807" s="3038"/>
      <c r="S807" s="3038"/>
      <c r="T807" s="3038"/>
      <c r="W807" s="3038"/>
      <c r="X807" s="3038"/>
      <c r="Y807" s="3038"/>
      <c r="Z807" s="3038"/>
      <c r="AA807" s="3113"/>
      <c r="AB807" s="3038"/>
      <c r="AC807" s="3038"/>
      <c r="AD807" s="3038"/>
      <c r="AE807" s="3132"/>
      <c r="AF807" s="3038"/>
      <c r="AG807" s="3038"/>
      <c r="AH807" s="3038"/>
      <c r="AK807" s="3038"/>
      <c r="AL807" s="3038"/>
      <c r="AM807" s="3038"/>
      <c r="AN807" s="3038"/>
      <c r="AO807" s="3038"/>
      <c r="AP807" s="3038"/>
      <c r="AQ807" s="3038"/>
      <c r="AR807" s="3038"/>
      <c r="AS807" s="3038"/>
      <c r="AT807" s="3038"/>
      <c r="AU807" s="3038"/>
      <c r="AV807" s="3038"/>
      <c r="AW807" s="3038"/>
      <c r="AX807" s="3038"/>
      <c r="AY807" s="3038"/>
      <c r="AZ807" s="3038"/>
      <c r="BA807" s="3038"/>
      <c r="BB807" s="3038"/>
      <c r="BC807" s="3038"/>
      <c r="BD807" s="3038"/>
      <c r="BE807" s="3038"/>
      <c r="BF807" s="3038"/>
      <c r="BG807" s="3038"/>
      <c r="BH807" s="3038"/>
      <c r="BI807" s="3038"/>
      <c r="BJ807" s="3038"/>
      <c r="BK807" s="3038"/>
      <c r="BL807" s="3038"/>
      <c r="BM807" s="3038"/>
      <c r="BN807" s="3038"/>
      <c r="BO807" s="3038"/>
      <c r="BP807" s="3038"/>
      <c r="BQ807" s="3038"/>
      <c r="BR807" s="3038"/>
      <c r="BS807" s="3038"/>
      <c r="BT807" s="3038"/>
      <c r="BU807" s="3038"/>
    </row>
    <row r="808" spans="3:73">
      <c r="C808" s="3038"/>
      <c r="D808" s="3038"/>
      <c r="E808" s="3038"/>
      <c r="H808" s="3038"/>
      <c r="I808" s="3038"/>
      <c r="J808" s="3038"/>
      <c r="K808" s="3038"/>
      <c r="M808" s="3038"/>
      <c r="N808" s="3038"/>
      <c r="O808" s="3038"/>
      <c r="P808" s="3038"/>
      <c r="Q808" s="3038"/>
      <c r="R808" s="3038"/>
      <c r="S808" s="3038"/>
      <c r="T808" s="3038"/>
      <c r="W808" s="3038"/>
      <c r="X808" s="3038"/>
      <c r="Y808" s="3038"/>
      <c r="Z808" s="3038"/>
      <c r="AA808" s="3113"/>
      <c r="AB808" s="3038"/>
      <c r="AC808" s="3038"/>
      <c r="AD808" s="3038"/>
      <c r="AE808" s="3132"/>
      <c r="AF808" s="3038"/>
      <c r="AG808" s="3038"/>
      <c r="AH808" s="3038"/>
      <c r="AK808" s="3038"/>
      <c r="AL808" s="3038"/>
      <c r="AM808" s="3038"/>
      <c r="AN808" s="3038"/>
      <c r="AO808" s="3038"/>
      <c r="AP808" s="3038"/>
      <c r="AQ808" s="3038"/>
      <c r="AR808" s="3038"/>
      <c r="AS808" s="3038"/>
      <c r="AT808" s="3038"/>
      <c r="AU808" s="3038"/>
      <c r="AV808" s="3038"/>
      <c r="AW808" s="3038"/>
      <c r="AX808" s="3038"/>
      <c r="AY808" s="3038"/>
      <c r="AZ808" s="3038"/>
      <c r="BA808" s="3038"/>
      <c r="BB808" s="3038"/>
      <c r="BC808" s="3038"/>
      <c r="BD808" s="3038"/>
      <c r="BE808" s="3038"/>
      <c r="BF808" s="3038"/>
      <c r="BG808" s="3038"/>
      <c r="BH808" s="3038"/>
      <c r="BI808" s="3038"/>
      <c r="BJ808" s="3038"/>
      <c r="BK808" s="3038"/>
      <c r="BL808" s="3038"/>
      <c r="BM808" s="3038"/>
      <c r="BN808" s="3038"/>
      <c r="BO808" s="3038"/>
      <c r="BP808" s="3038"/>
      <c r="BQ808" s="3038"/>
      <c r="BR808" s="3038"/>
      <c r="BS808" s="3038"/>
      <c r="BT808" s="3038"/>
      <c r="BU808" s="3038"/>
    </row>
    <row r="809" spans="3:73">
      <c r="C809" s="3038"/>
      <c r="D809" s="3038"/>
      <c r="E809" s="3038"/>
      <c r="H809" s="3038"/>
      <c r="I809" s="3038"/>
      <c r="J809" s="3038"/>
      <c r="K809" s="3038"/>
      <c r="M809" s="3038"/>
      <c r="N809" s="3038"/>
      <c r="O809" s="3038"/>
      <c r="P809" s="3038"/>
      <c r="Q809" s="3038"/>
      <c r="R809" s="3038"/>
      <c r="S809" s="3038"/>
      <c r="T809" s="3038"/>
      <c r="W809" s="3038"/>
      <c r="X809" s="3038"/>
      <c r="Y809" s="3038"/>
      <c r="Z809" s="3038"/>
      <c r="AA809" s="3113"/>
      <c r="AB809" s="3038"/>
      <c r="AC809" s="3038"/>
      <c r="AD809" s="3038"/>
      <c r="AE809" s="3132"/>
      <c r="AF809" s="3038"/>
      <c r="AG809" s="3038"/>
      <c r="AH809" s="3038"/>
      <c r="AK809" s="3038"/>
      <c r="AL809" s="3038"/>
      <c r="AM809" s="3038"/>
      <c r="AN809" s="3038"/>
      <c r="AO809" s="3038"/>
      <c r="AP809" s="3038"/>
      <c r="AQ809" s="3038"/>
      <c r="AR809" s="3038"/>
      <c r="AS809" s="3038"/>
      <c r="AT809" s="3038"/>
      <c r="AU809" s="3038"/>
      <c r="AV809" s="3038"/>
      <c r="AW809" s="3038"/>
      <c r="AX809" s="3038"/>
      <c r="AY809" s="3038"/>
      <c r="AZ809" s="3038"/>
      <c r="BA809" s="3038"/>
      <c r="BB809" s="3038"/>
      <c r="BC809" s="3038"/>
      <c r="BD809" s="3038"/>
      <c r="BE809" s="3038"/>
      <c r="BF809" s="3038"/>
      <c r="BG809" s="3038"/>
      <c r="BH809" s="3038"/>
      <c r="BI809" s="3038"/>
      <c r="BJ809" s="3038"/>
      <c r="BK809" s="3038"/>
      <c r="BL809" s="3038"/>
      <c r="BM809" s="3038"/>
      <c r="BN809" s="3038"/>
      <c r="BO809" s="3038"/>
      <c r="BP809" s="3038"/>
      <c r="BQ809" s="3038"/>
      <c r="BR809" s="3038"/>
      <c r="BS809" s="3038"/>
      <c r="BT809" s="3038"/>
      <c r="BU809" s="3038"/>
    </row>
    <row r="810" spans="3:73">
      <c r="C810" s="3038"/>
      <c r="D810" s="3038"/>
      <c r="E810" s="3038"/>
      <c r="H810" s="3038"/>
      <c r="I810" s="3038"/>
      <c r="J810" s="3038"/>
      <c r="K810" s="3038"/>
      <c r="M810" s="3038"/>
      <c r="N810" s="3038"/>
      <c r="O810" s="3038"/>
      <c r="P810" s="3038"/>
      <c r="Q810" s="3038"/>
      <c r="R810" s="3038"/>
      <c r="S810" s="3038"/>
      <c r="T810" s="3038"/>
      <c r="W810" s="3038"/>
      <c r="X810" s="3038"/>
      <c r="Y810" s="3038"/>
      <c r="Z810" s="3038"/>
      <c r="AA810" s="3113"/>
      <c r="AB810" s="3038"/>
      <c r="AC810" s="3038"/>
      <c r="AD810" s="3038"/>
      <c r="AE810" s="3132"/>
      <c r="AF810" s="3038"/>
      <c r="AG810" s="3038"/>
      <c r="AH810" s="3038"/>
      <c r="AK810" s="3038"/>
      <c r="AL810" s="3038"/>
      <c r="AM810" s="3038"/>
      <c r="AN810" s="3038"/>
      <c r="AO810" s="3038"/>
      <c r="AP810" s="3038"/>
      <c r="AQ810" s="3038"/>
      <c r="AR810" s="3038"/>
      <c r="AS810" s="3038"/>
      <c r="AT810" s="3038"/>
      <c r="AU810" s="3038"/>
      <c r="AV810" s="3038"/>
      <c r="AW810" s="3038"/>
      <c r="AX810" s="3038"/>
      <c r="AY810" s="3038"/>
      <c r="AZ810" s="3038"/>
      <c r="BA810" s="3038"/>
      <c r="BB810" s="3038"/>
      <c r="BC810" s="3038"/>
      <c r="BD810" s="3038"/>
      <c r="BE810" s="3038"/>
      <c r="BF810" s="3038"/>
      <c r="BG810" s="3038"/>
      <c r="BH810" s="3038"/>
      <c r="BI810" s="3038"/>
      <c r="BJ810" s="3038"/>
      <c r="BK810" s="3038"/>
      <c r="BL810" s="3038"/>
      <c r="BM810" s="3038"/>
      <c r="BN810" s="3038"/>
      <c r="BO810" s="3038"/>
      <c r="BP810" s="3038"/>
      <c r="BQ810" s="3038"/>
      <c r="BR810" s="3038"/>
      <c r="BS810" s="3038"/>
      <c r="BT810" s="3038"/>
      <c r="BU810" s="3038"/>
    </row>
    <row r="811" spans="3:73">
      <c r="C811" s="3038"/>
      <c r="D811" s="3038"/>
      <c r="E811" s="3038"/>
      <c r="H811" s="3038"/>
      <c r="I811" s="3038"/>
      <c r="J811" s="3038"/>
      <c r="K811" s="3038"/>
      <c r="M811" s="3038"/>
      <c r="N811" s="3038"/>
      <c r="O811" s="3038"/>
      <c r="P811" s="3038"/>
      <c r="Q811" s="3038"/>
      <c r="R811" s="3038"/>
      <c r="S811" s="3038"/>
      <c r="T811" s="3038"/>
      <c r="W811" s="3038"/>
      <c r="X811" s="3038"/>
      <c r="Y811" s="3038"/>
      <c r="Z811" s="3038"/>
      <c r="AA811" s="3113"/>
      <c r="AB811" s="3038"/>
      <c r="AC811" s="3038"/>
      <c r="AD811" s="3038"/>
      <c r="AE811" s="3132"/>
      <c r="AF811" s="3038"/>
      <c r="AG811" s="3038"/>
      <c r="AH811" s="3038"/>
      <c r="AK811" s="3038"/>
      <c r="AL811" s="3038"/>
      <c r="AM811" s="3038"/>
      <c r="AN811" s="3038"/>
      <c r="AO811" s="3038"/>
      <c r="AP811" s="3038"/>
      <c r="AQ811" s="3038"/>
      <c r="AR811" s="3038"/>
      <c r="AS811" s="3038"/>
      <c r="AT811" s="3038"/>
      <c r="AU811" s="3038"/>
      <c r="AV811" s="3038"/>
      <c r="AW811" s="3038"/>
      <c r="AX811" s="3038"/>
      <c r="AY811" s="3038"/>
      <c r="AZ811" s="3038"/>
      <c r="BA811" s="3038"/>
      <c r="BB811" s="3038"/>
      <c r="BC811" s="3038"/>
      <c r="BD811" s="3038"/>
      <c r="BE811" s="3038"/>
      <c r="BF811" s="3038"/>
      <c r="BG811" s="3038"/>
      <c r="BH811" s="3038"/>
      <c r="BI811" s="3038"/>
      <c r="BJ811" s="3038"/>
      <c r="BK811" s="3038"/>
      <c r="BL811" s="3038"/>
      <c r="BM811" s="3038"/>
      <c r="BN811" s="3038"/>
      <c r="BO811" s="3038"/>
      <c r="BP811" s="3038"/>
      <c r="BQ811" s="3038"/>
      <c r="BR811" s="3038"/>
      <c r="BS811" s="3038"/>
      <c r="BT811" s="3038"/>
      <c r="BU811" s="3038"/>
    </row>
    <row r="812" spans="3:73">
      <c r="C812" s="3038"/>
      <c r="D812" s="3038"/>
      <c r="E812" s="3038"/>
      <c r="H812" s="3038"/>
      <c r="I812" s="3038"/>
      <c r="J812" s="3038"/>
      <c r="K812" s="3038"/>
      <c r="M812" s="3038"/>
      <c r="N812" s="3038"/>
      <c r="O812" s="3038"/>
      <c r="P812" s="3038"/>
      <c r="Q812" s="3038"/>
      <c r="R812" s="3038"/>
      <c r="S812" s="3038"/>
      <c r="T812" s="3038"/>
      <c r="W812" s="3038"/>
      <c r="X812" s="3038"/>
      <c r="Y812" s="3038"/>
      <c r="Z812" s="3038"/>
      <c r="AA812" s="3113"/>
      <c r="AB812" s="3038"/>
      <c r="AC812" s="3038"/>
      <c r="AD812" s="3038"/>
      <c r="AE812" s="3132"/>
      <c r="AF812" s="3038"/>
      <c r="AG812" s="3038"/>
      <c r="AH812" s="3038"/>
      <c r="AK812" s="3038"/>
      <c r="AL812" s="3038"/>
      <c r="AM812" s="3038"/>
      <c r="AN812" s="3038"/>
      <c r="AO812" s="3038"/>
      <c r="AP812" s="3038"/>
      <c r="AQ812" s="3038"/>
      <c r="AR812" s="3038"/>
      <c r="AS812" s="3038"/>
      <c r="AT812" s="3038"/>
      <c r="AU812" s="3038"/>
      <c r="AV812" s="3038"/>
      <c r="AW812" s="3038"/>
      <c r="AX812" s="3038"/>
      <c r="AY812" s="3038"/>
      <c r="AZ812" s="3038"/>
      <c r="BA812" s="3038"/>
      <c r="BB812" s="3038"/>
      <c r="BC812" s="3038"/>
      <c r="BD812" s="3038"/>
      <c r="BE812" s="3038"/>
      <c r="BF812" s="3038"/>
      <c r="BG812" s="3038"/>
      <c r="BH812" s="3038"/>
      <c r="BI812" s="3038"/>
      <c r="BJ812" s="3038"/>
      <c r="BK812" s="3038"/>
      <c r="BL812" s="3038"/>
      <c r="BM812" s="3038"/>
      <c r="BN812" s="3038"/>
      <c r="BO812" s="3038"/>
      <c r="BP812" s="3038"/>
      <c r="BQ812" s="3038"/>
      <c r="BR812" s="3038"/>
      <c r="BS812" s="3038"/>
      <c r="BT812" s="3038"/>
      <c r="BU812" s="3038"/>
    </row>
    <row r="813" spans="3:73">
      <c r="C813" s="3038"/>
      <c r="D813" s="3038"/>
      <c r="E813" s="3038"/>
      <c r="H813" s="3038"/>
      <c r="I813" s="3038"/>
      <c r="J813" s="3038"/>
      <c r="K813" s="3038"/>
      <c r="M813" s="3038"/>
      <c r="N813" s="3038"/>
      <c r="O813" s="3038"/>
      <c r="P813" s="3038"/>
      <c r="Q813" s="3038"/>
      <c r="R813" s="3038"/>
      <c r="S813" s="3038"/>
      <c r="T813" s="3038"/>
      <c r="W813" s="3038"/>
      <c r="X813" s="3038"/>
      <c r="Y813" s="3038"/>
      <c r="Z813" s="3038"/>
      <c r="AA813" s="3113"/>
      <c r="AB813" s="3038"/>
      <c r="AC813" s="3038"/>
      <c r="AD813" s="3038"/>
      <c r="AE813" s="3132"/>
      <c r="AF813" s="3038"/>
      <c r="AG813" s="3038"/>
      <c r="AH813" s="3038"/>
      <c r="AK813" s="3038"/>
      <c r="AL813" s="3038"/>
      <c r="AM813" s="3038"/>
      <c r="AN813" s="3038"/>
      <c r="AO813" s="3038"/>
      <c r="AP813" s="3038"/>
      <c r="AQ813" s="3038"/>
      <c r="AR813" s="3038"/>
      <c r="AS813" s="3038"/>
      <c r="AT813" s="3038"/>
      <c r="AU813" s="3038"/>
      <c r="AV813" s="3038"/>
      <c r="AW813" s="3038"/>
      <c r="AX813" s="3038"/>
      <c r="AY813" s="3038"/>
      <c r="AZ813" s="3038"/>
      <c r="BA813" s="3038"/>
      <c r="BB813" s="3038"/>
      <c r="BC813" s="3038"/>
      <c r="BD813" s="3038"/>
      <c r="BE813" s="3038"/>
      <c r="BF813" s="3038"/>
      <c r="BG813" s="3038"/>
      <c r="BH813" s="3038"/>
      <c r="BI813" s="3038"/>
      <c r="BJ813" s="3038"/>
      <c r="BK813" s="3038"/>
      <c r="BL813" s="3038"/>
      <c r="BM813" s="3038"/>
      <c r="BN813" s="3038"/>
      <c r="BO813" s="3038"/>
      <c r="BP813" s="3038"/>
      <c r="BQ813" s="3038"/>
      <c r="BR813" s="3038"/>
      <c r="BS813" s="3038"/>
      <c r="BT813" s="3038"/>
      <c r="BU813" s="3038"/>
    </row>
    <row r="814" spans="3:73">
      <c r="C814" s="3038"/>
      <c r="D814" s="3038"/>
      <c r="E814" s="3038"/>
      <c r="H814" s="3038"/>
      <c r="I814" s="3038"/>
      <c r="J814" s="3038"/>
      <c r="K814" s="3038"/>
      <c r="M814" s="3038"/>
      <c r="N814" s="3038"/>
      <c r="O814" s="3038"/>
      <c r="P814" s="3038"/>
      <c r="Q814" s="3038"/>
      <c r="R814" s="3038"/>
      <c r="S814" s="3038"/>
      <c r="T814" s="3038"/>
      <c r="W814" s="3038"/>
      <c r="X814" s="3038"/>
      <c r="Y814" s="3038"/>
      <c r="Z814" s="3038"/>
      <c r="AA814" s="3113"/>
      <c r="AB814" s="3038"/>
      <c r="AC814" s="3038"/>
      <c r="AD814" s="3038"/>
      <c r="AE814" s="3132"/>
      <c r="AF814" s="3038"/>
      <c r="AG814" s="3038"/>
      <c r="AH814" s="3038"/>
      <c r="AK814" s="3038"/>
      <c r="AL814" s="3038"/>
      <c r="AM814" s="3038"/>
      <c r="AN814" s="3038"/>
      <c r="AO814" s="3038"/>
      <c r="AP814" s="3038"/>
      <c r="AQ814" s="3038"/>
      <c r="AR814" s="3038"/>
      <c r="AS814" s="3038"/>
      <c r="AT814" s="3038"/>
      <c r="AU814" s="3038"/>
      <c r="AV814" s="3038"/>
      <c r="AW814" s="3038"/>
      <c r="AX814" s="3038"/>
      <c r="AY814" s="3038"/>
      <c r="AZ814" s="3038"/>
      <c r="BA814" s="3038"/>
      <c r="BB814" s="3038"/>
      <c r="BC814" s="3038"/>
      <c r="BD814" s="3038"/>
      <c r="BE814" s="3038"/>
      <c r="BF814" s="3038"/>
      <c r="BG814" s="3038"/>
      <c r="BH814" s="3038"/>
      <c r="BI814" s="3038"/>
      <c r="BJ814" s="3038"/>
      <c r="BK814" s="3038"/>
      <c r="BL814" s="3038"/>
      <c r="BM814" s="3038"/>
      <c r="BN814" s="3038"/>
      <c r="BO814" s="3038"/>
      <c r="BP814" s="3038"/>
      <c r="BQ814" s="3038"/>
      <c r="BR814" s="3038"/>
      <c r="BS814" s="3038"/>
      <c r="BT814" s="3038"/>
      <c r="BU814" s="3038"/>
    </row>
    <row r="815" spans="3:73">
      <c r="C815" s="3038"/>
      <c r="D815" s="3038"/>
      <c r="E815" s="3038"/>
      <c r="H815" s="3038"/>
      <c r="I815" s="3038"/>
      <c r="J815" s="3038"/>
      <c r="K815" s="3038"/>
      <c r="M815" s="3038"/>
      <c r="N815" s="3038"/>
      <c r="O815" s="3038"/>
      <c r="P815" s="3038"/>
      <c r="Q815" s="3038"/>
      <c r="R815" s="3038"/>
      <c r="S815" s="3038"/>
      <c r="T815" s="3038"/>
      <c r="W815" s="3038"/>
      <c r="X815" s="3038"/>
      <c r="Y815" s="3038"/>
      <c r="Z815" s="3038"/>
      <c r="AA815" s="3113"/>
      <c r="AB815" s="3038"/>
      <c r="AC815" s="3038"/>
      <c r="AD815" s="3038"/>
      <c r="AE815" s="3132"/>
      <c r="AF815" s="3038"/>
      <c r="AG815" s="3038"/>
      <c r="AH815" s="3038"/>
      <c r="AK815" s="3038"/>
      <c r="AL815" s="3038"/>
      <c r="AM815" s="3038"/>
      <c r="AN815" s="3038"/>
      <c r="AO815" s="3038"/>
      <c r="AP815" s="3038"/>
      <c r="AQ815" s="3038"/>
      <c r="AR815" s="3038"/>
      <c r="AS815" s="3038"/>
      <c r="AT815" s="3038"/>
      <c r="AU815" s="3038"/>
      <c r="AV815" s="3038"/>
      <c r="AW815" s="3038"/>
      <c r="AX815" s="3038"/>
      <c r="AY815" s="3038"/>
      <c r="AZ815" s="3038"/>
      <c r="BA815" s="3038"/>
      <c r="BB815" s="3038"/>
      <c r="BC815" s="3038"/>
      <c r="BD815" s="3038"/>
      <c r="BE815" s="3038"/>
      <c r="BF815" s="3038"/>
      <c r="BG815" s="3038"/>
      <c r="BH815" s="3038"/>
      <c r="BI815" s="3038"/>
      <c r="BJ815" s="3038"/>
      <c r="BK815" s="3038"/>
      <c r="BL815" s="3038"/>
      <c r="BM815" s="3038"/>
      <c r="BN815" s="3038"/>
      <c r="BO815" s="3038"/>
      <c r="BP815" s="3038"/>
      <c r="BQ815" s="3038"/>
      <c r="BR815" s="3038"/>
      <c r="BS815" s="3038"/>
      <c r="BT815" s="3038"/>
      <c r="BU815" s="3038"/>
    </row>
    <row r="816" spans="3:73">
      <c r="C816" s="3038"/>
      <c r="D816" s="3038"/>
      <c r="E816" s="3038"/>
      <c r="H816" s="3038"/>
      <c r="I816" s="3038"/>
      <c r="J816" s="3038"/>
      <c r="K816" s="3038"/>
      <c r="M816" s="3038"/>
      <c r="N816" s="3038"/>
      <c r="O816" s="3038"/>
      <c r="P816" s="3038"/>
      <c r="Q816" s="3038"/>
      <c r="R816" s="3038"/>
      <c r="S816" s="3038"/>
      <c r="T816" s="3038"/>
      <c r="W816" s="3038"/>
      <c r="X816" s="3038"/>
      <c r="Y816" s="3038"/>
      <c r="Z816" s="3038"/>
      <c r="AA816" s="3113"/>
      <c r="AB816" s="3038"/>
      <c r="AC816" s="3038"/>
      <c r="AD816" s="3038"/>
      <c r="AE816" s="3132"/>
      <c r="AF816" s="3038"/>
      <c r="AG816" s="3038"/>
      <c r="AH816" s="3038"/>
      <c r="AK816" s="3038"/>
      <c r="AL816" s="3038"/>
      <c r="AM816" s="3038"/>
      <c r="AN816" s="3038"/>
      <c r="AO816" s="3038"/>
      <c r="AP816" s="3038"/>
      <c r="AQ816" s="3038"/>
      <c r="AR816" s="3038"/>
      <c r="AS816" s="3038"/>
      <c r="AT816" s="3038"/>
      <c r="AU816" s="3038"/>
      <c r="AV816" s="3038"/>
      <c r="AW816" s="3038"/>
      <c r="AX816" s="3038"/>
      <c r="AY816" s="3038"/>
      <c r="AZ816" s="3038"/>
      <c r="BA816" s="3038"/>
      <c r="BB816" s="3038"/>
      <c r="BC816" s="3038"/>
      <c r="BD816" s="3038"/>
      <c r="BE816" s="3038"/>
      <c r="BF816" s="3038"/>
      <c r="BG816" s="3038"/>
      <c r="BH816" s="3038"/>
      <c r="BI816" s="3038"/>
      <c r="BJ816" s="3038"/>
      <c r="BK816" s="3038"/>
      <c r="BL816" s="3038"/>
      <c r="BM816" s="3038"/>
      <c r="BN816" s="3038"/>
      <c r="BO816" s="3038"/>
      <c r="BP816" s="3038"/>
      <c r="BQ816" s="3038"/>
      <c r="BR816" s="3038"/>
      <c r="BS816" s="3038"/>
      <c r="BT816" s="3038"/>
      <c r="BU816" s="3038"/>
    </row>
    <row r="817" spans="3:73">
      <c r="C817" s="3038"/>
      <c r="D817" s="3038"/>
      <c r="E817" s="3038"/>
      <c r="H817" s="3038"/>
      <c r="I817" s="3038"/>
      <c r="J817" s="3038"/>
      <c r="K817" s="3038"/>
      <c r="M817" s="3038"/>
      <c r="N817" s="3038"/>
      <c r="O817" s="3038"/>
      <c r="P817" s="3038"/>
      <c r="Q817" s="3038"/>
      <c r="R817" s="3038"/>
      <c r="S817" s="3038"/>
      <c r="T817" s="3038"/>
      <c r="W817" s="3038"/>
      <c r="X817" s="3038"/>
      <c r="Y817" s="3038"/>
      <c r="Z817" s="3038"/>
      <c r="AA817" s="3113"/>
      <c r="AB817" s="3038"/>
      <c r="AC817" s="3038"/>
      <c r="AD817" s="3038"/>
      <c r="AE817" s="3132"/>
      <c r="AF817" s="3038"/>
      <c r="AG817" s="3038"/>
      <c r="AH817" s="3038"/>
      <c r="AK817" s="3038"/>
      <c r="AL817" s="3038"/>
      <c r="AM817" s="3038"/>
      <c r="AN817" s="3038"/>
      <c r="AO817" s="3038"/>
      <c r="AP817" s="3038"/>
      <c r="AQ817" s="3038"/>
      <c r="AR817" s="3038"/>
      <c r="AS817" s="3038"/>
      <c r="AT817" s="3038"/>
      <c r="AU817" s="3038"/>
      <c r="AV817" s="3038"/>
      <c r="AW817" s="3038"/>
      <c r="AX817" s="3038"/>
      <c r="AY817" s="3038"/>
      <c r="AZ817" s="3038"/>
      <c r="BA817" s="3038"/>
      <c r="BB817" s="3038"/>
      <c r="BC817" s="3038"/>
      <c r="BD817" s="3038"/>
      <c r="BE817" s="3038"/>
      <c r="BF817" s="3038"/>
      <c r="BG817" s="3038"/>
      <c r="BH817" s="3038"/>
      <c r="BI817" s="3038"/>
      <c r="BJ817" s="3038"/>
      <c r="BK817" s="3038"/>
      <c r="BL817" s="3038"/>
      <c r="BM817" s="3038"/>
      <c r="BN817" s="3038"/>
      <c r="BO817" s="3038"/>
      <c r="BP817" s="3038"/>
      <c r="BQ817" s="3038"/>
      <c r="BR817" s="3038"/>
      <c r="BS817" s="3038"/>
      <c r="BT817" s="3038"/>
      <c r="BU817" s="3038"/>
    </row>
    <row r="818" spans="3:73">
      <c r="C818" s="3038"/>
      <c r="D818" s="3038"/>
      <c r="E818" s="3038"/>
      <c r="H818" s="3038"/>
      <c r="I818" s="3038"/>
      <c r="J818" s="3038"/>
      <c r="K818" s="3038"/>
      <c r="M818" s="3038"/>
      <c r="N818" s="3038"/>
      <c r="O818" s="3038"/>
      <c r="P818" s="3038"/>
      <c r="Q818" s="3038"/>
      <c r="R818" s="3038"/>
      <c r="S818" s="3038"/>
      <c r="T818" s="3038"/>
      <c r="W818" s="3038"/>
      <c r="X818" s="3038"/>
      <c r="Y818" s="3038"/>
      <c r="Z818" s="3038"/>
      <c r="AA818" s="3113"/>
      <c r="AB818" s="3038"/>
      <c r="AC818" s="3038"/>
      <c r="AD818" s="3038"/>
      <c r="AE818" s="3132"/>
      <c r="AF818" s="3038"/>
      <c r="AG818" s="3038"/>
      <c r="AH818" s="3038"/>
      <c r="AK818" s="3038"/>
      <c r="AL818" s="3038"/>
      <c r="AM818" s="3038"/>
      <c r="AN818" s="3038"/>
      <c r="AO818" s="3038"/>
      <c r="AP818" s="3038"/>
      <c r="AQ818" s="3038"/>
      <c r="AR818" s="3038"/>
      <c r="AS818" s="3038"/>
      <c r="AT818" s="3038"/>
      <c r="AU818" s="3038"/>
      <c r="AV818" s="3038"/>
      <c r="AW818" s="3038"/>
      <c r="AX818" s="3038"/>
      <c r="AY818" s="3038"/>
      <c r="AZ818" s="3038"/>
      <c r="BA818" s="3038"/>
      <c r="BB818" s="3038"/>
      <c r="BC818" s="3038"/>
      <c r="BD818" s="3038"/>
      <c r="BE818" s="3038"/>
      <c r="BF818" s="3038"/>
      <c r="BG818" s="3038"/>
      <c r="BH818" s="3038"/>
      <c r="BI818" s="3038"/>
      <c r="BJ818" s="3038"/>
      <c r="BK818" s="3038"/>
      <c r="BL818" s="3038"/>
      <c r="BM818" s="3038"/>
      <c r="BN818" s="3038"/>
      <c r="BO818" s="3038"/>
      <c r="BP818" s="3038"/>
      <c r="BQ818" s="3038"/>
      <c r="BR818" s="3038"/>
      <c r="BS818" s="3038"/>
      <c r="BT818" s="3038"/>
      <c r="BU818" s="3038"/>
    </row>
    <row r="819" spans="3:73">
      <c r="C819" s="3038"/>
      <c r="D819" s="3038"/>
      <c r="E819" s="3038"/>
      <c r="H819" s="3038"/>
      <c r="I819" s="3038"/>
      <c r="J819" s="3038"/>
      <c r="K819" s="3038"/>
      <c r="M819" s="3038"/>
      <c r="N819" s="3038"/>
      <c r="O819" s="3038"/>
      <c r="P819" s="3038"/>
      <c r="Q819" s="3038"/>
      <c r="R819" s="3038"/>
      <c r="S819" s="3038"/>
      <c r="T819" s="3038"/>
      <c r="W819" s="3038"/>
      <c r="X819" s="3038"/>
      <c r="Y819" s="3038"/>
      <c r="Z819" s="3038"/>
      <c r="AA819" s="3113"/>
      <c r="AB819" s="3038"/>
      <c r="AC819" s="3038"/>
      <c r="AD819" s="3038"/>
      <c r="AE819" s="3132"/>
      <c r="AF819" s="3038"/>
      <c r="AG819" s="3038"/>
      <c r="AH819" s="3038"/>
      <c r="AK819" s="3038"/>
      <c r="AL819" s="3038"/>
      <c r="AM819" s="3038"/>
      <c r="AN819" s="3038"/>
      <c r="AO819" s="3038"/>
      <c r="AP819" s="3038"/>
      <c r="AQ819" s="3038"/>
      <c r="AR819" s="3038"/>
      <c r="AS819" s="3038"/>
      <c r="AT819" s="3038"/>
      <c r="AU819" s="3038"/>
      <c r="AV819" s="3038"/>
      <c r="AW819" s="3038"/>
      <c r="AX819" s="3038"/>
      <c r="AY819" s="3038"/>
      <c r="AZ819" s="3038"/>
      <c r="BA819" s="3038"/>
      <c r="BB819" s="3038"/>
      <c r="BC819" s="3038"/>
      <c r="BD819" s="3038"/>
      <c r="BE819" s="3038"/>
      <c r="BF819" s="3038"/>
      <c r="BG819" s="3038"/>
      <c r="BH819" s="3038"/>
      <c r="BI819" s="3038"/>
      <c r="BJ819" s="3038"/>
      <c r="BK819" s="3038"/>
      <c r="BL819" s="3038"/>
      <c r="BM819" s="3038"/>
      <c r="BN819" s="3038"/>
      <c r="BO819" s="3038"/>
      <c r="BP819" s="3038"/>
      <c r="BQ819" s="3038"/>
      <c r="BR819" s="3038"/>
      <c r="BS819" s="3038"/>
      <c r="BT819" s="3038"/>
      <c r="BU819" s="3038"/>
    </row>
    <row r="820" spans="3:73">
      <c r="C820" s="3038"/>
      <c r="D820" s="3038"/>
      <c r="E820" s="3038"/>
      <c r="H820" s="3038"/>
      <c r="I820" s="3038"/>
      <c r="J820" s="3038"/>
      <c r="K820" s="3038"/>
      <c r="M820" s="3038"/>
      <c r="N820" s="3038"/>
      <c r="O820" s="3038"/>
      <c r="P820" s="3038"/>
      <c r="Q820" s="3038"/>
      <c r="R820" s="3038"/>
      <c r="S820" s="3038"/>
      <c r="T820" s="3038"/>
      <c r="W820" s="3038"/>
      <c r="X820" s="3038"/>
      <c r="Y820" s="3038"/>
      <c r="Z820" s="3038"/>
      <c r="AA820" s="3113"/>
      <c r="AB820" s="3038"/>
      <c r="AC820" s="3038"/>
      <c r="AD820" s="3038"/>
      <c r="AE820" s="3132"/>
      <c r="AF820" s="3038"/>
      <c r="AG820" s="3038"/>
      <c r="AH820" s="3038"/>
      <c r="AK820" s="3038"/>
      <c r="AL820" s="3038"/>
      <c r="AM820" s="3038"/>
      <c r="AN820" s="3038"/>
      <c r="AO820" s="3038"/>
      <c r="AP820" s="3038"/>
      <c r="AQ820" s="3038"/>
      <c r="AR820" s="3038"/>
      <c r="AS820" s="3038"/>
      <c r="AT820" s="3038"/>
      <c r="AU820" s="3038"/>
      <c r="AV820" s="3038"/>
      <c r="AW820" s="3038"/>
      <c r="AX820" s="3038"/>
      <c r="AY820" s="3038"/>
      <c r="AZ820" s="3038"/>
      <c r="BA820" s="3038"/>
      <c r="BB820" s="3038"/>
      <c r="BC820" s="3038"/>
      <c r="BD820" s="3038"/>
      <c r="BE820" s="3038"/>
      <c r="BF820" s="3038"/>
      <c r="BG820" s="3038"/>
      <c r="BH820" s="3038"/>
      <c r="BI820" s="3038"/>
      <c r="BJ820" s="3038"/>
      <c r="BK820" s="3038"/>
      <c r="BL820" s="3038"/>
      <c r="BM820" s="3038"/>
      <c r="BN820" s="3038"/>
      <c r="BO820" s="3038"/>
      <c r="BP820" s="3038"/>
      <c r="BQ820" s="3038"/>
      <c r="BR820" s="3038"/>
      <c r="BS820" s="3038"/>
      <c r="BT820" s="3038"/>
      <c r="BU820" s="3038"/>
    </row>
    <row r="821" spans="3:73">
      <c r="C821" s="3038"/>
      <c r="D821" s="3038"/>
      <c r="E821" s="3038"/>
      <c r="H821" s="3038"/>
      <c r="I821" s="3038"/>
      <c r="J821" s="3038"/>
      <c r="K821" s="3038"/>
      <c r="M821" s="3038"/>
      <c r="N821" s="3038"/>
      <c r="O821" s="3038"/>
      <c r="P821" s="3038"/>
      <c r="Q821" s="3038"/>
      <c r="R821" s="3038"/>
      <c r="S821" s="3038"/>
      <c r="T821" s="3038"/>
      <c r="W821" s="3038"/>
      <c r="X821" s="3038"/>
      <c r="Y821" s="3038"/>
      <c r="Z821" s="3038"/>
      <c r="AA821" s="3113"/>
      <c r="AB821" s="3038"/>
      <c r="AC821" s="3038"/>
      <c r="AD821" s="3038"/>
      <c r="AE821" s="3132"/>
      <c r="AF821" s="3038"/>
      <c r="AG821" s="3038"/>
      <c r="AH821" s="3038"/>
      <c r="AK821" s="3038"/>
      <c r="AL821" s="3038"/>
      <c r="AM821" s="3038"/>
      <c r="AN821" s="3038"/>
      <c r="AO821" s="3038"/>
      <c r="AP821" s="3038"/>
      <c r="AQ821" s="3038"/>
      <c r="AR821" s="3038"/>
      <c r="AS821" s="3038"/>
      <c r="AT821" s="3038"/>
      <c r="AU821" s="3038"/>
      <c r="AV821" s="3038"/>
      <c r="AW821" s="3038"/>
      <c r="AX821" s="3038"/>
      <c r="AY821" s="3038"/>
      <c r="AZ821" s="3038"/>
      <c r="BA821" s="3038"/>
      <c r="BB821" s="3038"/>
      <c r="BC821" s="3038"/>
      <c r="BD821" s="3038"/>
      <c r="BE821" s="3038"/>
      <c r="BF821" s="3038"/>
      <c r="BG821" s="3038"/>
      <c r="BH821" s="3038"/>
      <c r="BI821" s="3038"/>
      <c r="BJ821" s="3038"/>
      <c r="BK821" s="3038"/>
      <c r="BL821" s="3038"/>
      <c r="BM821" s="3038"/>
      <c r="BN821" s="3038"/>
      <c r="BO821" s="3038"/>
      <c r="BP821" s="3038"/>
      <c r="BQ821" s="3038"/>
      <c r="BR821" s="3038"/>
      <c r="BS821" s="3038"/>
      <c r="BT821" s="3038"/>
      <c r="BU821" s="3038"/>
    </row>
    <row r="822" spans="3:73">
      <c r="C822" s="3038"/>
      <c r="D822" s="3038"/>
      <c r="E822" s="3038"/>
      <c r="H822" s="3038"/>
      <c r="I822" s="3038"/>
      <c r="J822" s="3038"/>
      <c r="K822" s="3038"/>
      <c r="M822" s="3038"/>
      <c r="N822" s="3038"/>
      <c r="O822" s="3038"/>
      <c r="P822" s="3038"/>
      <c r="Q822" s="3038"/>
      <c r="R822" s="3038"/>
      <c r="S822" s="3038"/>
      <c r="T822" s="3038"/>
      <c r="W822" s="3038"/>
      <c r="X822" s="3038"/>
      <c r="Y822" s="3038"/>
      <c r="Z822" s="3038"/>
      <c r="AA822" s="3113"/>
      <c r="AB822" s="3038"/>
      <c r="AC822" s="3038"/>
      <c r="AD822" s="3038"/>
      <c r="AE822" s="3132"/>
      <c r="AF822" s="3038"/>
      <c r="AG822" s="3038"/>
      <c r="AH822" s="3038"/>
      <c r="AK822" s="3038"/>
      <c r="AL822" s="3038"/>
      <c r="AM822" s="3038"/>
      <c r="AN822" s="3038"/>
      <c r="AO822" s="3038"/>
      <c r="AP822" s="3038"/>
      <c r="AQ822" s="3038"/>
      <c r="AR822" s="3038"/>
      <c r="AS822" s="3038"/>
      <c r="AT822" s="3038"/>
      <c r="AU822" s="3038"/>
      <c r="AV822" s="3038"/>
      <c r="AW822" s="3038"/>
      <c r="AX822" s="3038"/>
      <c r="AY822" s="3038"/>
      <c r="AZ822" s="3038"/>
      <c r="BA822" s="3038"/>
      <c r="BB822" s="3038"/>
      <c r="BC822" s="3038"/>
      <c r="BD822" s="3038"/>
      <c r="BE822" s="3038"/>
      <c r="BF822" s="3038"/>
      <c r="BG822" s="3038"/>
      <c r="BH822" s="3038"/>
      <c r="BI822" s="3038"/>
      <c r="BJ822" s="3038"/>
      <c r="BK822" s="3038"/>
      <c r="BL822" s="3038"/>
      <c r="BM822" s="3038"/>
      <c r="BN822" s="3038"/>
      <c r="BO822" s="3038"/>
      <c r="BP822" s="3038"/>
      <c r="BQ822" s="3038"/>
      <c r="BR822" s="3038"/>
      <c r="BS822" s="3038"/>
      <c r="BT822" s="3038"/>
      <c r="BU822" s="3038"/>
    </row>
    <row r="823" spans="3:73">
      <c r="C823" s="3038"/>
      <c r="D823" s="3038"/>
      <c r="E823" s="3038"/>
      <c r="H823" s="3038"/>
      <c r="I823" s="3038"/>
      <c r="J823" s="3038"/>
      <c r="K823" s="3038"/>
      <c r="M823" s="3038"/>
      <c r="N823" s="3038"/>
      <c r="O823" s="3038"/>
      <c r="P823" s="3038"/>
      <c r="Q823" s="3038"/>
      <c r="R823" s="3038"/>
      <c r="S823" s="3038"/>
      <c r="T823" s="3038"/>
      <c r="W823" s="3038"/>
      <c r="X823" s="3038"/>
      <c r="Y823" s="3038"/>
      <c r="Z823" s="3038"/>
      <c r="AA823" s="3113"/>
      <c r="AB823" s="3038"/>
      <c r="AC823" s="3038"/>
      <c r="AD823" s="3038"/>
      <c r="AE823" s="3132"/>
      <c r="AF823" s="3038"/>
      <c r="AG823" s="3038"/>
      <c r="AH823" s="3038"/>
      <c r="AK823" s="3038"/>
      <c r="AL823" s="3038"/>
      <c r="AM823" s="3038"/>
      <c r="AN823" s="3038"/>
      <c r="AO823" s="3038"/>
      <c r="AP823" s="3038"/>
      <c r="AQ823" s="3038"/>
      <c r="AR823" s="3038"/>
      <c r="AS823" s="3038"/>
      <c r="AT823" s="3038"/>
      <c r="AU823" s="3038"/>
      <c r="AV823" s="3038"/>
      <c r="AW823" s="3038"/>
      <c r="AX823" s="3038"/>
      <c r="AY823" s="3038"/>
      <c r="AZ823" s="3038"/>
      <c r="BA823" s="3038"/>
      <c r="BB823" s="3038"/>
      <c r="BC823" s="3038"/>
      <c r="BD823" s="3038"/>
      <c r="BE823" s="3038"/>
      <c r="BF823" s="3038"/>
      <c r="BG823" s="3038"/>
      <c r="BH823" s="3038"/>
      <c r="BI823" s="3038"/>
      <c r="BJ823" s="3038"/>
      <c r="BK823" s="3038"/>
      <c r="BL823" s="3038"/>
      <c r="BM823" s="3038"/>
      <c r="BN823" s="3038"/>
      <c r="BO823" s="3038"/>
      <c r="BP823" s="3038"/>
      <c r="BQ823" s="3038"/>
      <c r="BR823" s="3038"/>
      <c r="BS823" s="3038"/>
      <c r="BT823" s="3038"/>
      <c r="BU823" s="3038"/>
    </row>
    <row r="824" spans="3:73">
      <c r="C824" s="3038"/>
      <c r="D824" s="3038"/>
      <c r="E824" s="3038"/>
      <c r="H824" s="3038"/>
      <c r="I824" s="3038"/>
      <c r="J824" s="3038"/>
      <c r="K824" s="3038"/>
      <c r="M824" s="3038"/>
      <c r="N824" s="3038"/>
      <c r="O824" s="3038"/>
      <c r="P824" s="3038"/>
      <c r="Q824" s="3038"/>
      <c r="R824" s="3038"/>
      <c r="S824" s="3038"/>
      <c r="T824" s="3038"/>
      <c r="W824" s="3038"/>
      <c r="X824" s="3038"/>
      <c r="Y824" s="3038"/>
      <c r="Z824" s="3038"/>
      <c r="AA824" s="3113"/>
      <c r="AB824" s="3038"/>
      <c r="AC824" s="3038"/>
      <c r="AD824" s="3038"/>
      <c r="AE824" s="3132"/>
      <c r="AF824" s="3038"/>
      <c r="AG824" s="3038"/>
      <c r="AH824" s="3038"/>
      <c r="AK824" s="3038"/>
      <c r="AL824" s="3038"/>
      <c r="AM824" s="3038"/>
      <c r="AN824" s="3038"/>
      <c r="AO824" s="3038"/>
      <c r="AP824" s="3038"/>
      <c r="AQ824" s="3038"/>
      <c r="AR824" s="3038"/>
      <c r="AS824" s="3038"/>
      <c r="AT824" s="3038"/>
      <c r="AU824" s="3038"/>
      <c r="AV824" s="3038"/>
      <c r="AW824" s="3038"/>
      <c r="AX824" s="3038"/>
      <c r="AY824" s="3038"/>
      <c r="AZ824" s="3038"/>
      <c r="BA824" s="3038"/>
      <c r="BB824" s="3038"/>
      <c r="BC824" s="3038"/>
      <c r="BD824" s="3038"/>
      <c r="BE824" s="3038"/>
      <c r="BF824" s="3038"/>
      <c r="BG824" s="3038"/>
      <c r="BH824" s="3038"/>
      <c r="BI824" s="3038"/>
      <c r="BJ824" s="3038"/>
      <c r="BK824" s="3038"/>
      <c r="BL824" s="3038"/>
      <c r="BM824" s="3038"/>
      <c r="BN824" s="3038"/>
      <c r="BO824" s="3038"/>
      <c r="BP824" s="3038"/>
      <c r="BQ824" s="3038"/>
      <c r="BR824" s="3038"/>
      <c r="BS824" s="3038"/>
      <c r="BT824" s="3038"/>
      <c r="BU824" s="3038"/>
    </row>
    <row r="825" spans="3:73">
      <c r="C825" s="3038"/>
      <c r="D825" s="3038"/>
      <c r="E825" s="3038"/>
      <c r="H825" s="3038"/>
      <c r="I825" s="3038"/>
      <c r="J825" s="3038"/>
      <c r="K825" s="3038"/>
      <c r="M825" s="3038"/>
      <c r="N825" s="3038"/>
      <c r="O825" s="3038"/>
      <c r="P825" s="3038"/>
      <c r="Q825" s="3038"/>
      <c r="R825" s="3038"/>
      <c r="S825" s="3038"/>
      <c r="T825" s="3038"/>
      <c r="W825" s="3038"/>
      <c r="X825" s="3038"/>
      <c r="Y825" s="3038"/>
      <c r="Z825" s="3038"/>
      <c r="AA825" s="3113"/>
      <c r="AB825" s="3038"/>
      <c r="AC825" s="3038"/>
      <c r="AD825" s="3038"/>
      <c r="AE825" s="3132"/>
      <c r="AF825" s="3038"/>
      <c r="AG825" s="3038"/>
      <c r="AH825" s="3038"/>
      <c r="AK825" s="3038"/>
      <c r="AL825" s="3038"/>
      <c r="AM825" s="3038"/>
      <c r="AN825" s="3038"/>
      <c r="AO825" s="3038"/>
      <c r="AP825" s="3038"/>
      <c r="AQ825" s="3038"/>
      <c r="AR825" s="3038"/>
      <c r="AS825" s="3038"/>
      <c r="AT825" s="3038"/>
      <c r="AU825" s="3038"/>
      <c r="AV825" s="3038"/>
      <c r="AW825" s="3038"/>
      <c r="AX825" s="3038"/>
      <c r="AY825" s="3038"/>
      <c r="AZ825" s="3038"/>
      <c r="BA825" s="3038"/>
      <c r="BB825" s="3038"/>
      <c r="BC825" s="3038"/>
      <c r="BD825" s="3038"/>
      <c r="BE825" s="3038"/>
      <c r="BF825" s="3038"/>
      <c r="BG825" s="3038"/>
      <c r="BH825" s="3038"/>
      <c r="BI825" s="3038"/>
      <c r="BJ825" s="3038"/>
      <c r="BK825" s="3038"/>
      <c r="BL825" s="3038"/>
      <c r="BM825" s="3038"/>
      <c r="BN825" s="3038"/>
      <c r="BO825" s="3038"/>
      <c r="BP825" s="3038"/>
      <c r="BQ825" s="3038"/>
      <c r="BR825" s="3038"/>
      <c r="BS825" s="3038"/>
      <c r="BT825" s="3038"/>
      <c r="BU825" s="3038"/>
    </row>
    <row r="826" spans="3:73">
      <c r="C826" s="3038"/>
      <c r="D826" s="3038"/>
      <c r="E826" s="3038"/>
      <c r="H826" s="3038"/>
      <c r="I826" s="3038"/>
      <c r="J826" s="3038"/>
      <c r="K826" s="3038"/>
      <c r="M826" s="3038"/>
      <c r="N826" s="3038"/>
      <c r="O826" s="3038"/>
      <c r="P826" s="3038"/>
      <c r="Q826" s="3038"/>
      <c r="R826" s="3038"/>
      <c r="S826" s="3038"/>
      <c r="T826" s="3038"/>
      <c r="W826" s="3038"/>
      <c r="X826" s="3038"/>
      <c r="Y826" s="3038"/>
      <c r="Z826" s="3038"/>
      <c r="AA826" s="3113"/>
      <c r="AB826" s="3038"/>
      <c r="AC826" s="3038"/>
      <c r="AD826" s="3038"/>
      <c r="AE826" s="3132"/>
      <c r="AF826" s="3038"/>
      <c r="AG826" s="3038"/>
      <c r="AH826" s="3038"/>
      <c r="AK826" s="3038"/>
      <c r="AL826" s="3038"/>
      <c r="AM826" s="3038"/>
      <c r="AN826" s="3038"/>
      <c r="AO826" s="3038"/>
      <c r="AP826" s="3038"/>
      <c r="AQ826" s="3038"/>
      <c r="AR826" s="3038"/>
      <c r="AS826" s="3038"/>
      <c r="AT826" s="3038"/>
      <c r="AU826" s="3038"/>
      <c r="AV826" s="3038"/>
      <c r="AW826" s="3038"/>
      <c r="AX826" s="3038"/>
      <c r="AY826" s="3038"/>
      <c r="AZ826" s="3038"/>
      <c r="BA826" s="3038"/>
      <c r="BB826" s="3038"/>
      <c r="BC826" s="3038"/>
      <c r="BD826" s="3038"/>
      <c r="BE826" s="3038"/>
      <c r="BF826" s="3038"/>
      <c r="BG826" s="3038"/>
      <c r="BH826" s="3038"/>
      <c r="BI826" s="3038"/>
      <c r="BJ826" s="3038"/>
      <c r="BK826" s="3038"/>
      <c r="BL826" s="3038"/>
      <c r="BM826" s="3038"/>
      <c r="BN826" s="3038"/>
      <c r="BO826" s="3038"/>
      <c r="BP826" s="3038"/>
      <c r="BQ826" s="3038"/>
      <c r="BR826" s="3038"/>
      <c r="BS826" s="3038"/>
      <c r="BT826" s="3038"/>
      <c r="BU826" s="3038"/>
    </row>
    <row r="827" spans="3:73">
      <c r="C827" s="3038"/>
      <c r="D827" s="3038"/>
      <c r="E827" s="3038"/>
      <c r="H827" s="3038"/>
      <c r="I827" s="3038"/>
      <c r="J827" s="3038"/>
      <c r="K827" s="3038"/>
      <c r="M827" s="3038"/>
      <c r="N827" s="3038"/>
      <c r="O827" s="3038"/>
      <c r="P827" s="3038"/>
      <c r="Q827" s="3038"/>
      <c r="R827" s="3038"/>
      <c r="S827" s="3038"/>
      <c r="T827" s="3038"/>
      <c r="W827" s="3038"/>
      <c r="X827" s="3038"/>
      <c r="Y827" s="3038"/>
      <c r="Z827" s="3038"/>
      <c r="AA827" s="3113"/>
      <c r="AB827" s="3038"/>
      <c r="AC827" s="3038"/>
      <c r="AD827" s="3038"/>
      <c r="AE827" s="3132"/>
      <c r="AF827" s="3038"/>
      <c r="AG827" s="3038"/>
      <c r="AH827" s="3038"/>
      <c r="AK827" s="3038"/>
      <c r="AL827" s="3038"/>
      <c r="AM827" s="3038"/>
      <c r="AN827" s="3038"/>
      <c r="AO827" s="3038"/>
      <c r="AP827" s="3038"/>
      <c r="AQ827" s="3038"/>
      <c r="AR827" s="3038"/>
      <c r="AS827" s="3038"/>
      <c r="AT827" s="3038"/>
      <c r="AU827" s="3038"/>
      <c r="AV827" s="3038"/>
      <c r="AW827" s="3038"/>
      <c r="AX827" s="3038"/>
      <c r="AY827" s="3038"/>
      <c r="AZ827" s="3038"/>
      <c r="BA827" s="3038"/>
      <c r="BB827" s="3038"/>
      <c r="BC827" s="3038"/>
      <c r="BD827" s="3038"/>
      <c r="BE827" s="3038"/>
      <c r="BF827" s="3038"/>
      <c r="BG827" s="3038"/>
      <c r="BH827" s="3038"/>
      <c r="BI827" s="3038"/>
      <c r="BJ827" s="3038"/>
      <c r="BK827" s="3038"/>
      <c r="BL827" s="3038"/>
      <c r="BM827" s="3038"/>
      <c r="BN827" s="3038"/>
      <c r="BO827" s="3038"/>
      <c r="BP827" s="3038"/>
      <c r="BQ827" s="3038"/>
      <c r="BR827" s="3038"/>
      <c r="BS827" s="3038"/>
      <c r="BT827" s="3038"/>
      <c r="BU827" s="3038"/>
    </row>
    <row r="828" spans="3:73">
      <c r="C828" s="3038"/>
      <c r="D828" s="3038"/>
      <c r="E828" s="3038"/>
      <c r="H828" s="3038"/>
      <c r="I828" s="3038"/>
      <c r="J828" s="3038"/>
      <c r="K828" s="3038"/>
      <c r="M828" s="3038"/>
      <c r="N828" s="3038"/>
      <c r="O828" s="3038"/>
      <c r="P828" s="3038"/>
      <c r="Q828" s="3038"/>
      <c r="R828" s="3038"/>
      <c r="S828" s="3038"/>
      <c r="T828" s="3038"/>
      <c r="W828" s="3038"/>
      <c r="X828" s="3038"/>
      <c r="Y828" s="3038"/>
      <c r="Z828" s="3038"/>
      <c r="AA828" s="3113"/>
      <c r="AB828" s="3038"/>
      <c r="AC828" s="3038"/>
      <c r="AD828" s="3038"/>
      <c r="AE828" s="3132"/>
      <c r="AF828" s="3038"/>
      <c r="AG828" s="3038"/>
      <c r="AH828" s="3038"/>
      <c r="AK828" s="3038"/>
      <c r="AL828" s="3038"/>
      <c r="AM828" s="3038"/>
      <c r="AN828" s="3038"/>
      <c r="AO828" s="3038"/>
      <c r="AP828" s="3038"/>
      <c r="AQ828" s="3038"/>
      <c r="AR828" s="3038"/>
      <c r="AS828" s="3038"/>
      <c r="AT828" s="3038"/>
      <c r="AU828" s="3038"/>
      <c r="AV828" s="3038"/>
      <c r="AW828" s="3038"/>
      <c r="AX828" s="3038"/>
      <c r="AY828" s="3038"/>
      <c r="AZ828" s="3038"/>
      <c r="BA828" s="3038"/>
      <c r="BB828" s="3038"/>
      <c r="BC828" s="3038"/>
      <c r="BD828" s="3038"/>
      <c r="BE828" s="3038"/>
      <c r="BF828" s="3038"/>
      <c r="BG828" s="3038"/>
      <c r="BH828" s="3038"/>
      <c r="BI828" s="3038"/>
      <c r="BJ828" s="3038"/>
      <c r="BK828" s="3038"/>
      <c r="BL828" s="3038"/>
      <c r="BM828" s="3038"/>
      <c r="BN828" s="3038"/>
      <c r="BO828" s="3038"/>
      <c r="BP828" s="3038"/>
      <c r="BQ828" s="3038"/>
      <c r="BR828" s="3038"/>
      <c r="BS828" s="3038"/>
      <c r="BT828" s="3038"/>
      <c r="BU828" s="3038"/>
    </row>
    <row r="829" spans="3:73">
      <c r="C829" s="3038"/>
      <c r="D829" s="3038"/>
      <c r="E829" s="3038"/>
      <c r="H829" s="3038"/>
      <c r="I829" s="3038"/>
      <c r="J829" s="3038"/>
      <c r="K829" s="3038"/>
      <c r="M829" s="3038"/>
      <c r="N829" s="3038"/>
      <c r="O829" s="3038"/>
      <c r="P829" s="3038"/>
      <c r="Q829" s="3038"/>
      <c r="R829" s="3038"/>
      <c r="S829" s="3038"/>
      <c r="T829" s="3038"/>
      <c r="W829" s="3038"/>
      <c r="X829" s="3038"/>
      <c r="Y829" s="3038"/>
      <c r="Z829" s="3038"/>
      <c r="AA829" s="3113"/>
      <c r="AB829" s="3038"/>
      <c r="AC829" s="3038"/>
      <c r="AD829" s="3038"/>
      <c r="AE829" s="3132"/>
      <c r="AF829" s="3038"/>
      <c r="AG829" s="3038"/>
      <c r="AH829" s="3038"/>
      <c r="AK829" s="3038"/>
      <c r="AL829" s="3038"/>
      <c r="AM829" s="3038"/>
      <c r="AN829" s="3038"/>
      <c r="AO829" s="3038"/>
      <c r="AP829" s="3038"/>
      <c r="AQ829" s="3038"/>
      <c r="AR829" s="3038"/>
      <c r="AS829" s="3038"/>
      <c r="AT829" s="3038"/>
      <c r="AU829" s="3038"/>
      <c r="AV829" s="3038"/>
      <c r="AW829" s="3038"/>
      <c r="AX829" s="3038"/>
      <c r="AY829" s="3038"/>
      <c r="AZ829" s="3038"/>
      <c r="BA829" s="3038"/>
      <c r="BB829" s="3038"/>
      <c r="BC829" s="3038"/>
      <c r="BD829" s="3038"/>
      <c r="BE829" s="3038"/>
      <c r="BF829" s="3038"/>
      <c r="BG829" s="3038"/>
      <c r="BH829" s="3038"/>
      <c r="BI829" s="3038"/>
      <c r="BJ829" s="3038"/>
      <c r="BK829" s="3038"/>
      <c r="BL829" s="3038"/>
      <c r="BM829" s="3038"/>
      <c r="BN829" s="3038"/>
      <c r="BO829" s="3038"/>
      <c r="BP829" s="3038"/>
      <c r="BQ829" s="3038"/>
      <c r="BR829" s="3038"/>
      <c r="BS829" s="3038"/>
      <c r="BT829" s="3038"/>
      <c r="BU829" s="3038"/>
    </row>
    <row r="830" spans="3:73">
      <c r="C830" s="3038"/>
      <c r="D830" s="3038"/>
      <c r="E830" s="3038"/>
      <c r="H830" s="3038"/>
      <c r="I830" s="3038"/>
      <c r="J830" s="3038"/>
      <c r="K830" s="3038"/>
      <c r="M830" s="3038"/>
      <c r="N830" s="3038"/>
      <c r="O830" s="3038"/>
      <c r="P830" s="3038"/>
      <c r="Q830" s="3038"/>
      <c r="R830" s="3038"/>
      <c r="S830" s="3038"/>
      <c r="T830" s="3038"/>
      <c r="W830" s="3038"/>
      <c r="X830" s="3038"/>
      <c r="Y830" s="3038"/>
      <c r="Z830" s="3038"/>
      <c r="AA830" s="3113"/>
      <c r="AB830" s="3038"/>
      <c r="AC830" s="3038"/>
      <c r="AD830" s="3038"/>
      <c r="AE830" s="3132"/>
      <c r="AF830" s="3038"/>
      <c r="AG830" s="3038"/>
      <c r="AH830" s="3038"/>
      <c r="AK830" s="3038"/>
      <c r="AL830" s="3038"/>
      <c r="AM830" s="3038"/>
      <c r="AN830" s="3038"/>
      <c r="AO830" s="3038"/>
      <c r="AP830" s="3038"/>
      <c r="AQ830" s="3038"/>
      <c r="AR830" s="3038"/>
      <c r="AS830" s="3038"/>
      <c r="AT830" s="3038"/>
      <c r="AU830" s="3038"/>
      <c r="AV830" s="3038"/>
      <c r="AW830" s="3038"/>
      <c r="AX830" s="3038"/>
      <c r="AY830" s="3038"/>
      <c r="AZ830" s="3038"/>
      <c r="BA830" s="3038"/>
      <c r="BB830" s="3038"/>
      <c r="BC830" s="3038"/>
      <c r="BD830" s="3038"/>
      <c r="BE830" s="3038"/>
      <c r="BF830" s="3038"/>
      <c r="BG830" s="3038"/>
      <c r="BH830" s="3038"/>
      <c r="BI830" s="3038"/>
      <c r="BJ830" s="3038"/>
      <c r="BK830" s="3038"/>
      <c r="BL830" s="3038"/>
      <c r="BM830" s="3038"/>
      <c r="BN830" s="3038"/>
      <c r="BO830" s="3038"/>
      <c r="BP830" s="3038"/>
      <c r="BQ830" s="3038"/>
      <c r="BR830" s="3038"/>
      <c r="BS830" s="3038"/>
      <c r="BT830" s="3038"/>
      <c r="BU830" s="3038"/>
    </row>
    <row r="831" spans="3:73">
      <c r="C831" s="3038"/>
      <c r="D831" s="3038"/>
      <c r="E831" s="3038"/>
      <c r="H831" s="3038"/>
      <c r="I831" s="3038"/>
      <c r="J831" s="3038"/>
      <c r="K831" s="3038"/>
      <c r="M831" s="3038"/>
      <c r="N831" s="3038"/>
      <c r="O831" s="3038"/>
      <c r="P831" s="3038"/>
      <c r="Q831" s="3038"/>
      <c r="R831" s="3038"/>
      <c r="S831" s="3038"/>
      <c r="T831" s="3038"/>
      <c r="W831" s="3038"/>
      <c r="X831" s="3038"/>
      <c r="Y831" s="3038"/>
      <c r="Z831" s="3038"/>
      <c r="AA831" s="3113"/>
      <c r="AB831" s="3038"/>
      <c r="AC831" s="3038"/>
      <c r="AD831" s="3038"/>
      <c r="AE831" s="3132"/>
      <c r="AF831" s="3038"/>
      <c r="AG831" s="3038"/>
      <c r="AH831" s="3038"/>
      <c r="AK831" s="3038"/>
      <c r="AL831" s="3038"/>
      <c r="AM831" s="3038"/>
      <c r="AN831" s="3038"/>
      <c r="AO831" s="3038"/>
      <c r="AP831" s="3038"/>
      <c r="AQ831" s="3038"/>
      <c r="AR831" s="3038"/>
      <c r="AS831" s="3038"/>
      <c r="AT831" s="3038"/>
      <c r="AU831" s="3038"/>
      <c r="AV831" s="3038"/>
      <c r="AW831" s="3038"/>
      <c r="AX831" s="3038"/>
      <c r="AY831" s="3038"/>
      <c r="AZ831" s="3038"/>
      <c r="BA831" s="3038"/>
      <c r="BB831" s="3038"/>
      <c r="BC831" s="3038"/>
      <c r="BD831" s="3038"/>
      <c r="BE831" s="3038"/>
      <c r="BF831" s="3038"/>
      <c r="BG831" s="3038"/>
      <c r="BH831" s="3038"/>
      <c r="BI831" s="3038"/>
      <c r="BJ831" s="3038"/>
      <c r="BK831" s="3038"/>
      <c r="BL831" s="3038"/>
      <c r="BM831" s="3038"/>
      <c r="BN831" s="3038"/>
      <c r="BO831" s="3038"/>
      <c r="BP831" s="3038"/>
      <c r="BQ831" s="3038"/>
      <c r="BR831" s="3038"/>
      <c r="BS831" s="3038"/>
      <c r="BT831" s="3038"/>
      <c r="BU831" s="3038"/>
    </row>
    <row r="832" spans="3:73">
      <c r="C832" s="3038"/>
      <c r="D832" s="3038"/>
      <c r="E832" s="3038"/>
      <c r="H832" s="3038"/>
      <c r="I832" s="3038"/>
      <c r="J832" s="3038"/>
      <c r="K832" s="3038"/>
      <c r="M832" s="3038"/>
      <c r="N832" s="3038"/>
      <c r="O832" s="3038"/>
      <c r="P832" s="3038"/>
      <c r="Q832" s="3038"/>
      <c r="R832" s="3038"/>
      <c r="S832" s="3038"/>
      <c r="T832" s="3038"/>
      <c r="W832" s="3038"/>
      <c r="X832" s="3038"/>
      <c r="Y832" s="3038"/>
      <c r="Z832" s="3038"/>
      <c r="AA832" s="3113"/>
      <c r="AB832" s="3038"/>
      <c r="AC832" s="3038"/>
      <c r="AD832" s="3038"/>
      <c r="AE832" s="3132"/>
      <c r="AF832" s="3038"/>
      <c r="AG832" s="3038"/>
      <c r="AH832" s="3038"/>
      <c r="AK832" s="3038"/>
      <c r="AL832" s="3038"/>
      <c r="AM832" s="3038"/>
      <c r="AN832" s="3038"/>
      <c r="AO832" s="3038"/>
      <c r="AP832" s="3038"/>
      <c r="AQ832" s="3038"/>
      <c r="AR832" s="3038"/>
      <c r="AS832" s="3038"/>
      <c r="AT832" s="3038"/>
      <c r="AU832" s="3038"/>
      <c r="AV832" s="3038"/>
      <c r="AW832" s="3038"/>
      <c r="AX832" s="3038"/>
      <c r="AY832" s="3038"/>
      <c r="AZ832" s="3038"/>
      <c r="BA832" s="3038"/>
      <c r="BB832" s="3038"/>
      <c r="BC832" s="3038"/>
      <c r="BD832" s="3038"/>
      <c r="BE832" s="3038"/>
      <c r="BF832" s="3038"/>
      <c r="BG832" s="3038"/>
      <c r="BH832" s="3038"/>
      <c r="BI832" s="3038"/>
      <c r="BJ832" s="3038"/>
      <c r="BK832" s="3038"/>
      <c r="BL832" s="3038"/>
      <c r="BM832" s="3038"/>
      <c r="BN832" s="3038"/>
      <c r="BO832" s="3038"/>
      <c r="BP832" s="3038"/>
      <c r="BQ832" s="3038"/>
      <c r="BR832" s="3038"/>
      <c r="BS832" s="3038"/>
      <c r="BT832" s="3038"/>
      <c r="BU832" s="3038"/>
    </row>
    <row r="833" spans="3:73">
      <c r="C833" s="3038"/>
      <c r="D833" s="3038"/>
      <c r="E833" s="3038"/>
      <c r="H833" s="3038"/>
      <c r="I833" s="3038"/>
      <c r="J833" s="3038"/>
      <c r="K833" s="3038"/>
      <c r="M833" s="3038"/>
      <c r="N833" s="3038"/>
      <c r="O833" s="3038"/>
      <c r="P833" s="3038"/>
      <c r="Q833" s="3038"/>
      <c r="R833" s="3038"/>
      <c r="S833" s="3038"/>
      <c r="T833" s="3038"/>
      <c r="W833" s="3038"/>
      <c r="X833" s="3038"/>
      <c r="Y833" s="3038"/>
      <c r="Z833" s="3038"/>
      <c r="AA833" s="3113"/>
      <c r="AB833" s="3038"/>
      <c r="AC833" s="3038"/>
      <c r="AD833" s="3038"/>
      <c r="AE833" s="3132"/>
      <c r="AF833" s="3038"/>
      <c r="AG833" s="3038"/>
      <c r="AH833" s="3038"/>
      <c r="AK833" s="3038"/>
      <c r="AL833" s="3038"/>
      <c r="AM833" s="3038"/>
      <c r="AN833" s="3038"/>
      <c r="AO833" s="3038"/>
      <c r="AP833" s="3038"/>
      <c r="AQ833" s="3038"/>
      <c r="AR833" s="3038"/>
      <c r="AS833" s="3038"/>
      <c r="AT833" s="3038"/>
      <c r="AU833" s="3038"/>
      <c r="AV833" s="3038"/>
      <c r="AW833" s="3038"/>
      <c r="AX833" s="3038"/>
      <c r="AY833" s="3038"/>
      <c r="AZ833" s="3038"/>
      <c r="BA833" s="3038"/>
      <c r="BB833" s="3038"/>
      <c r="BC833" s="3038"/>
      <c r="BD833" s="3038"/>
      <c r="BE833" s="3038"/>
      <c r="BF833" s="3038"/>
      <c r="BG833" s="3038"/>
      <c r="BH833" s="3038"/>
      <c r="BI833" s="3038"/>
      <c r="BJ833" s="3038"/>
      <c r="BK833" s="3038"/>
      <c r="BL833" s="3038"/>
      <c r="BM833" s="3038"/>
      <c r="BN833" s="3038"/>
      <c r="BO833" s="3038"/>
      <c r="BP833" s="3038"/>
      <c r="BQ833" s="3038"/>
      <c r="BR833" s="3038"/>
      <c r="BS833" s="3038"/>
      <c r="BT833" s="3038"/>
      <c r="BU833" s="3038"/>
    </row>
    <row r="834" spans="3:73">
      <c r="C834" s="3038"/>
      <c r="D834" s="3038"/>
      <c r="E834" s="3038"/>
      <c r="H834" s="3038"/>
      <c r="I834" s="3038"/>
      <c r="J834" s="3038"/>
      <c r="K834" s="3038"/>
      <c r="M834" s="3038"/>
      <c r="N834" s="3038"/>
      <c r="O834" s="3038"/>
      <c r="P834" s="3038"/>
      <c r="Q834" s="3038"/>
      <c r="R834" s="3038"/>
      <c r="S834" s="3038"/>
      <c r="T834" s="3038"/>
      <c r="W834" s="3038"/>
      <c r="X834" s="3038"/>
      <c r="Y834" s="3038"/>
      <c r="Z834" s="3038"/>
      <c r="AA834" s="3113"/>
      <c r="AB834" s="3038"/>
      <c r="AC834" s="3038"/>
      <c r="AD834" s="3038"/>
      <c r="AE834" s="3132"/>
      <c r="AF834" s="3038"/>
      <c r="AG834" s="3038"/>
      <c r="AH834" s="3038"/>
      <c r="AK834" s="3038"/>
      <c r="AL834" s="3038"/>
      <c r="AM834" s="3038"/>
      <c r="AN834" s="3038"/>
      <c r="AO834" s="3038"/>
      <c r="AP834" s="3038"/>
      <c r="AQ834" s="3038"/>
      <c r="AR834" s="3038"/>
      <c r="AS834" s="3038"/>
      <c r="AT834" s="3038"/>
      <c r="AU834" s="3038"/>
      <c r="AV834" s="3038"/>
      <c r="AW834" s="3038"/>
      <c r="AX834" s="3038"/>
      <c r="AY834" s="3038"/>
      <c r="AZ834" s="3038"/>
      <c r="BA834" s="3038"/>
      <c r="BB834" s="3038"/>
      <c r="BC834" s="3038"/>
      <c r="BD834" s="3038"/>
      <c r="BE834" s="3038"/>
      <c r="BF834" s="3038"/>
      <c r="BG834" s="3038"/>
      <c r="BH834" s="3038"/>
      <c r="BI834" s="3038"/>
      <c r="BJ834" s="3038"/>
      <c r="BK834" s="3038"/>
      <c r="BL834" s="3038"/>
      <c r="BM834" s="3038"/>
      <c r="BN834" s="3038"/>
      <c r="BO834" s="3038"/>
      <c r="BP834" s="3038"/>
      <c r="BQ834" s="3038"/>
      <c r="BR834" s="3038"/>
      <c r="BS834" s="3038"/>
      <c r="BT834" s="3038"/>
      <c r="BU834" s="3038"/>
    </row>
    <row r="835" spans="3:73">
      <c r="C835" s="3038"/>
      <c r="D835" s="3038"/>
      <c r="E835" s="3038"/>
      <c r="H835" s="3038"/>
      <c r="I835" s="3038"/>
      <c r="J835" s="3038"/>
      <c r="K835" s="3038"/>
      <c r="M835" s="3038"/>
      <c r="N835" s="3038"/>
      <c r="O835" s="3038"/>
      <c r="P835" s="3038"/>
      <c r="Q835" s="3038"/>
      <c r="R835" s="3038"/>
      <c r="S835" s="3038"/>
      <c r="T835" s="3038"/>
      <c r="W835" s="3038"/>
      <c r="X835" s="3038"/>
      <c r="Y835" s="3038"/>
      <c r="Z835" s="3038"/>
      <c r="AA835" s="3113"/>
      <c r="AB835" s="3038"/>
      <c r="AC835" s="3038"/>
      <c r="AD835" s="3038"/>
      <c r="AE835" s="3132"/>
      <c r="AF835" s="3038"/>
      <c r="AG835" s="3038"/>
      <c r="AH835" s="3038"/>
      <c r="AK835" s="3038"/>
      <c r="AL835" s="3038"/>
      <c r="AM835" s="3038"/>
      <c r="AN835" s="3038"/>
      <c r="AO835" s="3038"/>
      <c r="AP835" s="3038"/>
      <c r="AQ835" s="3038"/>
      <c r="AR835" s="3038"/>
      <c r="AS835" s="3038"/>
      <c r="AT835" s="3038"/>
      <c r="AU835" s="3038"/>
      <c r="AV835" s="3038"/>
      <c r="AW835" s="3038"/>
      <c r="AX835" s="3038"/>
      <c r="AY835" s="3038"/>
      <c r="AZ835" s="3038"/>
      <c r="BA835" s="3038"/>
      <c r="BB835" s="3038"/>
      <c r="BC835" s="3038"/>
      <c r="BD835" s="3038"/>
      <c r="BE835" s="3038"/>
      <c r="BF835" s="3038"/>
      <c r="BG835" s="3038"/>
      <c r="BH835" s="3038"/>
      <c r="BI835" s="3038"/>
      <c r="BJ835" s="3038"/>
      <c r="BK835" s="3038"/>
      <c r="BL835" s="3038"/>
      <c r="BM835" s="3038"/>
      <c r="BN835" s="3038"/>
      <c r="BO835" s="3038"/>
      <c r="BP835" s="3038"/>
      <c r="BQ835" s="3038"/>
      <c r="BR835" s="3038"/>
      <c r="BS835" s="3038"/>
      <c r="BT835" s="3038"/>
      <c r="BU835" s="3038"/>
    </row>
    <row r="836" spans="3:73">
      <c r="C836" s="3038"/>
      <c r="D836" s="3038"/>
      <c r="E836" s="3038"/>
      <c r="H836" s="3038"/>
      <c r="I836" s="3038"/>
      <c r="J836" s="3038"/>
      <c r="K836" s="3038"/>
      <c r="M836" s="3038"/>
      <c r="N836" s="3038"/>
      <c r="O836" s="3038"/>
      <c r="P836" s="3038"/>
      <c r="Q836" s="3038"/>
      <c r="R836" s="3038"/>
      <c r="S836" s="3038"/>
      <c r="T836" s="3038"/>
      <c r="W836" s="3038"/>
      <c r="X836" s="3038"/>
      <c r="Y836" s="3038"/>
      <c r="Z836" s="3038"/>
      <c r="AA836" s="3113"/>
      <c r="AB836" s="3038"/>
      <c r="AC836" s="3038"/>
      <c r="AD836" s="3038"/>
      <c r="AE836" s="3132"/>
      <c r="AF836" s="3038"/>
      <c r="AG836" s="3038"/>
      <c r="AH836" s="3038"/>
      <c r="AK836" s="3038"/>
      <c r="AL836" s="3038"/>
      <c r="AM836" s="3038"/>
      <c r="AN836" s="3038"/>
      <c r="AO836" s="3038"/>
      <c r="AP836" s="3038"/>
      <c r="AQ836" s="3038"/>
      <c r="AR836" s="3038"/>
      <c r="AS836" s="3038"/>
      <c r="AT836" s="3038"/>
      <c r="AU836" s="3038"/>
      <c r="AV836" s="3038"/>
      <c r="AW836" s="3038"/>
      <c r="AX836" s="3038"/>
      <c r="AY836" s="3038"/>
      <c r="AZ836" s="3038"/>
      <c r="BA836" s="3038"/>
      <c r="BB836" s="3038"/>
      <c r="BC836" s="3038"/>
      <c r="BD836" s="3038"/>
      <c r="BE836" s="3038"/>
      <c r="BF836" s="3038"/>
      <c r="BG836" s="3038"/>
      <c r="BH836" s="3038"/>
      <c r="BI836" s="3038"/>
      <c r="BJ836" s="3038"/>
      <c r="BK836" s="3038"/>
      <c r="BL836" s="3038"/>
      <c r="BM836" s="3038"/>
      <c r="BN836" s="3038"/>
      <c r="BO836" s="3038"/>
      <c r="BP836" s="3038"/>
      <c r="BQ836" s="3038"/>
      <c r="BR836" s="3038"/>
      <c r="BS836" s="3038"/>
      <c r="BT836" s="3038"/>
      <c r="BU836" s="3038"/>
    </row>
    <row r="837" spans="3:73">
      <c r="C837" s="3038"/>
      <c r="D837" s="3038"/>
      <c r="E837" s="3038"/>
      <c r="H837" s="3038"/>
      <c r="I837" s="3038"/>
      <c r="J837" s="3038"/>
      <c r="K837" s="3038"/>
      <c r="M837" s="3038"/>
      <c r="N837" s="3038"/>
      <c r="O837" s="3038"/>
      <c r="P837" s="3038"/>
      <c r="Q837" s="3038"/>
      <c r="R837" s="3038"/>
      <c r="S837" s="3038"/>
      <c r="T837" s="3038"/>
      <c r="W837" s="3038"/>
      <c r="X837" s="3038"/>
      <c r="Y837" s="3038"/>
      <c r="Z837" s="3038"/>
      <c r="AA837" s="3113"/>
      <c r="AB837" s="3038"/>
      <c r="AC837" s="3038"/>
      <c r="AD837" s="3038"/>
      <c r="AE837" s="3132"/>
      <c r="AF837" s="3038"/>
      <c r="AG837" s="3038"/>
      <c r="AH837" s="3038"/>
      <c r="AK837" s="3038"/>
      <c r="AL837" s="3038"/>
      <c r="AM837" s="3038"/>
      <c r="AN837" s="3038"/>
      <c r="AO837" s="3038"/>
      <c r="AP837" s="3038"/>
      <c r="AQ837" s="3038"/>
      <c r="AR837" s="3038"/>
      <c r="AS837" s="3038"/>
      <c r="AT837" s="3038"/>
      <c r="AU837" s="3038"/>
      <c r="AV837" s="3038"/>
      <c r="AW837" s="3038"/>
      <c r="AX837" s="3038"/>
      <c r="AY837" s="3038"/>
      <c r="AZ837" s="3038"/>
      <c r="BA837" s="3038"/>
      <c r="BB837" s="3038"/>
      <c r="BC837" s="3038"/>
      <c r="BD837" s="3038"/>
      <c r="BE837" s="3038"/>
      <c r="BF837" s="3038"/>
      <c r="BG837" s="3038"/>
      <c r="BH837" s="3038"/>
      <c r="BI837" s="3038"/>
      <c r="BJ837" s="3038"/>
      <c r="BK837" s="3038"/>
      <c r="BL837" s="3038"/>
      <c r="BM837" s="3038"/>
      <c r="BN837" s="3038"/>
      <c r="BO837" s="3038"/>
      <c r="BP837" s="3038"/>
      <c r="BQ837" s="3038"/>
      <c r="BR837" s="3038"/>
      <c r="BS837" s="3038"/>
      <c r="BT837" s="3038"/>
      <c r="BU837" s="3038"/>
    </row>
    <row r="838" spans="3:73">
      <c r="C838" s="3038"/>
      <c r="D838" s="3038"/>
      <c r="E838" s="3038"/>
      <c r="H838" s="3038"/>
      <c r="I838" s="3038"/>
      <c r="J838" s="3038"/>
      <c r="K838" s="3038"/>
      <c r="M838" s="3038"/>
      <c r="N838" s="3038"/>
      <c r="O838" s="3038"/>
      <c r="P838" s="3038"/>
      <c r="Q838" s="3038"/>
      <c r="R838" s="3038"/>
      <c r="S838" s="3038"/>
      <c r="T838" s="3038"/>
      <c r="W838" s="3038"/>
      <c r="X838" s="3038"/>
      <c r="Y838" s="3038"/>
      <c r="Z838" s="3038"/>
      <c r="AA838" s="3113"/>
      <c r="AB838" s="3038"/>
      <c r="AC838" s="3038"/>
      <c r="AD838" s="3038"/>
      <c r="AE838" s="3132"/>
      <c r="AF838" s="3038"/>
      <c r="AG838" s="3038"/>
      <c r="AH838" s="3038"/>
      <c r="AK838" s="3038"/>
      <c r="AL838" s="3038"/>
      <c r="AM838" s="3038"/>
      <c r="AN838" s="3038"/>
      <c r="AO838" s="3038"/>
      <c r="AP838" s="3038"/>
      <c r="AQ838" s="3038"/>
      <c r="AR838" s="3038"/>
      <c r="AS838" s="3038"/>
      <c r="AT838" s="3038"/>
      <c r="AU838" s="3038"/>
      <c r="AV838" s="3038"/>
      <c r="AW838" s="3038"/>
      <c r="AX838" s="3038"/>
      <c r="AY838" s="3038"/>
      <c r="AZ838" s="3038"/>
      <c r="BA838" s="3038"/>
      <c r="BB838" s="3038"/>
      <c r="BC838" s="3038"/>
      <c r="BD838" s="3038"/>
      <c r="BE838" s="3038"/>
      <c r="BF838" s="3038"/>
      <c r="BG838" s="3038"/>
      <c r="BH838" s="3038"/>
      <c r="BI838" s="3038"/>
      <c r="BJ838" s="3038"/>
      <c r="BK838" s="3038"/>
      <c r="BL838" s="3038"/>
      <c r="BM838" s="3038"/>
      <c r="BN838" s="3038"/>
      <c r="BO838" s="3038"/>
      <c r="BP838" s="3038"/>
      <c r="BQ838" s="3038"/>
      <c r="BR838" s="3038"/>
      <c r="BS838" s="3038"/>
      <c r="BT838" s="3038"/>
      <c r="BU838" s="3038"/>
    </row>
    <row r="839" spans="3:73">
      <c r="C839" s="3038"/>
      <c r="D839" s="3038"/>
      <c r="E839" s="3038"/>
      <c r="H839" s="3038"/>
      <c r="I839" s="3038"/>
      <c r="J839" s="3038"/>
      <c r="K839" s="3038"/>
      <c r="M839" s="3038"/>
      <c r="N839" s="3038"/>
      <c r="O839" s="3038"/>
      <c r="P839" s="3038"/>
      <c r="Q839" s="3038"/>
      <c r="R839" s="3038"/>
      <c r="S839" s="3038"/>
      <c r="T839" s="3038"/>
      <c r="W839" s="3038"/>
      <c r="X839" s="3038"/>
      <c r="Y839" s="3038"/>
      <c r="Z839" s="3038"/>
      <c r="AA839" s="3113"/>
      <c r="AB839" s="3038"/>
      <c r="AC839" s="3038"/>
      <c r="AD839" s="3038"/>
      <c r="AE839" s="3132"/>
      <c r="AF839" s="3038"/>
      <c r="AG839" s="3038"/>
      <c r="AH839" s="3038"/>
      <c r="AK839" s="3038"/>
      <c r="AL839" s="3038"/>
      <c r="AM839" s="3038"/>
      <c r="AN839" s="3038"/>
      <c r="AO839" s="3038"/>
      <c r="AP839" s="3038"/>
      <c r="AQ839" s="3038"/>
      <c r="AR839" s="3038"/>
      <c r="AS839" s="3038"/>
      <c r="AT839" s="3038"/>
      <c r="AU839" s="3038"/>
      <c r="AV839" s="3038"/>
      <c r="AW839" s="3038"/>
      <c r="AX839" s="3038"/>
      <c r="AY839" s="3038"/>
      <c r="AZ839" s="3038"/>
      <c r="BA839" s="3038"/>
      <c r="BB839" s="3038"/>
      <c r="BC839" s="3038"/>
      <c r="BD839" s="3038"/>
      <c r="BE839" s="3038"/>
      <c r="BF839" s="3038"/>
      <c r="BG839" s="3038"/>
      <c r="BH839" s="3038"/>
      <c r="BI839" s="3038"/>
      <c r="BJ839" s="3038"/>
      <c r="BK839" s="3038"/>
      <c r="BL839" s="3038"/>
      <c r="BM839" s="3038"/>
      <c r="BN839" s="3038"/>
      <c r="BO839" s="3038"/>
      <c r="BP839" s="3038"/>
      <c r="BQ839" s="3038"/>
      <c r="BR839" s="3038"/>
      <c r="BS839" s="3038"/>
      <c r="BT839" s="3038"/>
      <c r="BU839" s="3038"/>
    </row>
    <row r="840" spans="3:73">
      <c r="C840" s="3038"/>
      <c r="D840" s="3038"/>
      <c r="E840" s="3038"/>
      <c r="H840" s="3038"/>
      <c r="I840" s="3038"/>
      <c r="J840" s="3038"/>
      <c r="K840" s="3038"/>
      <c r="M840" s="3038"/>
      <c r="N840" s="3038"/>
      <c r="O840" s="3038"/>
      <c r="P840" s="3038"/>
      <c r="Q840" s="3038"/>
      <c r="R840" s="3038"/>
      <c r="S840" s="3038"/>
      <c r="T840" s="3038"/>
      <c r="W840" s="3038"/>
      <c r="X840" s="3038"/>
      <c r="Y840" s="3038"/>
      <c r="Z840" s="3038"/>
      <c r="AA840" s="3113"/>
      <c r="AB840" s="3038"/>
      <c r="AC840" s="3038"/>
      <c r="AD840" s="3038"/>
      <c r="AE840" s="3132"/>
      <c r="AF840" s="3038"/>
      <c r="AG840" s="3038"/>
      <c r="AH840" s="3038"/>
      <c r="AK840" s="3038"/>
      <c r="AL840" s="3038"/>
      <c r="AM840" s="3038"/>
      <c r="AN840" s="3038"/>
      <c r="AO840" s="3038"/>
      <c r="AP840" s="3038"/>
      <c r="AQ840" s="3038"/>
      <c r="AR840" s="3038"/>
      <c r="AS840" s="3038"/>
      <c r="AT840" s="3038"/>
      <c r="AU840" s="3038"/>
      <c r="AV840" s="3038"/>
      <c r="AW840" s="3038"/>
      <c r="AX840" s="3038"/>
      <c r="AY840" s="3038"/>
      <c r="AZ840" s="3038"/>
      <c r="BA840" s="3038"/>
      <c r="BB840" s="3038"/>
      <c r="BC840" s="3038"/>
      <c r="BD840" s="3038"/>
      <c r="BE840" s="3038"/>
      <c r="BF840" s="3038"/>
      <c r="BG840" s="3038"/>
      <c r="BH840" s="3038"/>
      <c r="BI840" s="3038"/>
      <c r="BJ840" s="3038"/>
      <c r="BK840" s="3038"/>
      <c r="BL840" s="3038"/>
      <c r="BM840" s="3038"/>
      <c r="BN840" s="3038"/>
      <c r="BO840" s="3038"/>
      <c r="BP840" s="3038"/>
      <c r="BQ840" s="3038"/>
      <c r="BR840" s="3038"/>
      <c r="BS840" s="3038"/>
      <c r="BT840" s="3038"/>
      <c r="BU840" s="3038"/>
    </row>
    <row r="841" spans="3:73">
      <c r="C841" s="3038"/>
      <c r="D841" s="3038"/>
      <c r="E841" s="3038"/>
      <c r="H841" s="3038"/>
      <c r="I841" s="3038"/>
      <c r="J841" s="3038"/>
      <c r="K841" s="3038"/>
      <c r="M841" s="3038"/>
      <c r="N841" s="3038"/>
      <c r="O841" s="3038"/>
      <c r="P841" s="3038"/>
      <c r="Q841" s="3038"/>
      <c r="R841" s="3038"/>
      <c r="S841" s="3038"/>
      <c r="T841" s="3038"/>
      <c r="W841" s="3038"/>
      <c r="X841" s="3038"/>
      <c r="Y841" s="3038"/>
      <c r="Z841" s="3038"/>
      <c r="AA841" s="3113"/>
      <c r="AB841" s="3038"/>
      <c r="AC841" s="3038"/>
      <c r="AD841" s="3038"/>
      <c r="AE841" s="3132"/>
      <c r="AF841" s="3038"/>
      <c r="AG841" s="3038"/>
      <c r="AH841" s="3038"/>
      <c r="AK841" s="3038"/>
      <c r="AL841" s="3038"/>
      <c r="AM841" s="3038"/>
      <c r="AN841" s="3038"/>
      <c r="AO841" s="3038"/>
      <c r="AP841" s="3038"/>
      <c r="AQ841" s="3038"/>
      <c r="AR841" s="3038"/>
      <c r="AS841" s="3038"/>
      <c r="AT841" s="3038"/>
      <c r="AU841" s="3038"/>
      <c r="AV841" s="3038"/>
      <c r="AW841" s="3038"/>
      <c r="AX841" s="3038"/>
      <c r="AY841" s="3038"/>
      <c r="AZ841" s="3038"/>
      <c r="BA841" s="3038"/>
      <c r="BB841" s="3038"/>
      <c r="BC841" s="3038"/>
      <c r="BD841" s="3038"/>
      <c r="BE841" s="3038"/>
      <c r="BF841" s="3038"/>
      <c r="BG841" s="3038"/>
      <c r="BH841" s="3038"/>
      <c r="BI841" s="3038"/>
      <c r="BJ841" s="3038"/>
      <c r="BK841" s="3038"/>
      <c r="BL841" s="3038"/>
      <c r="BM841" s="3038"/>
      <c r="BN841" s="3038"/>
      <c r="BO841" s="3038"/>
      <c r="BP841" s="3038"/>
      <c r="BQ841" s="3038"/>
      <c r="BR841" s="3038"/>
      <c r="BS841" s="3038"/>
      <c r="BT841" s="3038"/>
      <c r="BU841" s="3038"/>
    </row>
    <row r="842" spans="3:73">
      <c r="C842" s="3038"/>
      <c r="D842" s="3038"/>
      <c r="E842" s="3038"/>
      <c r="H842" s="3038"/>
      <c r="I842" s="3038"/>
      <c r="J842" s="3038"/>
      <c r="K842" s="3038"/>
      <c r="M842" s="3038"/>
      <c r="N842" s="3038"/>
      <c r="O842" s="3038"/>
      <c r="P842" s="3038"/>
      <c r="Q842" s="3038"/>
      <c r="R842" s="3038"/>
      <c r="S842" s="3038"/>
      <c r="T842" s="3038"/>
      <c r="W842" s="3038"/>
      <c r="X842" s="3038"/>
      <c r="Y842" s="3038"/>
      <c r="Z842" s="3038"/>
      <c r="AA842" s="3113"/>
      <c r="AB842" s="3038"/>
      <c r="AC842" s="3038"/>
      <c r="AD842" s="3038"/>
      <c r="AE842" s="3132"/>
      <c r="AF842" s="3038"/>
      <c r="AG842" s="3038"/>
      <c r="AH842" s="3038"/>
      <c r="AK842" s="3038"/>
      <c r="AL842" s="3038"/>
      <c r="AM842" s="3038"/>
      <c r="AN842" s="3038"/>
      <c r="AO842" s="3038"/>
      <c r="AP842" s="3038"/>
      <c r="AQ842" s="3038"/>
      <c r="AR842" s="3038"/>
      <c r="AS842" s="3038"/>
      <c r="AT842" s="3038"/>
      <c r="AU842" s="3038"/>
      <c r="AV842" s="3038"/>
      <c r="AW842" s="3038"/>
      <c r="AX842" s="3038"/>
      <c r="AY842" s="3038"/>
      <c r="AZ842" s="3038"/>
      <c r="BA842" s="3038"/>
      <c r="BB842" s="3038"/>
      <c r="BC842" s="3038"/>
      <c r="BD842" s="3038"/>
      <c r="BE842" s="3038"/>
      <c r="BF842" s="3038"/>
      <c r="BG842" s="3038"/>
      <c r="BH842" s="3038"/>
      <c r="BI842" s="3038"/>
      <c r="BJ842" s="3038"/>
      <c r="BK842" s="3038"/>
      <c r="BL842" s="3038"/>
      <c r="BM842" s="3038"/>
      <c r="BN842" s="3038"/>
      <c r="BO842" s="3038"/>
      <c r="BP842" s="3038"/>
      <c r="BQ842" s="3038"/>
      <c r="BR842" s="3038"/>
      <c r="BS842" s="3038"/>
      <c r="BT842" s="3038"/>
      <c r="BU842" s="3038"/>
    </row>
    <row r="843" spans="3:73">
      <c r="C843" s="3038"/>
      <c r="D843" s="3038"/>
      <c r="E843" s="3038"/>
      <c r="H843" s="3038"/>
      <c r="I843" s="3038"/>
      <c r="J843" s="3038"/>
      <c r="K843" s="3038"/>
      <c r="M843" s="3038"/>
      <c r="N843" s="3038"/>
      <c r="O843" s="3038"/>
      <c r="P843" s="3038"/>
      <c r="Q843" s="3038"/>
      <c r="R843" s="3038"/>
      <c r="S843" s="3038"/>
      <c r="T843" s="3038"/>
      <c r="W843" s="3038"/>
      <c r="X843" s="3038"/>
      <c r="Y843" s="3038"/>
      <c r="Z843" s="3038"/>
      <c r="AA843" s="3113"/>
      <c r="AB843" s="3038"/>
      <c r="AC843" s="3038"/>
      <c r="AD843" s="3038"/>
      <c r="AE843" s="3132"/>
      <c r="AF843" s="3038"/>
      <c r="AG843" s="3038"/>
      <c r="AH843" s="3038"/>
      <c r="AK843" s="3038"/>
      <c r="AL843" s="3038"/>
      <c r="AM843" s="3038"/>
      <c r="AN843" s="3038"/>
      <c r="AO843" s="3038"/>
      <c r="AP843" s="3038"/>
      <c r="AQ843" s="3038"/>
      <c r="AR843" s="3038"/>
      <c r="AS843" s="3038"/>
      <c r="AT843" s="3038"/>
      <c r="AU843" s="3038"/>
      <c r="AV843" s="3038"/>
      <c r="AW843" s="3038"/>
      <c r="AX843" s="3038"/>
      <c r="AY843" s="3038"/>
      <c r="AZ843" s="3038"/>
      <c r="BA843" s="3038"/>
      <c r="BB843" s="3038"/>
      <c r="BC843" s="3038"/>
      <c r="BD843" s="3038"/>
      <c r="BE843" s="3038"/>
      <c r="BF843" s="3038"/>
      <c r="BG843" s="3038"/>
      <c r="BH843" s="3038"/>
      <c r="BI843" s="3038"/>
      <c r="BJ843" s="3038"/>
      <c r="BK843" s="3038"/>
      <c r="BL843" s="3038"/>
      <c r="BM843" s="3038"/>
      <c r="BN843" s="3038"/>
      <c r="BO843" s="3038"/>
      <c r="BP843" s="3038"/>
      <c r="BQ843" s="3038"/>
      <c r="BR843" s="3038"/>
      <c r="BS843" s="3038"/>
      <c r="BT843" s="3038"/>
      <c r="BU843" s="3038"/>
    </row>
    <row r="844" spans="3:73">
      <c r="C844" s="3038"/>
      <c r="D844" s="3038"/>
      <c r="E844" s="3038"/>
      <c r="H844" s="3038"/>
      <c r="I844" s="3038"/>
      <c r="J844" s="3038"/>
      <c r="K844" s="3038"/>
      <c r="M844" s="3038"/>
      <c r="N844" s="3038"/>
      <c r="O844" s="3038"/>
      <c r="P844" s="3038"/>
      <c r="Q844" s="3038"/>
      <c r="R844" s="3038"/>
      <c r="S844" s="3038"/>
      <c r="T844" s="3038"/>
      <c r="W844" s="3038"/>
      <c r="X844" s="3038"/>
      <c r="Y844" s="3038"/>
      <c r="Z844" s="3038"/>
      <c r="AA844" s="3113"/>
      <c r="AB844" s="3038"/>
      <c r="AC844" s="3038"/>
      <c r="AD844" s="3038"/>
      <c r="AE844" s="3132"/>
      <c r="AF844" s="3038"/>
      <c r="AG844" s="3038"/>
      <c r="AH844" s="3038"/>
      <c r="AK844" s="3038"/>
      <c r="AL844" s="3038"/>
      <c r="AM844" s="3038"/>
      <c r="AN844" s="3038"/>
      <c r="AO844" s="3038"/>
      <c r="AP844" s="3038"/>
      <c r="AQ844" s="3038"/>
      <c r="AR844" s="3038"/>
      <c r="AS844" s="3038"/>
      <c r="AT844" s="3038"/>
      <c r="AU844" s="3038"/>
      <c r="AV844" s="3038"/>
      <c r="AW844" s="3038"/>
      <c r="AX844" s="3038"/>
      <c r="AY844" s="3038"/>
      <c r="AZ844" s="3038"/>
      <c r="BA844" s="3038"/>
      <c r="BB844" s="3038"/>
      <c r="BC844" s="3038"/>
      <c r="BD844" s="3038"/>
      <c r="BE844" s="3038"/>
      <c r="BF844" s="3038"/>
      <c r="BG844" s="3038"/>
      <c r="BH844" s="3038"/>
      <c r="BI844" s="3038"/>
      <c r="BJ844" s="3038"/>
      <c r="BK844" s="3038"/>
      <c r="BL844" s="3038"/>
      <c r="BM844" s="3038"/>
      <c r="BN844" s="3038"/>
      <c r="BO844" s="3038"/>
      <c r="BP844" s="3038"/>
      <c r="BQ844" s="3038"/>
      <c r="BR844" s="3038"/>
      <c r="BS844" s="3038"/>
      <c r="BT844" s="3038"/>
      <c r="BU844" s="3038"/>
    </row>
    <row r="845" spans="3:73">
      <c r="C845" s="3038"/>
      <c r="D845" s="3038"/>
      <c r="E845" s="3038"/>
      <c r="H845" s="3038"/>
      <c r="I845" s="3038"/>
      <c r="J845" s="3038"/>
      <c r="K845" s="3038"/>
      <c r="M845" s="3038"/>
      <c r="N845" s="3038"/>
      <c r="O845" s="3038"/>
      <c r="P845" s="3038"/>
      <c r="Q845" s="3038"/>
      <c r="R845" s="3038"/>
      <c r="S845" s="3038"/>
      <c r="T845" s="3038"/>
      <c r="W845" s="3038"/>
      <c r="X845" s="3038"/>
      <c r="Y845" s="3038"/>
      <c r="Z845" s="3038"/>
      <c r="AA845" s="3113"/>
      <c r="AB845" s="3038"/>
      <c r="AC845" s="3038"/>
      <c r="AD845" s="3038"/>
      <c r="AE845" s="3132"/>
      <c r="AF845" s="3038"/>
      <c r="AG845" s="3038"/>
      <c r="AH845" s="3038"/>
      <c r="AK845" s="3038"/>
      <c r="AL845" s="3038"/>
      <c r="AM845" s="3038"/>
      <c r="AN845" s="3038"/>
      <c r="AO845" s="3038"/>
      <c r="AP845" s="3038"/>
      <c r="AQ845" s="3038"/>
      <c r="AR845" s="3038"/>
      <c r="AS845" s="3038"/>
      <c r="AT845" s="3038"/>
      <c r="AU845" s="3038"/>
      <c r="AV845" s="3038"/>
      <c r="AW845" s="3038"/>
      <c r="AX845" s="3038"/>
      <c r="AY845" s="3038"/>
      <c r="AZ845" s="3038"/>
      <c r="BA845" s="3038"/>
      <c r="BB845" s="3038"/>
      <c r="BC845" s="3038"/>
      <c r="BD845" s="3038"/>
      <c r="BE845" s="3038"/>
      <c r="BF845" s="3038"/>
      <c r="BG845" s="3038"/>
      <c r="BH845" s="3038"/>
      <c r="BI845" s="3038"/>
      <c r="BJ845" s="3038"/>
      <c r="BK845" s="3038"/>
      <c r="BL845" s="3038"/>
      <c r="BM845" s="3038"/>
      <c r="BN845" s="3038"/>
      <c r="BO845" s="3038"/>
      <c r="BP845" s="3038"/>
      <c r="BQ845" s="3038"/>
      <c r="BR845" s="3038"/>
      <c r="BS845" s="3038"/>
      <c r="BT845" s="3038"/>
      <c r="BU845" s="3038"/>
    </row>
    <row r="846" spans="3:73">
      <c r="C846" s="3038"/>
      <c r="D846" s="3038"/>
      <c r="E846" s="3038"/>
      <c r="H846" s="3038"/>
      <c r="I846" s="3038"/>
      <c r="J846" s="3038"/>
      <c r="K846" s="3038"/>
      <c r="M846" s="3038"/>
      <c r="N846" s="3038"/>
      <c r="O846" s="3038"/>
      <c r="P846" s="3038"/>
      <c r="Q846" s="3038"/>
      <c r="R846" s="3038"/>
      <c r="S846" s="3038"/>
      <c r="T846" s="3038"/>
      <c r="W846" s="3038"/>
      <c r="X846" s="3038"/>
      <c r="Y846" s="3038"/>
      <c r="Z846" s="3038"/>
      <c r="AA846" s="3113"/>
      <c r="AB846" s="3038"/>
      <c r="AC846" s="3038"/>
      <c r="AD846" s="3038"/>
      <c r="AE846" s="3132"/>
      <c r="AF846" s="3038"/>
      <c r="AG846" s="3038"/>
      <c r="AH846" s="3038"/>
      <c r="AK846" s="3038"/>
      <c r="AL846" s="3038"/>
      <c r="AM846" s="3038"/>
      <c r="AN846" s="3038"/>
      <c r="AO846" s="3038"/>
      <c r="AP846" s="3038"/>
      <c r="AQ846" s="3038"/>
      <c r="AR846" s="3038"/>
      <c r="AS846" s="3038"/>
      <c r="AT846" s="3038"/>
      <c r="AU846" s="3038"/>
      <c r="AV846" s="3038"/>
      <c r="AW846" s="3038"/>
      <c r="AX846" s="3038"/>
      <c r="AY846" s="3038"/>
      <c r="AZ846" s="3038"/>
      <c r="BA846" s="3038"/>
      <c r="BB846" s="3038"/>
      <c r="BC846" s="3038"/>
      <c r="BD846" s="3038"/>
      <c r="BE846" s="3038"/>
      <c r="BF846" s="3038"/>
      <c r="BG846" s="3038"/>
      <c r="BH846" s="3038"/>
      <c r="BI846" s="3038"/>
      <c r="BJ846" s="3038"/>
      <c r="BK846" s="3038"/>
      <c r="BL846" s="3038"/>
      <c r="BM846" s="3038"/>
      <c r="BN846" s="3038"/>
      <c r="BO846" s="3038"/>
      <c r="BP846" s="3038"/>
      <c r="BQ846" s="3038"/>
      <c r="BR846" s="3038"/>
      <c r="BS846" s="3038"/>
      <c r="BT846" s="3038"/>
      <c r="BU846" s="3038"/>
    </row>
    <row r="847" spans="3:73">
      <c r="C847" s="3038"/>
      <c r="D847" s="3038"/>
      <c r="E847" s="3038"/>
      <c r="H847" s="3038"/>
      <c r="I847" s="3038"/>
      <c r="J847" s="3038"/>
      <c r="K847" s="3038"/>
      <c r="M847" s="3038"/>
      <c r="N847" s="3038"/>
      <c r="O847" s="3038"/>
      <c r="P847" s="3038"/>
      <c r="Q847" s="3038"/>
      <c r="R847" s="3038"/>
      <c r="S847" s="3038"/>
      <c r="T847" s="3038"/>
      <c r="W847" s="3038"/>
      <c r="X847" s="3038"/>
      <c r="Y847" s="3038"/>
      <c r="Z847" s="3038"/>
      <c r="AA847" s="3113"/>
      <c r="AB847" s="3038"/>
      <c r="AC847" s="3038"/>
      <c r="AD847" s="3038"/>
      <c r="AE847" s="3132"/>
      <c r="AF847" s="3038"/>
      <c r="AG847" s="3038"/>
      <c r="AH847" s="3038"/>
      <c r="AK847" s="3038"/>
      <c r="AL847" s="3038"/>
      <c r="AM847" s="3038"/>
      <c r="AN847" s="3038"/>
      <c r="AO847" s="3038"/>
      <c r="AP847" s="3038"/>
      <c r="AQ847" s="3038"/>
      <c r="AR847" s="3038"/>
      <c r="AS847" s="3038"/>
      <c r="AT847" s="3038"/>
      <c r="AU847" s="3038"/>
      <c r="AV847" s="3038"/>
      <c r="AW847" s="3038"/>
      <c r="AX847" s="3038"/>
      <c r="AY847" s="3038"/>
      <c r="AZ847" s="3038"/>
      <c r="BA847" s="3038"/>
      <c r="BB847" s="3038"/>
      <c r="BC847" s="3038"/>
      <c r="BD847" s="3038"/>
      <c r="BE847" s="3038"/>
      <c r="BF847" s="3038"/>
      <c r="BG847" s="3038"/>
      <c r="BH847" s="3038"/>
      <c r="BI847" s="3038"/>
      <c r="BJ847" s="3038"/>
      <c r="BK847" s="3038"/>
      <c r="BL847" s="3038"/>
      <c r="BM847" s="3038"/>
      <c r="BN847" s="3038"/>
      <c r="BO847" s="3038"/>
      <c r="BP847" s="3038"/>
      <c r="BQ847" s="3038"/>
      <c r="BR847" s="3038"/>
      <c r="BS847" s="3038"/>
      <c r="BT847" s="3038"/>
      <c r="BU847" s="3038"/>
    </row>
    <row r="848" spans="3:73">
      <c r="C848" s="3038"/>
      <c r="D848" s="3038"/>
      <c r="E848" s="3038"/>
      <c r="H848" s="3038"/>
      <c r="I848" s="3038"/>
      <c r="J848" s="3038"/>
      <c r="K848" s="3038"/>
      <c r="M848" s="3038"/>
      <c r="N848" s="3038"/>
      <c r="O848" s="3038"/>
      <c r="P848" s="3038"/>
      <c r="Q848" s="3038"/>
      <c r="R848" s="3038"/>
      <c r="S848" s="3038"/>
      <c r="T848" s="3038"/>
      <c r="W848" s="3038"/>
      <c r="X848" s="3038"/>
      <c r="Y848" s="3038"/>
      <c r="Z848" s="3038"/>
      <c r="AA848" s="3113"/>
      <c r="AB848" s="3038"/>
      <c r="AC848" s="3038"/>
      <c r="AD848" s="3038"/>
      <c r="AE848" s="3132"/>
      <c r="AF848" s="3038"/>
      <c r="AG848" s="3038"/>
      <c r="AH848" s="3038"/>
      <c r="AK848" s="3038"/>
      <c r="AL848" s="3038"/>
      <c r="AM848" s="3038"/>
      <c r="AN848" s="3038"/>
      <c r="AO848" s="3038"/>
      <c r="AP848" s="3038"/>
      <c r="AQ848" s="3038"/>
      <c r="AR848" s="3038"/>
      <c r="AS848" s="3038"/>
      <c r="AT848" s="3038"/>
      <c r="AU848" s="3038"/>
      <c r="AV848" s="3038"/>
      <c r="AW848" s="3038"/>
      <c r="AX848" s="3038"/>
      <c r="AY848" s="3038"/>
      <c r="AZ848" s="3038"/>
      <c r="BA848" s="3038"/>
      <c r="BB848" s="3038"/>
      <c r="BC848" s="3038"/>
      <c r="BD848" s="3038"/>
      <c r="BE848" s="3038"/>
      <c r="BF848" s="3038"/>
      <c r="BG848" s="3038"/>
      <c r="BH848" s="3038"/>
      <c r="BI848" s="3038"/>
      <c r="BJ848" s="3038"/>
      <c r="BK848" s="3038"/>
      <c r="BL848" s="3038"/>
      <c r="BM848" s="3038"/>
      <c r="BN848" s="3038"/>
      <c r="BO848" s="3038"/>
      <c r="BP848" s="3038"/>
      <c r="BQ848" s="3038"/>
      <c r="BR848" s="3038"/>
      <c r="BS848" s="3038"/>
      <c r="BT848" s="3038"/>
      <c r="BU848" s="3038"/>
    </row>
    <row r="849" spans="3:73">
      <c r="C849" s="3038"/>
      <c r="D849" s="3038"/>
      <c r="E849" s="3038"/>
      <c r="H849" s="3038"/>
      <c r="I849" s="3038"/>
      <c r="J849" s="3038"/>
      <c r="K849" s="3038"/>
      <c r="M849" s="3038"/>
      <c r="N849" s="3038"/>
      <c r="O849" s="3038"/>
      <c r="P849" s="3038"/>
      <c r="Q849" s="3038"/>
      <c r="R849" s="3038"/>
      <c r="S849" s="3038"/>
      <c r="T849" s="3038"/>
      <c r="W849" s="3038"/>
      <c r="X849" s="3038"/>
      <c r="Y849" s="3038"/>
      <c r="Z849" s="3038"/>
      <c r="AA849" s="3113"/>
      <c r="AB849" s="3038"/>
      <c r="AC849" s="3038"/>
      <c r="AD849" s="3038"/>
      <c r="AE849" s="3132"/>
      <c r="AF849" s="3038"/>
      <c r="AG849" s="3038"/>
      <c r="AH849" s="3038"/>
      <c r="AK849" s="3038"/>
      <c r="AL849" s="3038"/>
      <c r="AM849" s="3038"/>
      <c r="AN849" s="3038"/>
      <c r="AO849" s="3038"/>
      <c r="AP849" s="3038"/>
      <c r="AQ849" s="3038"/>
      <c r="AR849" s="3038"/>
      <c r="AS849" s="3038"/>
      <c r="AT849" s="3038"/>
      <c r="AU849" s="3038"/>
      <c r="AV849" s="3038"/>
      <c r="AW849" s="3038"/>
      <c r="AX849" s="3038"/>
      <c r="AY849" s="3038"/>
      <c r="AZ849" s="3038"/>
      <c r="BA849" s="3038"/>
      <c r="BB849" s="3038"/>
      <c r="BC849" s="3038"/>
      <c r="BD849" s="3038"/>
      <c r="BE849" s="3038"/>
      <c r="BF849" s="3038"/>
      <c r="BG849" s="3038"/>
      <c r="BH849" s="3038"/>
      <c r="BI849" s="3038"/>
      <c r="BJ849" s="3038"/>
      <c r="BK849" s="3038"/>
      <c r="BL849" s="3038"/>
      <c r="BM849" s="3038"/>
      <c r="BN849" s="3038"/>
      <c r="BO849" s="3038"/>
      <c r="BP849" s="3038"/>
      <c r="BQ849" s="3038"/>
      <c r="BR849" s="3038"/>
      <c r="BS849" s="3038"/>
      <c r="BT849" s="3038"/>
      <c r="BU849" s="3038"/>
    </row>
    <row r="850" spans="3:73">
      <c r="C850" s="3038"/>
      <c r="D850" s="3038"/>
      <c r="E850" s="3038"/>
      <c r="H850" s="3038"/>
      <c r="I850" s="3038"/>
      <c r="J850" s="3038"/>
      <c r="K850" s="3038"/>
      <c r="M850" s="3038"/>
      <c r="N850" s="3038"/>
      <c r="O850" s="3038"/>
      <c r="P850" s="3038"/>
      <c r="Q850" s="3038"/>
      <c r="R850" s="3038"/>
      <c r="S850" s="3038"/>
      <c r="T850" s="3038"/>
      <c r="W850" s="3038"/>
      <c r="X850" s="3038"/>
      <c r="Y850" s="3038"/>
      <c r="Z850" s="3038"/>
      <c r="AA850" s="3113"/>
      <c r="AB850" s="3038"/>
      <c r="AC850" s="3038"/>
      <c r="AD850" s="3038"/>
      <c r="AE850" s="3132"/>
      <c r="AF850" s="3038"/>
      <c r="AG850" s="3038"/>
      <c r="AH850" s="3038"/>
      <c r="AK850" s="3038"/>
      <c r="AL850" s="3038"/>
      <c r="AM850" s="3038"/>
      <c r="AN850" s="3038"/>
      <c r="AO850" s="3038"/>
      <c r="AP850" s="3038"/>
      <c r="AQ850" s="3038"/>
      <c r="AR850" s="3038"/>
      <c r="AS850" s="3038"/>
      <c r="AT850" s="3038"/>
      <c r="AU850" s="3038"/>
      <c r="AV850" s="3038"/>
      <c r="AW850" s="3038"/>
      <c r="AX850" s="3038"/>
      <c r="AY850" s="3038"/>
      <c r="AZ850" s="3038"/>
      <c r="BA850" s="3038"/>
      <c r="BB850" s="3038"/>
      <c r="BC850" s="3038"/>
      <c r="BD850" s="3038"/>
      <c r="BE850" s="3038"/>
      <c r="BF850" s="3038"/>
      <c r="BG850" s="3038"/>
      <c r="BH850" s="3038"/>
      <c r="BI850" s="3038"/>
      <c r="BJ850" s="3038"/>
      <c r="BK850" s="3038"/>
      <c r="BL850" s="3038"/>
      <c r="BM850" s="3038"/>
      <c r="BN850" s="3038"/>
      <c r="BO850" s="3038"/>
      <c r="BP850" s="3038"/>
      <c r="BQ850" s="3038"/>
      <c r="BR850" s="3038"/>
      <c r="BS850" s="3038"/>
      <c r="BT850" s="3038"/>
      <c r="BU850" s="3038"/>
    </row>
    <row r="851" spans="3:73">
      <c r="C851" s="3038"/>
      <c r="D851" s="3038"/>
      <c r="E851" s="3038"/>
      <c r="H851" s="3038"/>
      <c r="I851" s="3038"/>
      <c r="J851" s="3038"/>
      <c r="K851" s="3038"/>
      <c r="M851" s="3038"/>
      <c r="N851" s="3038"/>
      <c r="O851" s="3038"/>
      <c r="P851" s="3038"/>
      <c r="Q851" s="3038"/>
      <c r="R851" s="3038"/>
      <c r="S851" s="3038"/>
      <c r="T851" s="3038"/>
      <c r="W851" s="3038"/>
      <c r="X851" s="3038"/>
      <c r="Y851" s="3038"/>
      <c r="Z851" s="3038"/>
      <c r="AA851" s="3113"/>
      <c r="AB851" s="3038"/>
      <c r="AC851" s="3038"/>
      <c r="AD851" s="3038"/>
      <c r="AE851" s="3132"/>
      <c r="AF851" s="3038"/>
      <c r="AG851" s="3038"/>
      <c r="AH851" s="3038"/>
      <c r="AK851" s="3038"/>
      <c r="AL851" s="3038"/>
      <c r="AM851" s="3038"/>
      <c r="AN851" s="3038"/>
      <c r="AO851" s="3038"/>
      <c r="AP851" s="3038"/>
      <c r="AQ851" s="3038"/>
      <c r="AR851" s="3038"/>
      <c r="AS851" s="3038"/>
      <c r="AT851" s="3038"/>
      <c r="AU851" s="3038"/>
      <c r="AV851" s="3038"/>
      <c r="AW851" s="3038"/>
      <c r="AX851" s="3038"/>
      <c r="AY851" s="3038"/>
      <c r="AZ851" s="3038"/>
      <c r="BA851" s="3038"/>
      <c r="BB851" s="3038"/>
      <c r="BC851" s="3038"/>
      <c r="BD851" s="3038"/>
      <c r="BE851" s="3038"/>
      <c r="BF851" s="3038"/>
      <c r="BG851" s="3038"/>
      <c r="BH851" s="3038"/>
      <c r="BI851" s="3038"/>
      <c r="BJ851" s="3038"/>
      <c r="BK851" s="3038"/>
      <c r="BL851" s="3038"/>
      <c r="BM851" s="3038"/>
      <c r="BN851" s="3038"/>
      <c r="BO851" s="3038"/>
      <c r="BP851" s="3038"/>
      <c r="BQ851" s="3038"/>
      <c r="BR851" s="3038"/>
      <c r="BS851" s="3038"/>
      <c r="BT851" s="3038"/>
      <c r="BU851" s="3038"/>
    </row>
    <row r="852" spans="3:73">
      <c r="C852" s="3038"/>
      <c r="D852" s="3038"/>
      <c r="E852" s="3038"/>
      <c r="H852" s="3038"/>
      <c r="I852" s="3038"/>
      <c r="J852" s="3038"/>
      <c r="K852" s="3038"/>
      <c r="M852" s="3038"/>
      <c r="N852" s="3038"/>
      <c r="O852" s="3038"/>
      <c r="P852" s="3038"/>
      <c r="Q852" s="3038"/>
      <c r="R852" s="3038"/>
      <c r="S852" s="3038"/>
      <c r="T852" s="3038"/>
      <c r="W852" s="3038"/>
      <c r="X852" s="3038"/>
      <c r="Y852" s="3038"/>
      <c r="Z852" s="3038"/>
      <c r="AA852" s="3113"/>
      <c r="AB852" s="3038"/>
      <c r="AC852" s="3038"/>
      <c r="AD852" s="3038"/>
      <c r="AE852" s="3132"/>
      <c r="AF852" s="3038"/>
      <c r="AG852" s="3038"/>
      <c r="AH852" s="3038"/>
      <c r="AK852" s="3038"/>
      <c r="AL852" s="3038"/>
      <c r="AM852" s="3038"/>
      <c r="AN852" s="3038"/>
      <c r="AO852" s="3038"/>
      <c r="AP852" s="3038"/>
      <c r="AQ852" s="3038"/>
      <c r="AR852" s="3038"/>
      <c r="AS852" s="3038"/>
      <c r="AT852" s="3038"/>
      <c r="AU852" s="3038"/>
      <c r="AV852" s="3038"/>
      <c r="AW852" s="3038"/>
      <c r="AX852" s="3038"/>
      <c r="AY852" s="3038"/>
      <c r="AZ852" s="3038"/>
      <c r="BA852" s="3038"/>
      <c r="BB852" s="3038"/>
      <c r="BC852" s="3038"/>
      <c r="BD852" s="3038"/>
      <c r="BE852" s="3038"/>
      <c r="BF852" s="3038"/>
      <c r="BG852" s="3038"/>
      <c r="BH852" s="3038"/>
      <c r="BI852" s="3038"/>
      <c r="BJ852" s="3038"/>
      <c r="BK852" s="3038"/>
      <c r="BL852" s="3038"/>
      <c r="BM852" s="3038"/>
      <c r="BN852" s="3038"/>
      <c r="BO852" s="3038"/>
      <c r="BP852" s="3038"/>
      <c r="BQ852" s="3038"/>
      <c r="BR852" s="3038"/>
      <c r="BS852" s="3038"/>
      <c r="BT852" s="3038"/>
      <c r="BU852" s="3038"/>
    </row>
    <row r="853" spans="3:73">
      <c r="C853" s="3038"/>
      <c r="D853" s="3038"/>
      <c r="E853" s="3038"/>
      <c r="H853" s="3038"/>
      <c r="I853" s="3038"/>
      <c r="J853" s="3038"/>
      <c r="K853" s="3038"/>
      <c r="M853" s="3038"/>
      <c r="N853" s="3038"/>
      <c r="O853" s="3038"/>
      <c r="P853" s="3038"/>
      <c r="Q853" s="3038"/>
      <c r="R853" s="3038"/>
      <c r="S853" s="3038"/>
      <c r="T853" s="3038"/>
      <c r="W853" s="3038"/>
      <c r="X853" s="3038"/>
      <c r="Y853" s="3038"/>
      <c r="Z853" s="3038"/>
      <c r="AA853" s="3113"/>
      <c r="AB853" s="3038"/>
      <c r="AC853" s="3038"/>
      <c r="AD853" s="3038"/>
      <c r="AE853" s="3132"/>
      <c r="AF853" s="3038"/>
      <c r="AG853" s="3038"/>
      <c r="AH853" s="3038"/>
      <c r="AK853" s="3038"/>
      <c r="AL853" s="3038"/>
      <c r="AM853" s="3038"/>
      <c r="AN853" s="3038"/>
      <c r="AO853" s="3038"/>
      <c r="AP853" s="3038"/>
      <c r="AQ853" s="3038"/>
      <c r="AR853" s="3038"/>
      <c r="AS853" s="3038"/>
      <c r="AT853" s="3038"/>
      <c r="AU853" s="3038"/>
      <c r="AV853" s="3038"/>
      <c r="AW853" s="3038"/>
      <c r="AX853" s="3038"/>
      <c r="AY853" s="3038"/>
      <c r="AZ853" s="3038"/>
      <c r="BA853" s="3038"/>
      <c r="BB853" s="3038"/>
      <c r="BC853" s="3038"/>
      <c r="BD853" s="3038"/>
      <c r="BE853" s="3038"/>
      <c r="BF853" s="3038"/>
      <c r="BG853" s="3038"/>
      <c r="BH853" s="3038"/>
      <c r="BI853" s="3038"/>
      <c r="BJ853" s="3038"/>
      <c r="BK853" s="3038"/>
      <c r="BL853" s="3038"/>
      <c r="BM853" s="3038"/>
      <c r="BN853" s="3038"/>
      <c r="BO853" s="3038"/>
      <c r="BP853" s="3038"/>
      <c r="BQ853" s="3038"/>
      <c r="BR853" s="3038"/>
      <c r="BS853" s="3038"/>
      <c r="BT853" s="3038"/>
      <c r="BU853" s="3038"/>
    </row>
    <row r="854" spans="3:73">
      <c r="C854" s="3038"/>
      <c r="D854" s="3038"/>
      <c r="E854" s="3038"/>
      <c r="H854" s="3038"/>
      <c r="I854" s="3038"/>
      <c r="J854" s="3038"/>
      <c r="K854" s="3038"/>
      <c r="M854" s="3038"/>
      <c r="N854" s="3038"/>
      <c r="O854" s="3038"/>
      <c r="P854" s="3038"/>
      <c r="Q854" s="3038"/>
      <c r="R854" s="3038"/>
      <c r="S854" s="3038"/>
      <c r="T854" s="3038"/>
      <c r="W854" s="3038"/>
      <c r="X854" s="3038"/>
      <c r="Y854" s="3038"/>
      <c r="Z854" s="3038"/>
      <c r="AA854" s="3113"/>
      <c r="AB854" s="3038"/>
      <c r="AC854" s="3038"/>
      <c r="AD854" s="3038"/>
      <c r="AE854" s="3132"/>
      <c r="AF854" s="3038"/>
      <c r="AG854" s="3038"/>
      <c r="AH854" s="3038"/>
      <c r="AK854" s="3038"/>
      <c r="AL854" s="3038"/>
      <c r="AM854" s="3038"/>
      <c r="AN854" s="3038"/>
      <c r="AO854" s="3038"/>
      <c r="AP854" s="3038"/>
      <c r="AQ854" s="3038"/>
      <c r="AR854" s="3038"/>
      <c r="AS854" s="3038"/>
      <c r="AT854" s="3038"/>
      <c r="AU854" s="3038"/>
      <c r="AV854" s="3038"/>
      <c r="AW854" s="3038"/>
      <c r="AX854" s="3038"/>
      <c r="AY854" s="3038"/>
      <c r="AZ854" s="3038"/>
      <c r="BA854" s="3038"/>
      <c r="BB854" s="3038"/>
      <c r="BC854" s="3038"/>
      <c r="BD854" s="3038"/>
      <c r="BE854" s="3038"/>
      <c r="BF854" s="3038"/>
      <c r="BG854" s="3038"/>
      <c r="BH854" s="3038"/>
      <c r="BI854" s="3038"/>
      <c r="BJ854" s="3038"/>
      <c r="BK854" s="3038"/>
      <c r="BL854" s="3038"/>
      <c r="BM854" s="3038"/>
      <c r="BN854" s="3038"/>
      <c r="BO854" s="3038"/>
      <c r="BP854" s="3038"/>
      <c r="BQ854" s="3038"/>
      <c r="BR854" s="3038"/>
      <c r="BS854" s="3038"/>
      <c r="BT854" s="3038"/>
      <c r="BU854" s="3038"/>
    </row>
    <row r="855" spans="3:73">
      <c r="C855" s="3038"/>
      <c r="D855" s="3038"/>
      <c r="E855" s="3038"/>
      <c r="H855" s="3038"/>
      <c r="I855" s="3038"/>
      <c r="J855" s="3038"/>
      <c r="K855" s="3038"/>
      <c r="M855" s="3038"/>
      <c r="N855" s="3038"/>
      <c r="O855" s="3038"/>
      <c r="P855" s="3038"/>
      <c r="Q855" s="3038"/>
      <c r="R855" s="3038"/>
      <c r="S855" s="3038"/>
      <c r="T855" s="3038"/>
      <c r="W855" s="3038"/>
      <c r="X855" s="3038"/>
      <c r="Y855" s="3038"/>
      <c r="Z855" s="3038"/>
      <c r="AA855" s="3113"/>
      <c r="AB855" s="3038"/>
      <c r="AC855" s="3038"/>
      <c r="AD855" s="3038"/>
      <c r="AE855" s="3132"/>
      <c r="AF855" s="3038"/>
      <c r="AG855" s="3038"/>
      <c r="AH855" s="3038"/>
      <c r="AK855" s="3038"/>
      <c r="AL855" s="3038"/>
      <c r="AM855" s="3038"/>
      <c r="AN855" s="3038"/>
      <c r="AO855" s="3038"/>
      <c r="AP855" s="3038"/>
      <c r="AQ855" s="3038"/>
      <c r="AR855" s="3038"/>
      <c r="AS855" s="3038"/>
      <c r="AT855" s="3038"/>
      <c r="AU855" s="3038"/>
      <c r="AV855" s="3038"/>
      <c r="AW855" s="3038"/>
      <c r="AX855" s="3038"/>
      <c r="AY855" s="3038"/>
      <c r="AZ855" s="3038"/>
      <c r="BA855" s="3038"/>
      <c r="BB855" s="3038"/>
      <c r="BC855" s="3038"/>
      <c r="BD855" s="3038"/>
      <c r="BE855" s="3038"/>
      <c r="BF855" s="3038"/>
      <c r="BG855" s="3038"/>
      <c r="BH855" s="3038"/>
      <c r="BI855" s="3038"/>
      <c r="BJ855" s="3038"/>
      <c r="BK855" s="3038"/>
      <c r="BL855" s="3038"/>
      <c r="BM855" s="3038"/>
      <c r="BN855" s="3038"/>
      <c r="BO855" s="3038"/>
      <c r="BP855" s="3038"/>
      <c r="BQ855" s="3038"/>
      <c r="BR855" s="3038"/>
      <c r="BS855" s="3038"/>
      <c r="BT855" s="3038"/>
      <c r="BU855" s="3038"/>
    </row>
    <row r="856" spans="3:73">
      <c r="C856" s="3038"/>
      <c r="D856" s="3038"/>
      <c r="E856" s="3038"/>
      <c r="H856" s="3038"/>
      <c r="I856" s="3038"/>
      <c r="J856" s="3038"/>
      <c r="K856" s="3038"/>
      <c r="M856" s="3038"/>
      <c r="N856" s="3038"/>
      <c r="O856" s="3038"/>
      <c r="P856" s="3038"/>
      <c r="Q856" s="3038"/>
      <c r="R856" s="3038"/>
      <c r="S856" s="3038"/>
      <c r="T856" s="3038"/>
      <c r="W856" s="3038"/>
      <c r="X856" s="3038"/>
      <c r="Y856" s="3038"/>
      <c r="Z856" s="3038"/>
      <c r="AA856" s="3113"/>
      <c r="AB856" s="3038"/>
      <c r="AC856" s="3038"/>
      <c r="AD856" s="3038"/>
      <c r="AE856" s="3132"/>
      <c r="AF856" s="3038"/>
      <c r="AG856" s="3038"/>
      <c r="AH856" s="3038"/>
      <c r="AK856" s="3038"/>
      <c r="AL856" s="3038"/>
      <c r="AM856" s="3038"/>
      <c r="AN856" s="3038"/>
      <c r="AO856" s="3038"/>
      <c r="AP856" s="3038"/>
      <c r="AQ856" s="3038"/>
      <c r="AR856" s="3038"/>
      <c r="AS856" s="3038"/>
      <c r="AT856" s="3038"/>
      <c r="AU856" s="3038"/>
      <c r="AV856" s="3038"/>
      <c r="AW856" s="3038"/>
      <c r="AX856" s="3038"/>
      <c r="AY856" s="3038"/>
      <c r="AZ856" s="3038"/>
      <c r="BA856" s="3038"/>
      <c r="BB856" s="3038"/>
      <c r="BC856" s="3038"/>
      <c r="BD856" s="3038"/>
      <c r="BE856" s="3038"/>
      <c r="BF856" s="3038"/>
      <c r="BG856" s="3038"/>
      <c r="BH856" s="3038"/>
      <c r="BI856" s="3038"/>
      <c r="BJ856" s="3038"/>
      <c r="BK856" s="3038"/>
      <c r="BL856" s="3038"/>
      <c r="BM856" s="3038"/>
      <c r="BN856" s="3038"/>
      <c r="BO856" s="3038"/>
      <c r="BP856" s="3038"/>
      <c r="BQ856" s="3038"/>
      <c r="BR856" s="3038"/>
      <c r="BS856" s="3038"/>
      <c r="BT856" s="3038"/>
      <c r="BU856" s="3038"/>
    </row>
    <row r="857" spans="3:73">
      <c r="C857" s="3038"/>
      <c r="D857" s="3038"/>
      <c r="E857" s="3038"/>
      <c r="H857" s="3038"/>
      <c r="I857" s="3038"/>
      <c r="J857" s="3038"/>
      <c r="K857" s="3038"/>
      <c r="M857" s="3038"/>
      <c r="N857" s="3038"/>
      <c r="O857" s="3038"/>
      <c r="P857" s="3038"/>
      <c r="Q857" s="3038"/>
      <c r="R857" s="3038"/>
      <c r="S857" s="3038"/>
      <c r="T857" s="3038"/>
      <c r="W857" s="3038"/>
      <c r="X857" s="3038"/>
      <c r="Y857" s="3038"/>
      <c r="Z857" s="3038"/>
      <c r="AA857" s="3113"/>
      <c r="AB857" s="3038"/>
      <c r="AC857" s="3038"/>
      <c r="AD857" s="3038"/>
      <c r="AE857" s="3132"/>
      <c r="AF857" s="3038"/>
      <c r="AG857" s="3038"/>
      <c r="AH857" s="3038"/>
      <c r="AK857" s="3038"/>
      <c r="AL857" s="3038"/>
      <c r="AM857" s="3038"/>
      <c r="AN857" s="3038"/>
      <c r="AO857" s="3038"/>
      <c r="AP857" s="3038"/>
      <c r="AQ857" s="3038"/>
      <c r="AR857" s="3038"/>
      <c r="AS857" s="3038"/>
      <c r="AT857" s="3038"/>
      <c r="AU857" s="3038"/>
      <c r="AV857" s="3038"/>
      <c r="AW857" s="3038"/>
      <c r="AX857" s="3038"/>
      <c r="AY857" s="3038"/>
      <c r="AZ857" s="3038"/>
      <c r="BA857" s="3038"/>
      <c r="BB857" s="3038"/>
      <c r="BC857" s="3038"/>
      <c r="BD857" s="3038"/>
      <c r="BE857" s="3038"/>
      <c r="BF857" s="3038"/>
      <c r="BG857" s="3038"/>
      <c r="BH857" s="3038"/>
      <c r="BI857" s="3038"/>
      <c r="BJ857" s="3038"/>
      <c r="BK857" s="3038"/>
      <c r="BL857" s="3038"/>
      <c r="BM857" s="3038"/>
      <c r="BN857" s="3038"/>
      <c r="BO857" s="3038"/>
      <c r="BP857" s="3038"/>
      <c r="BQ857" s="3038"/>
      <c r="BR857" s="3038"/>
      <c r="BS857" s="3038"/>
      <c r="BT857" s="3038"/>
      <c r="BU857" s="3038"/>
    </row>
    <row r="858" spans="3:73">
      <c r="C858" s="3038"/>
      <c r="D858" s="3038"/>
      <c r="E858" s="3038"/>
      <c r="H858" s="3038"/>
      <c r="I858" s="3038"/>
      <c r="J858" s="3038"/>
      <c r="K858" s="3038"/>
      <c r="M858" s="3038"/>
      <c r="N858" s="3038"/>
      <c r="O858" s="3038"/>
      <c r="P858" s="3038"/>
      <c r="Q858" s="3038"/>
      <c r="R858" s="3038"/>
      <c r="S858" s="3038"/>
      <c r="T858" s="3038"/>
      <c r="W858" s="3038"/>
      <c r="X858" s="3038"/>
      <c r="Y858" s="3038"/>
      <c r="Z858" s="3038"/>
      <c r="AA858" s="3113"/>
      <c r="AB858" s="3038"/>
      <c r="AC858" s="3038"/>
      <c r="AD858" s="3038"/>
      <c r="AE858" s="3132"/>
      <c r="AF858" s="3038"/>
      <c r="AG858" s="3038"/>
      <c r="AH858" s="3038"/>
      <c r="AK858" s="3038"/>
      <c r="AL858" s="3038"/>
      <c r="AM858" s="3038"/>
      <c r="AN858" s="3038"/>
      <c r="AO858" s="3038"/>
      <c r="AP858" s="3038"/>
      <c r="AQ858" s="3038"/>
      <c r="AR858" s="3038"/>
      <c r="AS858" s="3038"/>
      <c r="AT858" s="3038"/>
      <c r="AU858" s="3038"/>
      <c r="AV858" s="3038"/>
      <c r="AW858" s="3038"/>
      <c r="AX858" s="3038"/>
      <c r="AY858" s="3038"/>
      <c r="AZ858" s="3038"/>
      <c r="BA858" s="3038"/>
      <c r="BB858" s="3038"/>
      <c r="BC858" s="3038"/>
      <c r="BD858" s="3038"/>
      <c r="BE858" s="3038"/>
      <c r="BF858" s="3038"/>
      <c r="BG858" s="3038"/>
      <c r="BH858" s="3038"/>
      <c r="BI858" s="3038"/>
      <c r="BJ858" s="3038"/>
      <c r="BK858" s="3038"/>
      <c r="BL858" s="3038"/>
      <c r="BM858" s="3038"/>
      <c r="BN858" s="3038"/>
      <c r="BO858" s="3038"/>
      <c r="BP858" s="3038"/>
      <c r="BQ858" s="3038"/>
      <c r="BR858" s="3038"/>
      <c r="BS858" s="3038"/>
      <c r="BT858" s="3038"/>
      <c r="BU858" s="3038"/>
    </row>
    <row r="859" spans="3:73">
      <c r="C859" s="3038"/>
      <c r="D859" s="3038"/>
      <c r="E859" s="3038"/>
      <c r="H859" s="3038"/>
      <c r="I859" s="3038"/>
      <c r="J859" s="3038"/>
      <c r="K859" s="3038"/>
      <c r="M859" s="3038"/>
      <c r="N859" s="3038"/>
      <c r="O859" s="3038"/>
      <c r="P859" s="3038"/>
      <c r="Q859" s="3038"/>
      <c r="R859" s="3038"/>
      <c r="S859" s="3038"/>
      <c r="T859" s="3038"/>
      <c r="W859" s="3038"/>
      <c r="X859" s="3038"/>
      <c r="Y859" s="3038"/>
      <c r="Z859" s="3038"/>
      <c r="AA859" s="3113"/>
      <c r="AB859" s="3038"/>
      <c r="AC859" s="3038"/>
      <c r="AD859" s="3038"/>
      <c r="AE859" s="3132"/>
      <c r="AF859" s="3038"/>
      <c r="AG859" s="3038"/>
      <c r="AH859" s="3038"/>
      <c r="AK859" s="3038"/>
      <c r="AL859" s="3038"/>
      <c r="AM859" s="3038"/>
      <c r="AN859" s="3038"/>
      <c r="AO859" s="3038"/>
      <c r="AP859" s="3038"/>
      <c r="AQ859" s="3038"/>
      <c r="AR859" s="3038"/>
      <c r="AS859" s="3038"/>
      <c r="AT859" s="3038"/>
      <c r="AU859" s="3038"/>
      <c r="AV859" s="3038"/>
      <c r="AW859" s="3038"/>
      <c r="AX859" s="3038"/>
      <c r="AY859" s="3038"/>
      <c r="AZ859" s="3038"/>
      <c r="BA859" s="3038"/>
      <c r="BB859" s="3038"/>
      <c r="BC859" s="3038"/>
      <c r="BD859" s="3038"/>
      <c r="BE859" s="3038"/>
      <c r="BF859" s="3038"/>
      <c r="BG859" s="3038"/>
      <c r="BH859" s="3038"/>
      <c r="BI859" s="3038"/>
      <c r="BJ859" s="3038"/>
      <c r="BK859" s="3038"/>
      <c r="BL859" s="3038"/>
      <c r="BM859" s="3038"/>
      <c r="BN859" s="3038"/>
      <c r="BO859" s="3038"/>
      <c r="BP859" s="3038"/>
      <c r="BQ859" s="3038"/>
      <c r="BR859" s="3038"/>
      <c r="BS859" s="3038"/>
      <c r="BT859" s="3038"/>
      <c r="BU859" s="3038"/>
    </row>
    <row r="860" spans="3:73">
      <c r="C860" s="3038"/>
      <c r="D860" s="3038"/>
      <c r="E860" s="3038"/>
      <c r="H860" s="3038"/>
      <c r="I860" s="3038"/>
      <c r="J860" s="3038"/>
      <c r="K860" s="3038"/>
      <c r="M860" s="3038"/>
      <c r="N860" s="3038"/>
      <c r="O860" s="3038"/>
      <c r="P860" s="3038"/>
      <c r="Q860" s="3038"/>
      <c r="R860" s="3038"/>
      <c r="S860" s="3038"/>
      <c r="T860" s="3038"/>
      <c r="W860" s="3038"/>
      <c r="X860" s="3038"/>
      <c r="Y860" s="3038"/>
      <c r="Z860" s="3038"/>
      <c r="AA860" s="3113"/>
      <c r="AB860" s="3038"/>
      <c r="AC860" s="3038"/>
      <c r="AD860" s="3038"/>
      <c r="AE860" s="3132"/>
      <c r="AF860" s="3038"/>
      <c r="AG860" s="3038"/>
      <c r="AH860" s="3038"/>
      <c r="AK860" s="3038"/>
      <c r="AL860" s="3038"/>
      <c r="AM860" s="3038"/>
      <c r="AN860" s="3038"/>
      <c r="AO860" s="3038"/>
      <c r="AP860" s="3038"/>
      <c r="AQ860" s="3038"/>
      <c r="AR860" s="3038"/>
      <c r="AS860" s="3038"/>
      <c r="AT860" s="3038"/>
      <c r="AU860" s="3038"/>
      <c r="AV860" s="3038"/>
      <c r="AW860" s="3038"/>
      <c r="AX860" s="3038"/>
      <c r="AY860" s="3038"/>
      <c r="AZ860" s="3038"/>
      <c r="BA860" s="3038"/>
      <c r="BB860" s="3038"/>
      <c r="BC860" s="3038"/>
      <c r="BD860" s="3038"/>
      <c r="BE860" s="3038"/>
      <c r="BF860" s="3038"/>
      <c r="BG860" s="3038"/>
      <c r="BH860" s="3038"/>
      <c r="BI860" s="3038"/>
      <c r="BJ860" s="3038"/>
      <c r="BK860" s="3038"/>
      <c r="BL860" s="3038"/>
      <c r="BM860" s="3038"/>
      <c r="BN860" s="3038"/>
      <c r="BO860" s="3038"/>
      <c r="BP860" s="3038"/>
      <c r="BQ860" s="3038"/>
      <c r="BR860" s="3038"/>
      <c r="BS860" s="3038"/>
      <c r="BT860" s="3038"/>
      <c r="BU860" s="3038"/>
    </row>
    <row r="861" spans="3:73">
      <c r="C861" s="3038"/>
      <c r="D861" s="3038"/>
      <c r="E861" s="3038"/>
      <c r="H861" s="3038"/>
      <c r="I861" s="3038"/>
      <c r="J861" s="3038"/>
      <c r="K861" s="3038"/>
      <c r="M861" s="3038"/>
      <c r="N861" s="3038"/>
      <c r="O861" s="3038"/>
      <c r="P861" s="3038"/>
      <c r="Q861" s="3038"/>
      <c r="R861" s="3038"/>
      <c r="S861" s="3038"/>
      <c r="T861" s="3038"/>
      <c r="W861" s="3038"/>
      <c r="X861" s="3038"/>
      <c r="Y861" s="3038"/>
      <c r="Z861" s="3038"/>
      <c r="AA861" s="3113"/>
      <c r="AB861" s="3038"/>
      <c r="AC861" s="3038"/>
      <c r="AD861" s="3038"/>
      <c r="AE861" s="3132"/>
      <c r="AF861" s="3038"/>
      <c r="AG861" s="3038"/>
      <c r="AH861" s="3038"/>
      <c r="AK861" s="3038"/>
      <c r="AL861" s="3038"/>
      <c r="AM861" s="3038"/>
      <c r="AN861" s="3038"/>
      <c r="AO861" s="3038"/>
      <c r="AP861" s="3038"/>
      <c r="AQ861" s="3038"/>
      <c r="AR861" s="3038"/>
      <c r="AS861" s="3038"/>
      <c r="AT861" s="3038"/>
      <c r="AU861" s="3038"/>
      <c r="AV861" s="3038"/>
      <c r="AW861" s="3038"/>
      <c r="AX861" s="3038"/>
      <c r="AY861" s="3038"/>
      <c r="AZ861" s="3038"/>
      <c r="BA861" s="3038"/>
      <c r="BB861" s="3038"/>
      <c r="BC861" s="3038"/>
      <c r="BD861" s="3038"/>
      <c r="BE861" s="3038"/>
      <c r="BF861" s="3038"/>
      <c r="BG861" s="3038"/>
      <c r="BH861" s="3038"/>
      <c r="BI861" s="3038"/>
      <c r="BJ861" s="3038"/>
      <c r="BK861" s="3038"/>
      <c r="BL861" s="3038"/>
      <c r="BM861" s="3038"/>
      <c r="BN861" s="3038"/>
      <c r="BO861" s="3038"/>
      <c r="BP861" s="3038"/>
      <c r="BQ861" s="3038"/>
      <c r="BR861" s="3038"/>
      <c r="BS861" s="3038"/>
      <c r="BT861" s="3038"/>
      <c r="BU861" s="3038"/>
    </row>
    <row r="862" spans="3:73">
      <c r="C862" s="3038"/>
      <c r="D862" s="3038"/>
      <c r="E862" s="3038"/>
      <c r="H862" s="3038"/>
      <c r="I862" s="3038"/>
      <c r="J862" s="3038"/>
      <c r="K862" s="3038"/>
      <c r="M862" s="3038"/>
      <c r="N862" s="3038"/>
      <c r="O862" s="3038"/>
      <c r="P862" s="3038"/>
      <c r="Q862" s="3038"/>
      <c r="R862" s="3038"/>
      <c r="S862" s="3038"/>
      <c r="T862" s="3038"/>
      <c r="W862" s="3038"/>
      <c r="X862" s="3038"/>
      <c r="Y862" s="3038"/>
      <c r="Z862" s="3038"/>
      <c r="AA862" s="3113"/>
      <c r="AB862" s="3038"/>
      <c r="AC862" s="3038"/>
      <c r="AD862" s="3038"/>
      <c r="AE862" s="3132"/>
      <c r="AF862" s="3038"/>
      <c r="AG862" s="3038"/>
      <c r="AH862" s="3038"/>
      <c r="AK862" s="3038"/>
      <c r="AL862" s="3038"/>
      <c r="AM862" s="3038"/>
      <c r="AN862" s="3038"/>
      <c r="AO862" s="3038"/>
      <c r="AP862" s="3038"/>
      <c r="AQ862" s="3038"/>
      <c r="AR862" s="3038"/>
      <c r="AS862" s="3038"/>
      <c r="AT862" s="3038"/>
      <c r="AU862" s="3038"/>
      <c r="AV862" s="3038"/>
      <c r="AW862" s="3038"/>
      <c r="AX862" s="3038"/>
      <c r="AY862" s="3038"/>
      <c r="AZ862" s="3038"/>
      <c r="BA862" s="3038"/>
      <c r="BB862" s="3038"/>
      <c r="BC862" s="3038"/>
      <c r="BD862" s="3038"/>
      <c r="BE862" s="3038"/>
      <c r="BF862" s="3038"/>
      <c r="BG862" s="3038"/>
      <c r="BH862" s="3038"/>
      <c r="BI862" s="3038"/>
      <c r="BJ862" s="3038"/>
      <c r="BK862" s="3038"/>
      <c r="BL862" s="3038"/>
      <c r="BM862" s="3038"/>
      <c r="BN862" s="3038"/>
      <c r="BO862" s="3038"/>
      <c r="BP862" s="3038"/>
      <c r="BQ862" s="3038"/>
      <c r="BR862" s="3038"/>
      <c r="BS862" s="3038"/>
      <c r="BT862" s="3038"/>
      <c r="BU862" s="3038"/>
    </row>
    <row r="863" spans="3:73">
      <c r="C863" s="3038"/>
      <c r="D863" s="3038"/>
      <c r="E863" s="3038"/>
      <c r="H863" s="3038"/>
      <c r="I863" s="3038"/>
      <c r="J863" s="3038"/>
      <c r="K863" s="3038"/>
      <c r="M863" s="3038"/>
      <c r="N863" s="3038"/>
      <c r="O863" s="3038"/>
      <c r="P863" s="3038"/>
      <c r="Q863" s="3038"/>
      <c r="R863" s="3038"/>
      <c r="S863" s="3038"/>
      <c r="T863" s="3038"/>
      <c r="W863" s="3038"/>
      <c r="X863" s="3038"/>
      <c r="Y863" s="3038"/>
      <c r="Z863" s="3038"/>
      <c r="AA863" s="3113"/>
      <c r="AB863" s="3038"/>
      <c r="AC863" s="3038"/>
      <c r="AD863" s="3038"/>
      <c r="AE863" s="3132"/>
      <c r="AF863" s="3038"/>
      <c r="AG863" s="3038"/>
      <c r="AH863" s="3038"/>
      <c r="AK863" s="3038"/>
      <c r="AL863" s="3038"/>
      <c r="AM863" s="3038"/>
      <c r="AN863" s="3038"/>
      <c r="AO863" s="3038"/>
      <c r="AP863" s="3038"/>
      <c r="AQ863" s="3038"/>
      <c r="AR863" s="3038"/>
      <c r="AS863" s="3038"/>
      <c r="AT863" s="3038"/>
      <c r="AU863" s="3038"/>
      <c r="AV863" s="3038"/>
      <c r="AW863" s="3038"/>
      <c r="AX863" s="3038"/>
      <c r="AY863" s="3038"/>
      <c r="AZ863" s="3038"/>
      <c r="BA863" s="3038"/>
      <c r="BB863" s="3038"/>
      <c r="BC863" s="3038"/>
      <c r="BD863" s="3038"/>
      <c r="BE863" s="3038"/>
      <c r="BF863" s="3038"/>
      <c r="BG863" s="3038"/>
      <c r="BH863" s="3038"/>
      <c r="BI863" s="3038"/>
      <c r="BJ863" s="3038"/>
      <c r="BK863" s="3038"/>
      <c r="BL863" s="3038"/>
      <c r="BM863" s="3038"/>
      <c r="BN863" s="3038"/>
      <c r="BO863" s="3038"/>
      <c r="BP863" s="3038"/>
      <c r="BQ863" s="3038"/>
      <c r="BR863" s="3038"/>
      <c r="BS863" s="3038"/>
      <c r="BT863" s="3038"/>
      <c r="BU863" s="3038"/>
    </row>
    <row r="864" spans="3:73">
      <c r="C864" s="3038"/>
      <c r="D864" s="3038"/>
      <c r="E864" s="3038"/>
      <c r="H864" s="3038"/>
      <c r="I864" s="3038"/>
      <c r="J864" s="3038"/>
      <c r="K864" s="3038"/>
      <c r="M864" s="3038"/>
      <c r="N864" s="3038"/>
      <c r="O864" s="3038"/>
      <c r="P864" s="3038"/>
      <c r="Q864" s="3038"/>
      <c r="R864" s="3038"/>
      <c r="S864" s="3038"/>
      <c r="T864" s="3038"/>
      <c r="W864" s="3038"/>
      <c r="X864" s="3038"/>
      <c r="Y864" s="3038"/>
      <c r="Z864" s="3038"/>
      <c r="AA864" s="3113"/>
      <c r="AB864" s="3038"/>
      <c r="AC864" s="3038"/>
      <c r="AD864" s="3038"/>
      <c r="AE864" s="3132"/>
      <c r="AF864" s="3038"/>
      <c r="AG864" s="3038"/>
      <c r="AH864" s="3038"/>
      <c r="AK864" s="3038"/>
      <c r="AL864" s="3038"/>
      <c r="AM864" s="3038"/>
      <c r="AN864" s="3038"/>
      <c r="AO864" s="3038"/>
      <c r="AP864" s="3038"/>
      <c r="AQ864" s="3038"/>
      <c r="AR864" s="3038"/>
      <c r="AS864" s="3038"/>
      <c r="AT864" s="3038"/>
      <c r="AU864" s="3038"/>
      <c r="AV864" s="3038"/>
      <c r="AW864" s="3038"/>
      <c r="AX864" s="3038"/>
      <c r="AY864" s="3038"/>
      <c r="AZ864" s="3038"/>
      <c r="BA864" s="3038"/>
      <c r="BB864" s="3038"/>
      <c r="BC864" s="3038"/>
      <c r="BD864" s="3038"/>
      <c r="BE864" s="3038"/>
      <c r="BF864" s="3038"/>
      <c r="BG864" s="3038"/>
      <c r="BH864" s="3038"/>
      <c r="BI864" s="3038"/>
      <c r="BJ864" s="3038"/>
      <c r="BK864" s="3038"/>
      <c r="BL864" s="3038"/>
      <c r="BM864" s="3038"/>
      <c r="BN864" s="3038"/>
      <c r="BO864" s="3038"/>
      <c r="BP864" s="3038"/>
      <c r="BQ864" s="3038"/>
      <c r="BR864" s="3038"/>
      <c r="BS864" s="3038"/>
      <c r="BT864" s="3038"/>
      <c r="BU864" s="3038"/>
    </row>
    <row r="865" spans="3:73">
      <c r="C865" s="3038"/>
      <c r="D865" s="3038"/>
      <c r="E865" s="3038"/>
      <c r="H865" s="3038"/>
      <c r="I865" s="3038"/>
      <c r="J865" s="3038"/>
      <c r="K865" s="3038"/>
      <c r="M865" s="3038"/>
      <c r="N865" s="3038"/>
      <c r="O865" s="3038"/>
      <c r="P865" s="3038"/>
      <c r="Q865" s="3038"/>
      <c r="R865" s="3038"/>
      <c r="S865" s="3038"/>
      <c r="T865" s="3038"/>
      <c r="W865" s="3038"/>
      <c r="X865" s="3038"/>
      <c r="Y865" s="3038"/>
      <c r="Z865" s="3038"/>
      <c r="AA865" s="3113"/>
      <c r="AB865" s="3038"/>
      <c r="AC865" s="3038"/>
      <c r="AD865" s="3038"/>
      <c r="AE865" s="3132"/>
      <c r="AF865" s="3038"/>
      <c r="AG865" s="3038"/>
      <c r="AH865" s="3038"/>
      <c r="AK865" s="3038"/>
      <c r="AL865" s="3038"/>
      <c r="AM865" s="3038"/>
      <c r="AN865" s="3038"/>
      <c r="AO865" s="3038"/>
      <c r="AP865" s="3038"/>
      <c r="AQ865" s="3038"/>
      <c r="AR865" s="3038"/>
      <c r="AS865" s="3038"/>
      <c r="AT865" s="3038"/>
      <c r="AU865" s="3038"/>
      <c r="AV865" s="3038"/>
      <c r="AW865" s="3038"/>
      <c r="AX865" s="3038"/>
      <c r="AY865" s="3038"/>
      <c r="AZ865" s="3038"/>
      <c r="BA865" s="3038"/>
      <c r="BB865" s="3038"/>
      <c r="BC865" s="3038"/>
      <c r="BD865" s="3038"/>
      <c r="BE865" s="3038"/>
      <c r="BF865" s="3038"/>
      <c r="BG865" s="3038"/>
      <c r="BH865" s="3038"/>
      <c r="BI865" s="3038"/>
      <c r="BJ865" s="3038"/>
      <c r="BK865" s="3038"/>
      <c r="BL865" s="3038"/>
      <c r="BM865" s="3038"/>
      <c r="BN865" s="3038"/>
      <c r="BO865" s="3038"/>
      <c r="BP865" s="3038"/>
      <c r="BQ865" s="3038"/>
      <c r="BR865" s="3038"/>
      <c r="BS865" s="3038"/>
      <c r="BT865" s="3038"/>
      <c r="BU865" s="3038"/>
    </row>
    <row r="866" spans="3:73">
      <c r="C866" s="3038"/>
      <c r="D866" s="3038"/>
      <c r="E866" s="3038"/>
      <c r="H866" s="3038"/>
      <c r="I866" s="3038"/>
      <c r="J866" s="3038"/>
      <c r="K866" s="3038"/>
      <c r="M866" s="3038"/>
      <c r="N866" s="3038"/>
      <c r="O866" s="3038"/>
      <c r="P866" s="3038"/>
      <c r="Q866" s="3038"/>
      <c r="R866" s="3038"/>
      <c r="S866" s="3038"/>
      <c r="T866" s="3038"/>
      <c r="W866" s="3038"/>
      <c r="X866" s="3038"/>
      <c r="Y866" s="3038"/>
      <c r="Z866" s="3038"/>
      <c r="AA866" s="3113"/>
      <c r="AB866" s="3038"/>
      <c r="AC866" s="3038"/>
      <c r="AD866" s="3038"/>
      <c r="AE866" s="3132"/>
      <c r="AF866" s="3038"/>
      <c r="AG866" s="3038"/>
      <c r="AH866" s="3038"/>
      <c r="AK866" s="3038"/>
      <c r="AL866" s="3038"/>
      <c r="AM866" s="3038"/>
      <c r="AN866" s="3038"/>
      <c r="AO866" s="3038"/>
      <c r="AP866" s="3038"/>
      <c r="AQ866" s="3038"/>
      <c r="AR866" s="3038"/>
      <c r="AS866" s="3038"/>
      <c r="AT866" s="3038"/>
      <c r="AU866" s="3038"/>
      <c r="AV866" s="3038"/>
      <c r="AW866" s="3038"/>
      <c r="AX866" s="3038"/>
      <c r="AY866" s="3038"/>
      <c r="AZ866" s="3038"/>
      <c r="BA866" s="3038"/>
      <c r="BB866" s="3038"/>
      <c r="BC866" s="3038"/>
      <c r="BD866" s="3038"/>
      <c r="BE866" s="3038"/>
      <c r="BF866" s="3038"/>
      <c r="BG866" s="3038"/>
      <c r="BH866" s="3038"/>
      <c r="BI866" s="3038"/>
      <c r="BJ866" s="3038"/>
      <c r="BK866" s="3038"/>
      <c r="BL866" s="3038"/>
      <c r="BM866" s="3038"/>
      <c r="BN866" s="3038"/>
      <c r="BO866" s="3038"/>
      <c r="BP866" s="3038"/>
      <c r="BQ866" s="3038"/>
      <c r="BR866" s="3038"/>
      <c r="BS866" s="3038"/>
      <c r="BT866" s="3038"/>
      <c r="BU866" s="3038"/>
    </row>
    <row r="867" spans="3:73">
      <c r="C867" s="3038"/>
      <c r="D867" s="3038"/>
      <c r="E867" s="3038"/>
      <c r="H867" s="3038"/>
      <c r="I867" s="3038"/>
      <c r="J867" s="3038"/>
      <c r="K867" s="3038"/>
      <c r="M867" s="3038"/>
      <c r="N867" s="3038"/>
      <c r="O867" s="3038"/>
      <c r="P867" s="3038"/>
      <c r="Q867" s="3038"/>
      <c r="R867" s="3038"/>
      <c r="S867" s="3038"/>
      <c r="T867" s="3038"/>
      <c r="W867" s="3038"/>
      <c r="X867" s="3038"/>
      <c r="Y867" s="3038"/>
      <c r="Z867" s="3038"/>
      <c r="AA867" s="3113"/>
      <c r="AB867" s="3038"/>
      <c r="AC867" s="3038"/>
      <c r="AD867" s="3038"/>
      <c r="AE867" s="3132"/>
      <c r="AF867" s="3038"/>
      <c r="AG867" s="3038"/>
      <c r="AH867" s="3038"/>
      <c r="AK867" s="3038"/>
      <c r="AL867" s="3038"/>
      <c r="AM867" s="3038"/>
      <c r="AN867" s="3038"/>
      <c r="AO867" s="3038"/>
      <c r="AP867" s="3038"/>
      <c r="AQ867" s="3038"/>
      <c r="AR867" s="3038"/>
      <c r="AS867" s="3038"/>
      <c r="AT867" s="3038"/>
      <c r="AU867" s="3038"/>
      <c r="AV867" s="3038"/>
      <c r="AW867" s="3038"/>
      <c r="AX867" s="3038"/>
      <c r="AY867" s="3038"/>
      <c r="AZ867" s="3038"/>
      <c r="BA867" s="3038"/>
      <c r="BB867" s="3038"/>
      <c r="BC867" s="3038"/>
      <c r="BD867" s="3038"/>
      <c r="BE867" s="3038"/>
      <c r="BF867" s="3038"/>
      <c r="BG867" s="3038"/>
      <c r="BH867" s="3038"/>
      <c r="BI867" s="3038"/>
      <c r="BJ867" s="3038"/>
      <c r="BK867" s="3038"/>
      <c r="BL867" s="3038"/>
      <c r="BM867" s="3038"/>
      <c r="BN867" s="3038"/>
      <c r="BO867" s="3038"/>
      <c r="BP867" s="3038"/>
      <c r="BQ867" s="3038"/>
      <c r="BR867" s="3038"/>
      <c r="BS867" s="3038"/>
      <c r="BT867" s="3038"/>
      <c r="BU867" s="3038"/>
    </row>
    <row r="868" spans="3:73">
      <c r="C868" s="3038"/>
      <c r="D868" s="3038"/>
      <c r="E868" s="3038"/>
      <c r="H868" s="3038"/>
      <c r="I868" s="3038"/>
      <c r="J868" s="3038"/>
      <c r="K868" s="3038"/>
      <c r="M868" s="3038"/>
      <c r="N868" s="3038"/>
      <c r="O868" s="3038"/>
      <c r="P868" s="3038"/>
      <c r="Q868" s="3038"/>
      <c r="R868" s="3038"/>
      <c r="S868" s="3038"/>
      <c r="T868" s="3038"/>
      <c r="W868" s="3038"/>
      <c r="X868" s="3038"/>
      <c r="Y868" s="3038"/>
      <c r="Z868" s="3038"/>
      <c r="AA868" s="3113"/>
      <c r="AB868" s="3038"/>
      <c r="AC868" s="3038"/>
      <c r="AD868" s="3038"/>
      <c r="AE868" s="3132"/>
      <c r="AF868" s="3038"/>
      <c r="AG868" s="3038"/>
      <c r="AH868" s="3038"/>
      <c r="AK868" s="3038"/>
      <c r="AL868" s="3038"/>
      <c r="AM868" s="3038"/>
      <c r="AN868" s="3038"/>
      <c r="AO868" s="3038"/>
      <c r="AP868" s="3038"/>
      <c r="AQ868" s="3038"/>
      <c r="AR868" s="3038"/>
      <c r="AS868" s="3038"/>
      <c r="AT868" s="3038"/>
      <c r="AU868" s="3038"/>
      <c r="AV868" s="3038"/>
      <c r="AW868" s="3038"/>
      <c r="AX868" s="3038"/>
      <c r="AY868" s="3038"/>
      <c r="AZ868" s="3038"/>
      <c r="BA868" s="3038"/>
      <c r="BB868" s="3038"/>
      <c r="BC868" s="3038"/>
      <c r="BD868" s="3038"/>
      <c r="BE868" s="3038"/>
      <c r="BF868" s="3038"/>
      <c r="BG868" s="3038"/>
      <c r="BH868" s="3038"/>
      <c r="BI868" s="3038"/>
      <c r="BJ868" s="3038"/>
      <c r="BK868" s="3038"/>
      <c r="BL868" s="3038"/>
      <c r="BM868" s="3038"/>
      <c r="BN868" s="3038"/>
      <c r="BO868" s="3038"/>
      <c r="BP868" s="3038"/>
      <c r="BQ868" s="3038"/>
      <c r="BR868" s="3038"/>
      <c r="BS868" s="3038"/>
      <c r="BT868" s="3038"/>
      <c r="BU868" s="3038"/>
    </row>
    <row r="869" spans="3:73">
      <c r="C869" s="3038"/>
      <c r="D869" s="3038"/>
      <c r="E869" s="3038"/>
      <c r="H869" s="3038"/>
      <c r="I869" s="3038"/>
      <c r="J869" s="3038"/>
      <c r="K869" s="3038"/>
      <c r="M869" s="3038"/>
      <c r="N869" s="3038"/>
      <c r="O869" s="3038"/>
      <c r="P869" s="3038"/>
      <c r="Q869" s="3038"/>
      <c r="R869" s="3038"/>
      <c r="S869" s="3038"/>
      <c r="T869" s="3038"/>
      <c r="W869" s="3038"/>
      <c r="X869" s="3038"/>
      <c r="Y869" s="3038"/>
      <c r="Z869" s="3038"/>
      <c r="AA869" s="3113"/>
      <c r="AB869" s="3038"/>
      <c r="AC869" s="3038"/>
      <c r="AD869" s="3038"/>
      <c r="AE869" s="3132"/>
      <c r="AF869" s="3038"/>
      <c r="AG869" s="3038"/>
      <c r="AH869" s="3038"/>
      <c r="AK869" s="3038"/>
      <c r="AL869" s="3038"/>
      <c r="AM869" s="3038"/>
      <c r="AN869" s="3038"/>
      <c r="AO869" s="3038"/>
      <c r="AP869" s="3038"/>
      <c r="AQ869" s="3038"/>
      <c r="AR869" s="3038"/>
      <c r="AS869" s="3038"/>
      <c r="AT869" s="3038"/>
      <c r="AU869" s="3038"/>
      <c r="AV869" s="3038"/>
      <c r="AW869" s="3038"/>
      <c r="AX869" s="3038"/>
      <c r="AY869" s="3038"/>
      <c r="AZ869" s="3038"/>
      <c r="BA869" s="3038"/>
      <c r="BB869" s="3038"/>
      <c r="BC869" s="3038"/>
      <c r="BD869" s="3038"/>
      <c r="BE869" s="3038"/>
      <c r="BF869" s="3038"/>
      <c r="BG869" s="3038"/>
      <c r="BH869" s="3038"/>
      <c r="BI869" s="3038"/>
      <c r="BJ869" s="3038"/>
      <c r="BK869" s="3038"/>
      <c r="BL869" s="3038"/>
      <c r="BM869" s="3038"/>
      <c r="BN869" s="3038"/>
      <c r="BO869" s="3038"/>
      <c r="BP869" s="3038"/>
      <c r="BQ869" s="3038"/>
      <c r="BR869" s="3038"/>
      <c r="BS869" s="3038"/>
      <c r="BT869" s="3038"/>
      <c r="BU869" s="3038"/>
    </row>
    <row r="870" spans="3:73">
      <c r="C870" s="3038"/>
      <c r="D870" s="3038"/>
      <c r="E870" s="3038"/>
      <c r="H870" s="3038"/>
      <c r="I870" s="3038"/>
      <c r="J870" s="3038"/>
      <c r="K870" s="3038"/>
      <c r="M870" s="3038"/>
      <c r="N870" s="3038"/>
      <c r="O870" s="3038"/>
      <c r="P870" s="3038"/>
      <c r="Q870" s="3038"/>
      <c r="R870" s="3038"/>
      <c r="S870" s="3038"/>
      <c r="T870" s="3038"/>
      <c r="W870" s="3038"/>
      <c r="X870" s="3038"/>
      <c r="Y870" s="3038"/>
      <c r="Z870" s="3038"/>
      <c r="AA870" s="3113"/>
      <c r="AB870" s="3038"/>
      <c r="AC870" s="3038"/>
      <c r="AD870" s="3038"/>
      <c r="AE870" s="3132"/>
      <c r="AF870" s="3038"/>
      <c r="AG870" s="3038"/>
      <c r="AH870" s="3038"/>
      <c r="AK870" s="3038"/>
      <c r="AL870" s="3038"/>
      <c r="AM870" s="3038"/>
      <c r="AN870" s="3038"/>
      <c r="AO870" s="3038"/>
      <c r="AP870" s="3038"/>
      <c r="AQ870" s="3038"/>
      <c r="AR870" s="3038"/>
      <c r="AS870" s="3038"/>
      <c r="AT870" s="3038"/>
      <c r="AU870" s="3038"/>
      <c r="AV870" s="3038"/>
      <c r="AW870" s="3038"/>
      <c r="AX870" s="3038"/>
      <c r="AY870" s="3038"/>
      <c r="AZ870" s="3038"/>
      <c r="BA870" s="3038"/>
      <c r="BB870" s="3038"/>
      <c r="BC870" s="3038"/>
      <c r="BD870" s="3038"/>
      <c r="BE870" s="3038"/>
      <c r="BF870" s="3038"/>
      <c r="BG870" s="3038"/>
      <c r="BH870" s="3038"/>
      <c r="BI870" s="3038"/>
      <c r="BJ870" s="3038"/>
      <c r="BK870" s="3038"/>
      <c r="BL870" s="3038"/>
      <c r="BM870" s="3038"/>
      <c r="BN870" s="3038"/>
      <c r="BO870" s="3038"/>
      <c r="BP870" s="3038"/>
      <c r="BQ870" s="3038"/>
      <c r="BR870" s="3038"/>
      <c r="BS870" s="3038"/>
      <c r="BT870" s="3038"/>
      <c r="BU870" s="3038"/>
    </row>
    <row r="871" spans="3:73">
      <c r="C871" s="3038"/>
      <c r="D871" s="3038"/>
      <c r="E871" s="3038"/>
      <c r="H871" s="3038"/>
      <c r="I871" s="3038"/>
      <c r="J871" s="3038"/>
      <c r="K871" s="3038"/>
      <c r="M871" s="3038"/>
      <c r="N871" s="3038"/>
      <c r="O871" s="3038"/>
      <c r="P871" s="3038"/>
      <c r="Q871" s="3038"/>
      <c r="R871" s="3038"/>
      <c r="S871" s="3038"/>
      <c r="T871" s="3038"/>
      <c r="W871" s="3038"/>
      <c r="X871" s="3038"/>
      <c r="Y871" s="3038"/>
      <c r="Z871" s="3038"/>
      <c r="AA871" s="3113"/>
      <c r="AB871" s="3038"/>
      <c r="AC871" s="3038"/>
      <c r="AD871" s="3038"/>
      <c r="AE871" s="3132"/>
      <c r="AF871" s="3038"/>
      <c r="AG871" s="3038"/>
      <c r="AH871" s="3038"/>
      <c r="AK871" s="3038"/>
      <c r="AL871" s="3038"/>
      <c r="AM871" s="3038"/>
      <c r="AN871" s="3038"/>
      <c r="AO871" s="3038"/>
      <c r="AP871" s="3038"/>
      <c r="AQ871" s="3038"/>
      <c r="AR871" s="3038"/>
      <c r="AS871" s="3038"/>
      <c r="AT871" s="3038"/>
      <c r="AU871" s="3038"/>
      <c r="AV871" s="3038"/>
      <c r="AW871" s="3038"/>
      <c r="AX871" s="3038"/>
      <c r="AY871" s="3038"/>
      <c r="AZ871" s="3038"/>
      <c r="BA871" s="3038"/>
      <c r="BB871" s="3038"/>
      <c r="BC871" s="3038"/>
      <c r="BD871" s="3038"/>
      <c r="BE871" s="3038"/>
      <c r="BF871" s="3038"/>
      <c r="BG871" s="3038"/>
      <c r="BH871" s="3038"/>
      <c r="BI871" s="3038"/>
      <c r="BJ871" s="3038"/>
      <c r="BK871" s="3038"/>
      <c r="BL871" s="3038"/>
      <c r="BM871" s="3038"/>
      <c r="BN871" s="3038"/>
      <c r="BO871" s="3038"/>
      <c r="BP871" s="3038"/>
      <c r="BQ871" s="3038"/>
      <c r="BR871" s="3038"/>
      <c r="BS871" s="3038"/>
      <c r="BT871" s="3038"/>
      <c r="BU871" s="3038"/>
    </row>
    <row r="872" spans="3:73">
      <c r="C872" s="3038"/>
      <c r="D872" s="3038"/>
      <c r="E872" s="3038"/>
      <c r="H872" s="3038"/>
      <c r="I872" s="3038"/>
      <c r="J872" s="3038"/>
      <c r="K872" s="3038"/>
      <c r="M872" s="3038"/>
      <c r="N872" s="3038"/>
      <c r="O872" s="3038"/>
      <c r="P872" s="3038"/>
      <c r="Q872" s="3038"/>
      <c r="R872" s="3038"/>
      <c r="S872" s="3038"/>
      <c r="T872" s="3038"/>
      <c r="W872" s="3038"/>
      <c r="X872" s="3038"/>
      <c r="Y872" s="3038"/>
      <c r="Z872" s="3038"/>
      <c r="AA872" s="3113"/>
      <c r="AB872" s="3038"/>
      <c r="AC872" s="3038"/>
      <c r="AD872" s="3038"/>
      <c r="AE872" s="3132"/>
      <c r="AF872" s="3038"/>
      <c r="AG872" s="3038"/>
      <c r="AH872" s="3038"/>
      <c r="AK872" s="3038"/>
      <c r="AL872" s="3038"/>
      <c r="AM872" s="3038"/>
      <c r="AN872" s="3038"/>
      <c r="AO872" s="3038"/>
      <c r="AP872" s="3038"/>
      <c r="AQ872" s="3038"/>
      <c r="AR872" s="3038"/>
      <c r="AS872" s="3038"/>
      <c r="AT872" s="3038"/>
      <c r="AU872" s="3038"/>
      <c r="AV872" s="3038"/>
      <c r="AW872" s="3038"/>
      <c r="AX872" s="3038"/>
      <c r="AY872" s="3038"/>
      <c r="AZ872" s="3038"/>
      <c r="BA872" s="3038"/>
      <c r="BB872" s="3038"/>
      <c r="BC872" s="3038"/>
      <c r="BD872" s="3038"/>
      <c r="BE872" s="3038"/>
      <c r="BF872" s="3038"/>
      <c r="BG872" s="3038"/>
      <c r="BH872" s="3038"/>
      <c r="BI872" s="3038"/>
      <c r="BJ872" s="3038"/>
      <c r="BK872" s="3038"/>
      <c r="BL872" s="3038"/>
      <c r="BM872" s="3038"/>
      <c r="BN872" s="3038"/>
      <c r="BO872" s="3038"/>
      <c r="BP872" s="3038"/>
      <c r="BQ872" s="3038"/>
      <c r="BR872" s="3038"/>
      <c r="BS872" s="3038"/>
      <c r="BT872" s="3038"/>
      <c r="BU872" s="3038"/>
    </row>
    <row r="873" spans="3:73">
      <c r="C873" s="3038"/>
      <c r="D873" s="3038"/>
      <c r="E873" s="3038"/>
      <c r="H873" s="3038"/>
      <c r="I873" s="3038"/>
      <c r="J873" s="3038"/>
      <c r="K873" s="3038"/>
      <c r="M873" s="3038"/>
      <c r="N873" s="3038"/>
      <c r="O873" s="3038"/>
      <c r="P873" s="3038"/>
      <c r="Q873" s="3038"/>
      <c r="R873" s="3038"/>
      <c r="S873" s="3038"/>
      <c r="T873" s="3038"/>
      <c r="W873" s="3038"/>
      <c r="X873" s="3038"/>
      <c r="Y873" s="3038"/>
      <c r="Z873" s="3038"/>
      <c r="AA873" s="3113"/>
      <c r="AB873" s="3038"/>
      <c r="AC873" s="3038"/>
      <c r="AD873" s="3038"/>
      <c r="AE873" s="3132"/>
      <c r="AF873" s="3038"/>
      <c r="AG873" s="3038"/>
      <c r="AH873" s="3038"/>
      <c r="AK873" s="3038"/>
      <c r="AL873" s="3038"/>
      <c r="AM873" s="3038"/>
      <c r="AN873" s="3038"/>
      <c r="AO873" s="3038"/>
      <c r="AP873" s="3038"/>
      <c r="AQ873" s="3038"/>
      <c r="AR873" s="3038"/>
      <c r="AS873" s="3038"/>
      <c r="AT873" s="3038"/>
      <c r="AU873" s="3038"/>
      <c r="AV873" s="3038"/>
      <c r="AW873" s="3038"/>
      <c r="AX873" s="3038"/>
      <c r="AY873" s="3038"/>
      <c r="AZ873" s="3038"/>
      <c r="BA873" s="3038"/>
      <c r="BB873" s="3038"/>
      <c r="BC873" s="3038"/>
      <c r="BD873" s="3038"/>
      <c r="BE873" s="3038"/>
      <c r="BF873" s="3038"/>
      <c r="BG873" s="3038"/>
      <c r="BH873" s="3038"/>
      <c r="BI873" s="3038"/>
      <c r="BJ873" s="3038"/>
      <c r="BK873" s="3038"/>
      <c r="BL873" s="3038"/>
      <c r="BM873" s="3038"/>
      <c r="BN873" s="3038"/>
      <c r="BO873" s="3038"/>
      <c r="BP873" s="3038"/>
      <c r="BQ873" s="3038"/>
      <c r="BR873" s="3038"/>
      <c r="BS873" s="3038"/>
      <c r="BT873" s="3038"/>
      <c r="BU873" s="3038"/>
    </row>
    <row r="874" spans="3:73">
      <c r="C874" s="3038"/>
      <c r="D874" s="3038"/>
      <c r="E874" s="3038"/>
      <c r="H874" s="3038"/>
      <c r="I874" s="3038"/>
      <c r="J874" s="3038"/>
      <c r="K874" s="3038"/>
      <c r="M874" s="3038"/>
      <c r="N874" s="3038"/>
      <c r="O874" s="3038"/>
      <c r="P874" s="3038"/>
      <c r="Q874" s="3038"/>
      <c r="R874" s="3038"/>
      <c r="S874" s="3038"/>
      <c r="T874" s="3038"/>
      <c r="W874" s="3038"/>
      <c r="X874" s="3038"/>
      <c r="Y874" s="3038"/>
      <c r="Z874" s="3038"/>
      <c r="AA874" s="3113"/>
      <c r="AB874" s="3038"/>
      <c r="AC874" s="3038"/>
      <c r="AD874" s="3038"/>
      <c r="AE874" s="3132"/>
      <c r="AF874" s="3038"/>
      <c r="AG874" s="3038"/>
      <c r="AH874" s="3038"/>
      <c r="AK874" s="3038"/>
      <c r="AL874" s="3038"/>
      <c r="AM874" s="3038"/>
      <c r="AN874" s="3038"/>
      <c r="AO874" s="3038"/>
      <c r="AP874" s="3038"/>
      <c r="AQ874" s="3038"/>
      <c r="AR874" s="3038"/>
      <c r="AS874" s="3038"/>
      <c r="AT874" s="3038"/>
      <c r="AU874" s="3038"/>
      <c r="AV874" s="3038"/>
      <c r="AW874" s="3038"/>
      <c r="AX874" s="3038"/>
      <c r="AY874" s="3038"/>
      <c r="AZ874" s="3038"/>
      <c r="BA874" s="3038"/>
      <c r="BB874" s="3038"/>
      <c r="BC874" s="3038"/>
      <c r="BD874" s="3038"/>
      <c r="BE874" s="3038"/>
      <c r="BF874" s="3038"/>
      <c r="BG874" s="3038"/>
      <c r="BH874" s="3038"/>
      <c r="BI874" s="3038"/>
      <c r="BJ874" s="3038"/>
      <c r="BK874" s="3038"/>
      <c r="BL874" s="3038"/>
      <c r="BM874" s="3038"/>
      <c r="BN874" s="3038"/>
      <c r="BO874" s="3038"/>
      <c r="BP874" s="3038"/>
      <c r="BQ874" s="3038"/>
      <c r="BR874" s="3038"/>
      <c r="BS874" s="3038"/>
      <c r="BT874" s="3038"/>
      <c r="BU874" s="3038"/>
    </row>
    <row r="875" spans="3:73">
      <c r="C875" s="3038"/>
      <c r="D875" s="3038"/>
      <c r="E875" s="3038"/>
      <c r="H875" s="3038"/>
      <c r="I875" s="3038"/>
      <c r="J875" s="3038"/>
      <c r="K875" s="3038"/>
      <c r="M875" s="3038"/>
      <c r="N875" s="3038"/>
      <c r="O875" s="3038"/>
      <c r="P875" s="3038"/>
      <c r="Q875" s="3038"/>
      <c r="R875" s="3038"/>
      <c r="S875" s="3038"/>
      <c r="T875" s="3038"/>
      <c r="W875" s="3038"/>
      <c r="X875" s="3038"/>
      <c r="Y875" s="3038"/>
      <c r="Z875" s="3038"/>
      <c r="AA875" s="3113"/>
      <c r="AB875" s="3038"/>
      <c r="AC875" s="3038"/>
      <c r="AD875" s="3038"/>
      <c r="AE875" s="3132"/>
      <c r="AF875" s="3038"/>
      <c r="AG875" s="3038"/>
      <c r="AH875" s="3038"/>
      <c r="AK875" s="3038"/>
      <c r="AL875" s="3038"/>
      <c r="AM875" s="3038"/>
      <c r="AN875" s="3038"/>
      <c r="AO875" s="3038"/>
      <c r="AP875" s="3038"/>
      <c r="AQ875" s="3038"/>
      <c r="AR875" s="3038"/>
      <c r="AS875" s="3038"/>
      <c r="AT875" s="3038"/>
      <c r="AU875" s="3038"/>
      <c r="AV875" s="3038"/>
      <c r="AW875" s="3038"/>
      <c r="AX875" s="3038"/>
      <c r="AY875" s="3038"/>
      <c r="AZ875" s="3038"/>
      <c r="BA875" s="3038"/>
      <c r="BB875" s="3038"/>
      <c r="BC875" s="3038"/>
      <c r="BD875" s="3038"/>
      <c r="BE875" s="3038"/>
      <c r="BF875" s="3038"/>
      <c r="BG875" s="3038"/>
      <c r="BH875" s="3038"/>
      <c r="BI875" s="3038"/>
      <c r="BJ875" s="3038"/>
      <c r="BK875" s="3038"/>
      <c r="BL875" s="3038"/>
      <c r="BM875" s="3038"/>
      <c r="BN875" s="3038"/>
      <c r="BO875" s="3038"/>
      <c r="BP875" s="3038"/>
      <c r="BQ875" s="3038"/>
      <c r="BR875" s="3038"/>
      <c r="BS875" s="3038"/>
      <c r="BT875" s="3038"/>
      <c r="BU875" s="3038"/>
    </row>
    <row r="876" spans="3:73">
      <c r="C876" s="3038"/>
      <c r="D876" s="3038"/>
      <c r="E876" s="3038"/>
      <c r="H876" s="3038"/>
      <c r="I876" s="3038"/>
      <c r="J876" s="3038"/>
      <c r="K876" s="3038"/>
      <c r="M876" s="3038"/>
      <c r="N876" s="3038"/>
      <c r="O876" s="3038"/>
      <c r="P876" s="3038"/>
      <c r="Q876" s="3038"/>
      <c r="R876" s="3038"/>
      <c r="S876" s="3038"/>
      <c r="T876" s="3038"/>
      <c r="W876" s="3038"/>
      <c r="X876" s="3038"/>
      <c r="Y876" s="3038"/>
      <c r="Z876" s="3038"/>
      <c r="AA876" s="3113"/>
      <c r="AB876" s="3038"/>
      <c r="AC876" s="3038"/>
      <c r="AD876" s="3038"/>
      <c r="AE876" s="3132"/>
      <c r="AF876" s="3038"/>
      <c r="AG876" s="3038"/>
      <c r="AH876" s="3038"/>
      <c r="AK876" s="3038"/>
      <c r="AL876" s="3038"/>
      <c r="AM876" s="3038"/>
      <c r="AN876" s="3038"/>
      <c r="AO876" s="3038"/>
      <c r="AP876" s="3038"/>
      <c r="AQ876" s="3038"/>
      <c r="AR876" s="3038"/>
      <c r="AS876" s="3038"/>
      <c r="AT876" s="3038"/>
      <c r="AU876" s="3038"/>
      <c r="AV876" s="3038"/>
      <c r="AW876" s="3038"/>
      <c r="AX876" s="3038"/>
      <c r="AY876" s="3038"/>
      <c r="AZ876" s="3038"/>
      <c r="BA876" s="3038"/>
      <c r="BB876" s="3038"/>
      <c r="BC876" s="3038"/>
      <c r="BD876" s="3038"/>
      <c r="BE876" s="3038"/>
      <c r="BF876" s="3038"/>
      <c r="BG876" s="3038"/>
      <c r="BH876" s="3038"/>
      <c r="BI876" s="3038"/>
      <c r="BJ876" s="3038"/>
      <c r="BK876" s="3038"/>
      <c r="BL876" s="3038"/>
      <c r="BM876" s="3038"/>
      <c r="BN876" s="3038"/>
      <c r="BO876" s="3038"/>
      <c r="BP876" s="3038"/>
      <c r="BQ876" s="3038"/>
      <c r="BR876" s="3038"/>
      <c r="BS876" s="3038"/>
      <c r="BT876" s="3038"/>
      <c r="BU876" s="3038"/>
    </row>
    <row r="877" spans="3:73">
      <c r="C877" s="3038"/>
      <c r="D877" s="3038"/>
      <c r="E877" s="3038"/>
      <c r="H877" s="3038"/>
      <c r="I877" s="3038"/>
      <c r="J877" s="3038"/>
      <c r="K877" s="3038"/>
      <c r="M877" s="3038"/>
      <c r="N877" s="3038"/>
      <c r="O877" s="3038"/>
      <c r="P877" s="3038"/>
      <c r="Q877" s="3038"/>
      <c r="R877" s="3038"/>
      <c r="S877" s="3038"/>
      <c r="T877" s="3038"/>
      <c r="W877" s="3038"/>
      <c r="X877" s="3038"/>
      <c r="Y877" s="3038"/>
      <c r="Z877" s="3038"/>
      <c r="AA877" s="3113"/>
      <c r="AB877" s="3038"/>
      <c r="AC877" s="3038"/>
      <c r="AD877" s="3038"/>
      <c r="AE877" s="3132"/>
      <c r="AF877" s="3038"/>
      <c r="AG877" s="3038"/>
      <c r="AH877" s="3038"/>
      <c r="AK877" s="3038"/>
      <c r="AL877" s="3038"/>
      <c r="AM877" s="3038"/>
      <c r="AN877" s="3038"/>
      <c r="AO877" s="3038"/>
      <c r="AP877" s="3038"/>
      <c r="AQ877" s="3038"/>
      <c r="AR877" s="3038"/>
      <c r="AS877" s="3038"/>
      <c r="AT877" s="3038"/>
      <c r="AU877" s="3038"/>
      <c r="AV877" s="3038"/>
      <c r="AW877" s="3038"/>
      <c r="AX877" s="3038"/>
      <c r="AY877" s="3038"/>
      <c r="AZ877" s="3038"/>
      <c r="BA877" s="3038"/>
      <c r="BB877" s="3038"/>
      <c r="BC877" s="3038"/>
      <c r="BD877" s="3038"/>
      <c r="BE877" s="3038"/>
      <c r="BF877" s="3038"/>
      <c r="BG877" s="3038"/>
      <c r="BH877" s="3038"/>
      <c r="BI877" s="3038"/>
      <c r="BJ877" s="3038"/>
      <c r="BK877" s="3038"/>
      <c r="BL877" s="3038"/>
      <c r="BM877" s="3038"/>
      <c r="BN877" s="3038"/>
      <c r="BO877" s="3038"/>
      <c r="BP877" s="3038"/>
      <c r="BQ877" s="3038"/>
      <c r="BR877" s="3038"/>
      <c r="BS877" s="3038"/>
      <c r="BT877" s="3038"/>
      <c r="BU877" s="3038"/>
    </row>
    <row r="878" spans="3:73">
      <c r="C878" s="3038"/>
      <c r="D878" s="3038"/>
      <c r="E878" s="3038"/>
      <c r="H878" s="3038"/>
      <c r="I878" s="3038"/>
      <c r="J878" s="3038"/>
      <c r="K878" s="3038"/>
      <c r="M878" s="3038"/>
      <c r="N878" s="3038"/>
      <c r="O878" s="3038"/>
      <c r="P878" s="3038"/>
      <c r="Q878" s="3038"/>
      <c r="R878" s="3038"/>
      <c r="S878" s="3038"/>
      <c r="T878" s="3038"/>
      <c r="W878" s="3038"/>
      <c r="X878" s="3038"/>
      <c r="Y878" s="3038"/>
      <c r="Z878" s="3038"/>
      <c r="AA878" s="3113"/>
      <c r="AB878" s="3038"/>
      <c r="AC878" s="3038"/>
      <c r="AD878" s="3038"/>
      <c r="AE878" s="3132"/>
      <c r="AF878" s="3038"/>
      <c r="AG878" s="3038"/>
      <c r="AH878" s="3038"/>
      <c r="AK878" s="3038"/>
      <c r="AL878" s="3038"/>
      <c r="AM878" s="3038"/>
      <c r="AN878" s="3038"/>
      <c r="AO878" s="3038"/>
      <c r="AP878" s="3038"/>
      <c r="AQ878" s="3038"/>
      <c r="AR878" s="3038"/>
      <c r="AS878" s="3038"/>
      <c r="AT878" s="3038"/>
      <c r="AU878" s="3038"/>
      <c r="AV878" s="3038"/>
      <c r="AW878" s="3038"/>
      <c r="AX878" s="3038"/>
      <c r="AY878" s="3038"/>
      <c r="AZ878" s="3038"/>
      <c r="BA878" s="3038"/>
      <c r="BB878" s="3038"/>
      <c r="BC878" s="3038"/>
      <c r="BD878" s="3038"/>
      <c r="BE878" s="3038"/>
      <c r="BF878" s="3038"/>
      <c r="BG878" s="3038"/>
      <c r="BH878" s="3038"/>
      <c r="BI878" s="3038"/>
      <c r="BJ878" s="3038"/>
      <c r="BK878" s="3038"/>
      <c r="BL878" s="3038"/>
      <c r="BM878" s="3038"/>
      <c r="BN878" s="3038"/>
      <c r="BO878" s="3038"/>
      <c r="BP878" s="3038"/>
      <c r="BQ878" s="3038"/>
      <c r="BR878" s="3038"/>
      <c r="BS878" s="3038"/>
      <c r="BT878" s="3038"/>
      <c r="BU878" s="3038"/>
    </row>
    <row r="879" spans="3:73">
      <c r="C879" s="3038"/>
      <c r="D879" s="3038"/>
      <c r="E879" s="3038"/>
      <c r="H879" s="3038"/>
      <c r="I879" s="3038"/>
      <c r="J879" s="3038"/>
      <c r="K879" s="3038"/>
      <c r="M879" s="3038"/>
      <c r="N879" s="3038"/>
      <c r="O879" s="3038"/>
      <c r="P879" s="3038"/>
      <c r="Q879" s="3038"/>
      <c r="R879" s="3038"/>
      <c r="S879" s="3038"/>
      <c r="T879" s="3038"/>
      <c r="W879" s="3038"/>
      <c r="X879" s="3038"/>
      <c r="Y879" s="3038"/>
      <c r="Z879" s="3038"/>
      <c r="AA879" s="3113"/>
      <c r="AB879" s="3038"/>
      <c r="AC879" s="3038"/>
      <c r="AD879" s="3038"/>
      <c r="AE879" s="3132"/>
      <c r="AF879" s="3038"/>
      <c r="AG879" s="3038"/>
      <c r="AH879" s="3038"/>
      <c r="AK879" s="3038"/>
      <c r="AL879" s="3038"/>
      <c r="AM879" s="3038"/>
      <c r="AN879" s="3038"/>
      <c r="AO879" s="3038"/>
      <c r="AP879" s="3038"/>
      <c r="AQ879" s="3038"/>
      <c r="AR879" s="3038"/>
      <c r="AS879" s="3038"/>
      <c r="AT879" s="3038"/>
      <c r="AU879" s="3038"/>
      <c r="AV879" s="3038"/>
      <c r="AW879" s="3038"/>
      <c r="AX879" s="3038"/>
      <c r="AY879" s="3038"/>
      <c r="AZ879" s="3038"/>
      <c r="BA879" s="3038"/>
      <c r="BB879" s="3038"/>
      <c r="BC879" s="3038"/>
      <c r="BD879" s="3038"/>
      <c r="BE879" s="3038"/>
      <c r="BF879" s="3038"/>
      <c r="BG879" s="3038"/>
      <c r="BH879" s="3038"/>
      <c r="BI879" s="3038"/>
      <c r="BJ879" s="3038"/>
      <c r="BK879" s="3038"/>
      <c r="BL879" s="3038"/>
      <c r="BM879" s="3038"/>
      <c r="BN879" s="3038"/>
      <c r="BO879" s="3038"/>
      <c r="BP879" s="3038"/>
      <c r="BQ879" s="3038"/>
      <c r="BR879" s="3038"/>
      <c r="BS879" s="3038"/>
      <c r="BT879" s="3038"/>
      <c r="BU879" s="3038"/>
    </row>
    <row r="880" spans="3:73">
      <c r="C880" s="3038"/>
      <c r="D880" s="3038"/>
      <c r="E880" s="3038"/>
      <c r="H880" s="3038"/>
      <c r="I880" s="3038"/>
      <c r="J880" s="3038"/>
      <c r="K880" s="3038"/>
      <c r="M880" s="3038"/>
      <c r="N880" s="3038"/>
      <c r="O880" s="3038"/>
      <c r="P880" s="3038"/>
      <c r="Q880" s="3038"/>
      <c r="R880" s="3038"/>
      <c r="S880" s="3038"/>
      <c r="T880" s="3038"/>
      <c r="W880" s="3038"/>
      <c r="X880" s="3038"/>
      <c r="Y880" s="3038"/>
      <c r="Z880" s="3038"/>
      <c r="AA880" s="3113"/>
      <c r="AB880" s="3038"/>
      <c r="AC880" s="3038"/>
      <c r="AD880" s="3038"/>
      <c r="AE880" s="3132"/>
      <c r="AF880" s="3038"/>
      <c r="AG880" s="3038"/>
      <c r="AH880" s="3038"/>
      <c r="AK880" s="3038"/>
      <c r="AL880" s="3038"/>
      <c r="AM880" s="3038"/>
      <c r="AN880" s="3038"/>
      <c r="AO880" s="3038"/>
      <c r="AP880" s="3038"/>
      <c r="AQ880" s="3038"/>
      <c r="AR880" s="3038"/>
      <c r="AS880" s="3038"/>
      <c r="AT880" s="3038"/>
      <c r="AU880" s="3038"/>
      <c r="AV880" s="3038"/>
      <c r="AW880" s="3038"/>
      <c r="AX880" s="3038"/>
      <c r="AY880" s="3038"/>
      <c r="AZ880" s="3038"/>
      <c r="BA880" s="3038"/>
      <c r="BB880" s="3038"/>
      <c r="BC880" s="3038"/>
      <c r="BD880" s="3038"/>
      <c r="BE880" s="3038"/>
      <c r="BF880" s="3038"/>
      <c r="BG880" s="3038"/>
      <c r="BH880" s="3038"/>
      <c r="BI880" s="3038"/>
      <c r="BJ880" s="3038"/>
      <c r="BK880" s="3038"/>
      <c r="BL880" s="3038"/>
      <c r="BM880" s="3038"/>
      <c r="BN880" s="3038"/>
      <c r="BO880" s="3038"/>
      <c r="BP880" s="3038"/>
      <c r="BQ880" s="3038"/>
      <c r="BR880" s="3038"/>
      <c r="BS880" s="3038"/>
      <c r="BT880" s="3038"/>
      <c r="BU880" s="3038"/>
    </row>
    <row r="881" spans="3:73">
      <c r="C881" s="3038"/>
      <c r="D881" s="3038"/>
      <c r="E881" s="3038"/>
      <c r="H881" s="3038"/>
      <c r="I881" s="3038"/>
      <c r="J881" s="3038"/>
      <c r="K881" s="3038"/>
      <c r="M881" s="3038"/>
      <c r="N881" s="3038"/>
      <c r="O881" s="3038"/>
      <c r="P881" s="3038"/>
      <c r="Q881" s="3038"/>
      <c r="R881" s="3038"/>
      <c r="S881" s="3038"/>
      <c r="T881" s="3038"/>
      <c r="W881" s="3038"/>
      <c r="X881" s="3038"/>
      <c r="Y881" s="3038"/>
      <c r="Z881" s="3038"/>
      <c r="AA881" s="3113"/>
      <c r="AB881" s="3038"/>
      <c r="AC881" s="3038"/>
      <c r="AD881" s="3038"/>
      <c r="AE881" s="3132"/>
      <c r="AF881" s="3038"/>
      <c r="AG881" s="3038"/>
      <c r="AH881" s="3038"/>
      <c r="AK881" s="3038"/>
      <c r="AL881" s="3038"/>
      <c r="AM881" s="3038"/>
      <c r="AN881" s="3038"/>
      <c r="AO881" s="3038"/>
      <c r="AP881" s="3038"/>
      <c r="AQ881" s="3038"/>
      <c r="AR881" s="3038"/>
      <c r="AS881" s="3038"/>
      <c r="AT881" s="3038"/>
      <c r="AU881" s="3038"/>
      <c r="AV881" s="3038"/>
      <c r="AW881" s="3038"/>
      <c r="AX881" s="3038"/>
      <c r="AY881" s="3038"/>
      <c r="AZ881" s="3038"/>
      <c r="BA881" s="3038"/>
      <c r="BB881" s="3038"/>
      <c r="BC881" s="3038"/>
      <c r="BD881" s="3038"/>
      <c r="BE881" s="3038"/>
      <c r="BF881" s="3038"/>
      <c r="BG881" s="3038"/>
      <c r="BH881" s="3038"/>
      <c r="BI881" s="3038"/>
      <c r="BJ881" s="3038"/>
      <c r="BK881" s="3038"/>
      <c r="BL881" s="3038"/>
      <c r="BM881" s="3038"/>
      <c r="BN881" s="3038"/>
      <c r="BO881" s="3038"/>
      <c r="BP881" s="3038"/>
      <c r="BQ881" s="3038"/>
      <c r="BR881" s="3038"/>
      <c r="BS881" s="3038"/>
      <c r="BT881" s="3038"/>
      <c r="BU881" s="3038"/>
    </row>
    <row r="882" spans="3:73">
      <c r="C882" s="3038"/>
      <c r="D882" s="3038"/>
      <c r="E882" s="3038"/>
      <c r="H882" s="3038"/>
      <c r="I882" s="3038"/>
      <c r="J882" s="3038"/>
      <c r="K882" s="3038"/>
      <c r="M882" s="3038"/>
      <c r="N882" s="3038"/>
      <c r="O882" s="3038"/>
      <c r="P882" s="3038"/>
      <c r="Q882" s="3038"/>
      <c r="R882" s="3038"/>
      <c r="S882" s="3038"/>
      <c r="T882" s="3038"/>
      <c r="W882" s="3038"/>
      <c r="X882" s="3038"/>
      <c r="Y882" s="3038"/>
      <c r="Z882" s="3038"/>
      <c r="AA882" s="3113"/>
      <c r="AB882" s="3038"/>
      <c r="AC882" s="3038"/>
      <c r="AD882" s="3038"/>
      <c r="AE882" s="3132"/>
      <c r="AF882" s="3038"/>
      <c r="AG882" s="3038"/>
      <c r="AH882" s="3038"/>
      <c r="AK882" s="3038"/>
      <c r="AL882" s="3038"/>
      <c r="AM882" s="3038"/>
      <c r="AN882" s="3038"/>
      <c r="AO882" s="3038"/>
      <c r="AP882" s="3038"/>
      <c r="AQ882" s="3038"/>
      <c r="AR882" s="3038"/>
      <c r="AS882" s="3038"/>
      <c r="AT882" s="3038"/>
      <c r="AU882" s="3038"/>
      <c r="AV882" s="3038"/>
      <c r="AW882" s="3038"/>
      <c r="AX882" s="3038"/>
      <c r="AY882" s="3038"/>
      <c r="AZ882" s="3038"/>
      <c r="BA882" s="3038"/>
      <c r="BB882" s="3038"/>
      <c r="BC882" s="3038"/>
      <c r="BD882" s="3038"/>
      <c r="BE882" s="3038"/>
      <c r="BF882" s="3038"/>
      <c r="BG882" s="3038"/>
      <c r="BH882" s="3038"/>
      <c r="BI882" s="3038"/>
      <c r="BJ882" s="3038"/>
      <c r="BK882" s="3038"/>
      <c r="BL882" s="3038"/>
      <c r="BM882" s="3038"/>
      <c r="BN882" s="3038"/>
      <c r="BO882" s="3038"/>
      <c r="BP882" s="3038"/>
      <c r="BQ882" s="3038"/>
      <c r="BR882" s="3038"/>
      <c r="BS882" s="3038"/>
      <c r="BT882" s="3038"/>
      <c r="BU882" s="3038"/>
    </row>
    <row r="883" spans="3:73">
      <c r="C883" s="3038"/>
      <c r="D883" s="3038"/>
      <c r="E883" s="3038"/>
      <c r="H883" s="3038"/>
      <c r="I883" s="3038"/>
      <c r="J883" s="3038"/>
      <c r="K883" s="3038"/>
      <c r="M883" s="3038"/>
      <c r="N883" s="3038"/>
      <c r="O883" s="3038"/>
      <c r="P883" s="3038"/>
      <c r="Q883" s="3038"/>
      <c r="R883" s="3038"/>
      <c r="S883" s="3038"/>
      <c r="T883" s="3038"/>
      <c r="W883" s="3038"/>
      <c r="X883" s="3038"/>
      <c r="Y883" s="3038"/>
      <c r="Z883" s="3038"/>
      <c r="AA883" s="3113"/>
      <c r="AB883" s="3038"/>
      <c r="AC883" s="3038"/>
      <c r="AD883" s="3038"/>
      <c r="AE883" s="3132"/>
      <c r="AF883" s="3038"/>
      <c r="AG883" s="3038"/>
      <c r="AH883" s="3038"/>
      <c r="AK883" s="3038"/>
      <c r="AL883" s="3038"/>
      <c r="AM883" s="3038"/>
      <c r="AN883" s="3038"/>
      <c r="AO883" s="3038"/>
      <c r="AP883" s="3038"/>
      <c r="AQ883" s="3038"/>
      <c r="AR883" s="3038"/>
      <c r="AS883" s="3038"/>
      <c r="AT883" s="3038"/>
      <c r="AU883" s="3038"/>
      <c r="AV883" s="3038"/>
      <c r="AW883" s="3038"/>
      <c r="AX883" s="3038"/>
      <c r="AY883" s="3038"/>
      <c r="AZ883" s="3038"/>
      <c r="BA883" s="3038"/>
      <c r="BB883" s="3038"/>
      <c r="BC883" s="3038"/>
      <c r="BD883" s="3038"/>
      <c r="BE883" s="3038"/>
      <c r="BF883" s="3038"/>
      <c r="BG883" s="3038"/>
      <c r="BH883" s="3038"/>
      <c r="BI883" s="3038"/>
      <c r="BJ883" s="3038"/>
      <c r="BK883" s="3038"/>
      <c r="BL883" s="3038"/>
      <c r="BM883" s="3038"/>
      <c r="BN883" s="3038"/>
      <c r="BO883" s="3038"/>
      <c r="BP883" s="3038"/>
      <c r="BQ883" s="3038"/>
      <c r="BR883" s="3038"/>
      <c r="BS883" s="3038"/>
      <c r="BT883" s="3038"/>
      <c r="BU883" s="3038"/>
    </row>
    <row r="884" spans="3:73">
      <c r="C884" s="3038"/>
      <c r="D884" s="3038"/>
      <c r="E884" s="3038"/>
      <c r="H884" s="3038"/>
      <c r="I884" s="3038"/>
      <c r="J884" s="3038"/>
      <c r="K884" s="3038"/>
      <c r="M884" s="3038"/>
      <c r="N884" s="3038"/>
      <c r="O884" s="3038"/>
      <c r="P884" s="3038"/>
      <c r="Q884" s="3038"/>
      <c r="R884" s="3038"/>
      <c r="S884" s="3038"/>
      <c r="T884" s="3038"/>
      <c r="W884" s="3038"/>
      <c r="X884" s="3038"/>
      <c r="Y884" s="3038"/>
      <c r="Z884" s="3038"/>
      <c r="AA884" s="3113"/>
      <c r="AB884" s="3038"/>
      <c r="AC884" s="3038"/>
      <c r="AD884" s="3038"/>
      <c r="AE884" s="3132"/>
      <c r="AF884" s="3038"/>
      <c r="AG884" s="3038"/>
      <c r="AH884" s="3038"/>
      <c r="AK884" s="3038"/>
      <c r="AL884" s="3038"/>
      <c r="AM884" s="3038"/>
      <c r="AN884" s="3038"/>
      <c r="AO884" s="3038"/>
      <c r="AP884" s="3038"/>
      <c r="AQ884" s="3038"/>
      <c r="AR884" s="3038"/>
      <c r="AS884" s="3038"/>
      <c r="AT884" s="3038"/>
      <c r="AU884" s="3038"/>
      <c r="AV884" s="3038"/>
      <c r="AW884" s="3038"/>
      <c r="AX884" s="3038"/>
      <c r="AY884" s="3038"/>
      <c r="AZ884" s="3038"/>
      <c r="BA884" s="3038"/>
      <c r="BB884" s="3038"/>
      <c r="BC884" s="3038"/>
      <c r="BD884" s="3038"/>
      <c r="BE884" s="3038"/>
      <c r="BF884" s="3038"/>
      <c r="BG884" s="3038"/>
      <c r="BH884" s="3038"/>
      <c r="BI884" s="3038"/>
      <c r="BJ884" s="3038"/>
      <c r="BK884" s="3038"/>
      <c r="BL884" s="3038"/>
      <c r="BM884" s="3038"/>
      <c r="BN884" s="3038"/>
      <c r="BO884" s="3038"/>
      <c r="BP884" s="3038"/>
      <c r="BQ884" s="3038"/>
      <c r="BR884" s="3038"/>
      <c r="BS884" s="3038"/>
      <c r="BT884" s="3038"/>
      <c r="BU884" s="3038"/>
    </row>
    <row r="885" spans="3:73">
      <c r="C885" s="3038"/>
      <c r="D885" s="3038"/>
      <c r="E885" s="3038"/>
      <c r="H885" s="3038"/>
      <c r="I885" s="3038"/>
      <c r="J885" s="3038"/>
      <c r="K885" s="3038"/>
      <c r="M885" s="3038"/>
      <c r="N885" s="3038"/>
      <c r="O885" s="3038"/>
      <c r="P885" s="3038"/>
      <c r="Q885" s="3038"/>
      <c r="R885" s="3038"/>
      <c r="S885" s="3038"/>
      <c r="T885" s="3038"/>
      <c r="W885" s="3038"/>
      <c r="X885" s="3038"/>
      <c r="Y885" s="3038"/>
      <c r="Z885" s="3038"/>
      <c r="AA885" s="3113"/>
      <c r="AB885" s="3038"/>
      <c r="AC885" s="3038"/>
      <c r="AD885" s="3038"/>
      <c r="AE885" s="3132"/>
      <c r="AF885" s="3038"/>
      <c r="AG885" s="3038"/>
      <c r="AH885" s="3038"/>
      <c r="AK885" s="3038"/>
      <c r="AL885" s="3038"/>
      <c r="AM885" s="3038"/>
      <c r="AN885" s="3038"/>
      <c r="AO885" s="3038"/>
      <c r="AP885" s="3038"/>
      <c r="AQ885" s="3038"/>
      <c r="AR885" s="3038"/>
      <c r="AS885" s="3038"/>
      <c r="AT885" s="3038"/>
      <c r="AU885" s="3038"/>
      <c r="AV885" s="3038"/>
      <c r="AW885" s="3038"/>
      <c r="AX885" s="3038"/>
      <c r="AY885" s="3038"/>
      <c r="AZ885" s="3038"/>
      <c r="BA885" s="3038"/>
      <c r="BB885" s="3038"/>
      <c r="BC885" s="3038"/>
      <c r="BD885" s="3038"/>
      <c r="BE885" s="3038"/>
      <c r="BF885" s="3038"/>
      <c r="BG885" s="3038"/>
      <c r="BH885" s="3038"/>
      <c r="BI885" s="3038"/>
      <c r="BJ885" s="3038"/>
      <c r="BK885" s="3038"/>
      <c r="BL885" s="3038"/>
      <c r="BM885" s="3038"/>
      <c r="BN885" s="3038"/>
      <c r="BO885" s="3038"/>
      <c r="BP885" s="3038"/>
      <c r="BQ885" s="3038"/>
      <c r="BR885" s="3038"/>
      <c r="BS885" s="3038"/>
      <c r="BT885" s="3038"/>
      <c r="BU885" s="3038"/>
    </row>
    <row r="886" spans="3:73">
      <c r="C886" s="3038"/>
      <c r="D886" s="3038"/>
      <c r="E886" s="3038"/>
      <c r="H886" s="3038"/>
      <c r="I886" s="3038"/>
      <c r="J886" s="3038"/>
      <c r="K886" s="3038"/>
      <c r="M886" s="3038"/>
      <c r="N886" s="3038"/>
      <c r="O886" s="3038"/>
      <c r="P886" s="3038"/>
      <c r="Q886" s="3038"/>
      <c r="R886" s="3038"/>
      <c r="S886" s="3038"/>
      <c r="T886" s="3038"/>
      <c r="W886" s="3038"/>
      <c r="X886" s="3038"/>
      <c r="Y886" s="3038"/>
      <c r="Z886" s="3038"/>
      <c r="AA886" s="3113"/>
      <c r="AB886" s="3038"/>
      <c r="AC886" s="3038"/>
      <c r="AD886" s="3038"/>
      <c r="AE886" s="3132"/>
      <c r="AF886" s="3038"/>
      <c r="AG886" s="3038"/>
      <c r="AH886" s="3038"/>
      <c r="AK886" s="3038"/>
      <c r="AL886" s="3038"/>
      <c r="AM886" s="3038"/>
      <c r="AN886" s="3038"/>
      <c r="AO886" s="3038"/>
      <c r="AP886" s="3038"/>
      <c r="AQ886" s="3038"/>
      <c r="AR886" s="3038"/>
      <c r="AS886" s="3038"/>
      <c r="AT886" s="3038"/>
      <c r="AU886" s="3038"/>
      <c r="AV886" s="3038"/>
      <c r="AW886" s="3038"/>
      <c r="AX886" s="3038"/>
      <c r="AY886" s="3038"/>
      <c r="AZ886" s="3038"/>
      <c r="BA886" s="3038"/>
      <c r="BB886" s="3038"/>
      <c r="BC886" s="3038"/>
      <c r="BD886" s="3038"/>
      <c r="BE886" s="3038"/>
      <c r="BF886" s="3038"/>
      <c r="BG886" s="3038"/>
      <c r="BH886" s="3038"/>
      <c r="BI886" s="3038"/>
      <c r="BJ886" s="3038"/>
      <c r="BK886" s="3038"/>
      <c r="BL886" s="3038"/>
      <c r="BM886" s="3038"/>
      <c r="BN886" s="3038"/>
      <c r="BO886" s="3038"/>
      <c r="BP886" s="3038"/>
      <c r="BQ886" s="3038"/>
      <c r="BR886" s="3038"/>
      <c r="BS886" s="3038"/>
      <c r="BT886" s="3038"/>
      <c r="BU886" s="3038"/>
    </row>
    <row r="887" spans="3:73">
      <c r="C887" s="3038"/>
      <c r="D887" s="3038"/>
      <c r="E887" s="3038"/>
      <c r="H887" s="3038"/>
      <c r="I887" s="3038"/>
      <c r="J887" s="3038"/>
      <c r="K887" s="3038"/>
      <c r="M887" s="3038"/>
      <c r="N887" s="3038"/>
      <c r="O887" s="3038"/>
      <c r="P887" s="3038"/>
      <c r="Q887" s="3038"/>
      <c r="R887" s="3038"/>
      <c r="S887" s="3038"/>
      <c r="T887" s="3038"/>
      <c r="W887" s="3038"/>
      <c r="X887" s="3038"/>
      <c r="Y887" s="3038"/>
      <c r="Z887" s="3038"/>
      <c r="AA887" s="3113"/>
      <c r="AB887" s="3038"/>
      <c r="AC887" s="3038"/>
      <c r="AD887" s="3038"/>
      <c r="AE887" s="3132"/>
      <c r="AF887" s="3038"/>
      <c r="AG887" s="3038"/>
      <c r="AH887" s="3038"/>
      <c r="AK887" s="3038"/>
      <c r="AL887" s="3038"/>
      <c r="AM887" s="3038"/>
      <c r="AN887" s="3038"/>
      <c r="AO887" s="3038"/>
      <c r="AP887" s="3038"/>
      <c r="AQ887" s="3038"/>
      <c r="AR887" s="3038"/>
      <c r="AS887" s="3038"/>
      <c r="AT887" s="3038"/>
      <c r="AU887" s="3038"/>
      <c r="AV887" s="3038"/>
      <c r="AW887" s="3038"/>
      <c r="AX887" s="3038"/>
      <c r="AY887" s="3038"/>
      <c r="AZ887" s="3038"/>
      <c r="BA887" s="3038"/>
      <c r="BB887" s="3038"/>
      <c r="BC887" s="3038"/>
      <c r="BD887" s="3038"/>
      <c r="BE887" s="3038"/>
      <c r="BF887" s="3038"/>
      <c r="BG887" s="3038"/>
      <c r="BH887" s="3038"/>
      <c r="BI887" s="3038"/>
      <c r="BJ887" s="3038"/>
      <c r="BK887" s="3038"/>
      <c r="BL887" s="3038"/>
      <c r="BM887" s="3038"/>
      <c r="BN887" s="3038"/>
      <c r="BO887" s="3038"/>
      <c r="BP887" s="3038"/>
      <c r="BQ887" s="3038"/>
      <c r="BR887" s="3038"/>
      <c r="BS887" s="3038"/>
      <c r="BT887" s="3038"/>
      <c r="BU887" s="3038"/>
    </row>
    <row r="888" spans="3:73">
      <c r="C888" s="3038"/>
      <c r="D888" s="3038"/>
      <c r="E888" s="3038"/>
      <c r="H888" s="3038"/>
      <c r="I888" s="3038"/>
      <c r="J888" s="3038"/>
      <c r="K888" s="3038"/>
      <c r="M888" s="3038"/>
      <c r="N888" s="3038"/>
      <c r="O888" s="3038"/>
      <c r="P888" s="3038"/>
      <c r="Q888" s="3038"/>
      <c r="R888" s="3038"/>
      <c r="S888" s="3038"/>
      <c r="T888" s="3038"/>
      <c r="W888" s="3038"/>
      <c r="X888" s="3038"/>
      <c r="Y888" s="3038"/>
      <c r="Z888" s="3038"/>
      <c r="AA888" s="3113"/>
      <c r="AB888" s="3038"/>
      <c r="AC888" s="3038"/>
      <c r="AD888" s="3038"/>
      <c r="AE888" s="3132"/>
      <c r="AF888" s="3038"/>
      <c r="AG888" s="3038"/>
      <c r="AH888" s="3038"/>
      <c r="AK888" s="3038"/>
      <c r="AL888" s="3038"/>
      <c r="AM888" s="3038"/>
      <c r="AN888" s="3038"/>
      <c r="AO888" s="3038"/>
      <c r="AP888" s="3038"/>
      <c r="AQ888" s="3038"/>
      <c r="AR888" s="3038"/>
      <c r="AS888" s="3038"/>
      <c r="AT888" s="3038"/>
      <c r="AU888" s="3038"/>
      <c r="AV888" s="3038"/>
      <c r="AW888" s="3038"/>
      <c r="AX888" s="3038"/>
      <c r="AY888" s="3038"/>
      <c r="AZ888" s="3038"/>
      <c r="BA888" s="3038"/>
      <c r="BB888" s="3038"/>
      <c r="BC888" s="3038"/>
      <c r="BD888" s="3038"/>
      <c r="BE888" s="3038"/>
      <c r="BF888" s="3038"/>
      <c r="BG888" s="3038"/>
      <c r="BH888" s="3038"/>
      <c r="BI888" s="3038"/>
      <c r="BJ888" s="3038"/>
      <c r="BK888" s="3038"/>
      <c r="BL888" s="3038"/>
      <c r="BM888" s="3038"/>
      <c r="BN888" s="3038"/>
      <c r="BO888" s="3038"/>
      <c r="BP888" s="3038"/>
      <c r="BQ888" s="3038"/>
      <c r="BR888" s="3038"/>
      <c r="BS888" s="3038"/>
      <c r="BT888" s="3038"/>
      <c r="BU888" s="3038"/>
    </row>
    <row r="889" spans="3:73">
      <c r="C889" s="3038"/>
      <c r="D889" s="3038"/>
      <c r="E889" s="3038"/>
      <c r="H889" s="3038"/>
      <c r="I889" s="3038"/>
      <c r="J889" s="3038"/>
      <c r="K889" s="3038"/>
      <c r="M889" s="3038"/>
      <c r="N889" s="3038"/>
      <c r="O889" s="3038"/>
      <c r="P889" s="3038"/>
      <c r="Q889" s="3038"/>
      <c r="R889" s="3038"/>
      <c r="S889" s="3038"/>
      <c r="T889" s="3038"/>
      <c r="W889" s="3038"/>
      <c r="X889" s="3038"/>
      <c r="Y889" s="3038"/>
      <c r="Z889" s="3038"/>
      <c r="AA889" s="3113"/>
      <c r="AB889" s="3038"/>
      <c r="AC889" s="3038"/>
      <c r="AD889" s="3038"/>
      <c r="AE889" s="3132"/>
      <c r="AF889" s="3038"/>
      <c r="AG889" s="3038"/>
      <c r="AH889" s="3038"/>
      <c r="AK889" s="3038"/>
      <c r="AL889" s="3038"/>
      <c r="AM889" s="3038"/>
      <c r="AN889" s="3038"/>
      <c r="AO889" s="3038"/>
      <c r="AP889" s="3038"/>
      <c r="AQ889" s="3038"/>
      <c r="AR889" s="3038"/>
      <c r="AS889" s="3038"/>
      <c r="AT889" s="3038"/>
      <c r="AU889" s="3038"/>
      <c r="AV889" s="3038"/>
      <c r="AW889" s="3038"/>
      <c r="AX889" s="3038"/>
      <c r="AY889" s="3038"/>
      <c r="AZ889" s="3038"/>
      <c r="BA889" s="3038"/>
      <c r="BB889" s="3038"/>
      <c r="BC889" s="3038"/>
      <c r="BD889" s="3038"/>
      <c r="BE889" s="3038"/>
      <c r="BF889" s="3038"/>
      <c r="BG889" s="3038"/>
      <c r="BH889" s="3038"/>
      <c r="BI889" s="3038"/>
      <c r="BJ889" s="3038"/>
      <c r="BK889" s="3038"/>
      <c r="BL889" s="3038"/>
      <c r="BM889" s="3038"/>
      <c r="BN889" s="3038"/>
      <c r="BO889" s="3038"/>
      <c r="BP889" s="3038"/>
      <c r="BQ889" s="3038"/>
      <c r="BR889" s="3038"/>
      <c r="BS889" s="3038"/>
      <c r="BT889" s="3038"/>
      <c r="BU889" s="3038"/>
    </row>
    <row r="890" spans="3:73">
      <c r="C890" s="3038"/>
      <c r="D890" s="3038"/>
      <c r="E890" s="3038"/>
      <c r="H890" s="3038"/>
      <c r="I890" s="3038"/>
      <c r="J890" s="3038"/>
      <c r="K890" s="3038"/>
      <c r="M890" s="3038"/>
      <c r="N890" s="3038"/>
      <c r="O890" s="3038"/>
      <c r="P890" s="3038"/>
      <c r="Q890" s="3038"/>
      <c r="R890" s="3038"/>
      <c r="S890" s="3038"/>
      <c r="T890" s="3038"/>
      <c r="W890" s="3038"/>
      <c r="X890" s="3038"/>
      <c r="Y890" s="3038"/>
      <c r="Z890" s="3038"/>
      <c r="AA890" s="3113"/>
      <c r="AB890" s="3038"/>
      <c r="AC890" s="3038"/>
      <c r="AD890" s="3038"/>
      <c r="AE890" s="3132"/>
      <c r="AF890" s="3038"/>
      <c r="AG890" s="3038"/>
      <c r="AH890" s="3038"/>
      <c r="AK890" s="3038"/>
      <c r="AL890" s="3038"/>
      <c r="AM890" s="3038"/>
      <c r="AN890" s="3038"/>
      <c r="AO890" s="3038"/>
      <c r="AP890" s="3038"/>
      <c r="AQ890" s="3038"/>
      <c r="AR890" s="3038"/>
      <c r="AS890" s="3038"/>
      <c r="AT890" s="3038"/>
      <c r="AU890" s="3038"/>
      <c r="AV890" s="3038"/>
      <c r="AW890" s="3038"/>
      <c r="AX890" s="3038"/>
      <c r="AY890" s="3038"/>
      <c r="AZ890" s="3038"/>
      <c r="BA890" s="3038"/>
      <c r="BB890" s="3038"/>
      <c r="BC890" s="3038"/>
      <c r="BD890" s="3038"/>
      <c r="BE890" s="3038"/>
      <c r="BF890" s="3038"/>
      <c r="BG890" s="3038"/>
      <c r="BH890" s="3038"/>
      <c r="BI890" s="3038"/>
      <c r="BJ890" s="3038"/>
      <c r="BK890" s="3038"/>
      <c r="BL890" s="3038"/>
      <c r="BM890" s="3038"/>
      <c r="BN890" s="3038"/>
      <c r="BO890" s="3038"/>
      <c r="BP890" s="3038"/>
      <c r="BQ890" s="3038"/>
      <c r="BR890" s="3038"/>
      <c r="BS890" s="3038"/>
      <c r="BT890" s="3038"/>
      <c r="BU890" s="3038"/>
    </row>
    <row r="891" spans="3:73">
      <c r="C891" s="3038"/>
      <c r="D891" s="3038"/>
      <c r="E891" s="3038"/>
      <c r="H891" s="3038"/>
      <c r="I891" s="3038"/>
      <c r="J891" s="3038"/>
      <c r="K891" s="3038"/>
      <c r="M891" s="3038"/>
      <c r="N891" s="3038"/>
      <c r="O891" s="3038"/>
      <c r="P891" s="3038"/>
      <c r="Q891" s="3038"/>
      <c r="R891" s="3038"/>
      <c r="S891" s="3038"/>
      <c r="T891" s="3038"/>
      <c r="W891" s="3038"/>
      <c r="X891" s="3038"/>
      <c r="Y891" s="3038"/>
      <c r="Z891" s="3038"/>
      <c r="AA891" s="3113"/>
      <c r="AB891" s="3038"/>
      <c r="AC891" s="3038"/>
      <c r="AD891" s="3038"/>
      <c r="AE891" s="3132"/>
      <c r="AF891" s="3038"/>
      <c r="AG891" s="3038"/>
      <c r="AH891" s="3038"/>
      <c r="AK891" s="3038"/>
      <c r="AL891" s="3038"/>
      <c r="AM891" s="3038"/>
      <c r="AN891" s="3038"/>
      <c r="AO891" s="3038"/>
      <c r="AP891" s="3038"/>
      <c r="AQ891" s="3038"/>
      <c r="AR891" s="3038"/>
      <c r="AS891" s="3038"/>
      <c r="AT891" s="3038"/>
      <c r="AU891" s="3038"/>
      <c r="AV891" s="3038"/>
      <c r="AW891" s="3038"/>
      <c r="AX891" s="3038"/>
      <c r="AY891" s="3038"/>
      <c r="AZ891" s="3038"/>
      <c r="BA891" s="3038"/>
      <c r="BB891" s="3038"/>
      <c r="BC891" s="3038"/>
      <c r="BD891" s="3038"/>
      <c r="BE891" s="3038"/>
      <c r="BF891" s="3038"/>
      <c r="BG891" s="3038"/>
      <c r="BH891" s="3038"/>
      <c r="BI891" s="3038"/>
      <c r="BJ891" s="3038"/>
      <c r="BK891" s="3038"/>
      <c r="BL891" s="3038"/>
      <c r="BM891" s="3038"/>
      <c r="BN891" s="3038"/>
      <c r="BO891" s="3038"/>
      <c r="BP891" s="3038"/>
      <c r="BQ891" s="3038"/>
      <c r="BR891" s="3038"/>
      <c r="BS891" s="3038"/>
      <c r="BT891" s="3038"/>
      <c r="BU891" s="3038"/>
    </row>
    <row r="892" spans="3:73">
      <c r="C892" s="3038"/>
      <c r="D892" s="3038"/>
      <c r="E892" s="3038"/>
      <c r="H892" s="3038"/>
      <c r="I892" s="3038"/>
      <c r="J892" s="3038"/>
      <c r="K892" s="3038"/>
      <c r="M892" s="3038"/>
      <c r="N892" s="3038"/>
      <c r="O892" s="3038"/>
      <c r="P892" s="3038"/>
      <c r="Q892" s="3038"/>
      <c r="R892" s="3038"/>
      <c r="S892" s="3038"/>
      <c r="T892" s="3038"/>
      <c r="W892" s="3038"/>
      <c r="X892" s="3038"/>
      <c r="Y892" s="3038"/>
      <c r="Z892" s="3038"/>
      <c r="AA892" s="3113"/>
      <c r="AB892" s="3038"/>
      <c r="AC892" s="3038"/>
      <c r="AD892" s="3038"/>
      <c r="AE892" s="3132"/>
      <c r="AF892" s="3038"/>
      <c r="AG892" s="3038"/>
      <c r="AH892" s="3038"/>
      <c r="AK892" s="3038"/>
      <c r="AL892" s="3038"/>
      <c r="AM892" s="3038"/>
      <c r="AN892" s="3038"/>
      <c r="AO892" s="3038"/>
      <c r="AP892" s="3038"/>
      <c r="AQ892" s="3038"/>
      <c r="AR892" s="3038"/>
      <c r="AS892" s="3038"/>
      <c r="AT892" s="3038"/>
      <c r="AU892" s="3038"/>
      <c r="AV892" s="3038"/>
      <c r="AW892" s="3038"/>
      <c r="AX892" s="3038"/>
      <c r="AY892" s="3038"/>
      <c r="AZ892" s="3038"/>
      <c r="BA892" s="3038"/>
      <c r="BB892" s="3038"/>
      <c r="BC892" s="3038"/>
      <c r="BD892" s="3038"/>
      <c r="BE892" s="3038"/>
      <c r="BF892" s="3038"/>
      <c r="BG892" s="3038"/>
      <c r="BH892" s="3038"/>
      <c r="BI892" s="3038"/>
      <c r="BJ892" s="3038"/>
      <c r="BK892" s="3038"/>
      <c r="BL892" s="3038"/>
      <c r="BM892" s="3038"/>
      <c r="BN892" s="3038"/>
      <c r="BO892" s="3038"/>
      <c r="BP892" s="3038"/>
      <c r="BQ892" s="3038"/>
      <c r="BR892" s="3038"/>
      <c r="BS892" s="3038"/>
      <c r="BT892" s="3038"/>
      <c r="BU892" s="3038"/>
    </row>
    <row r="893" spans="3:73">
      <c r="C893" s="3038"/>
      <c r="D893" s="3038"/>
      <c r="E893" s="3038"/>
      <c r="H893" s="3038"/>
      <c r="I893" s="3038"/>
      <c r="J893" s="3038"/>
      <c r="K893" s="3038"/>
      <c r="M893" s="3038"/>
      <c r="N893" s="3038"/>
      <c r="O893" s="3038"/>
      <c r="P893" s="3038"/>
      <c r="Q893" s="3038"/>
      <c r="R893" s="3038"/>
      <c r="S893" s="3038"/>
      <c r="T893" s="3038"/>
      <c r="W893" s="3038"/>
      <c r="X893" s="3038"/>
      <c r="Y893" s="3038"/>
      <c r="Z893" s="3038"/>
      <c r="AA893" s="3113"/>
      <c r="AB893" s="3038"/>
      <c r="AC893" s="3038"/>
      <c r="AD893" s="3038"/>
      <c r="AE893" s="3132"/>
      <c r="AF893" s="3038"/>
      <c r="AG893" s="3038"/>
      <c r="AH893" s="3038"/>
      <c r="AK893" s="3038"/>
      <c r="AL893" s="3038"/>
      <c r="AM893" s="3038"/>
      <c r="AN893" s="3038"/>
      <c r="AO893" s="3038"/>
      <c r="AP893" s="3038"/>
      <c r="AQ893" s="3038"/>
      <c r="AR893" s="3038"/>
      <c r="AS893" s="3038"/>
      <c r="AT893" s="3038"/>
      <c r="AU893" s="3038"/>
      <c r="AV893" s="3038"/>
      <c r="AW893" s="3038"/>
      <c r="AX893" s="3038"/>
      <c r="AY893" s="3038"/>
      <c r="AZ893" s="3038"/>
      <c r="BA893" s="3038"/>
      <c r="BB893" s="3038"/>
      <c r="BC893" s="3038"/>
      <c r="BD893" s="3038"/>
      <c r="BE893" s="3038"/>
      <c r="BF893" s="3038"/>
      <c r="BG893" s="3038"/>
      <c r="BH893" s="3038"/>
      <c r="BI893" s="3038"/>
      <c r="BJ893" s="3038"/>
      <c r="BK893" s="3038"/>
      <c r="BL893" s="3038"/>
      <c r="BM893" s="3038"/>
      <c r="BN893" s="3038"/>
      <c r="BO893" s="3038"/>
      <c r="BP893" s="3038"/>
      <c r="BQ893" s="3038"/>
      <c r="BR893" s="3038"/>
      <c r="BS893" s="3038"/>
      <c r="BT893" s="3038"/>
      <c r="BU893" s="3038"/>
    </row>
    <row r="894" spans="3:73">
      <c r="C894" s="3038"/>
      <c r="D894" s="3038"/>
      <c r="E894" s="3038"/>
      <c r="H894" s="3038"/>
      <c r="I894" s="3038"/>
      <c r="J894" s="3038"/>
      <c r="K894" s="3038"/>
      <c r="M894" s="3038"/>
      <c r="N894" s="3038"/>
      <c r="O894" s="3038"/>
      <c r="P894" s="3038"/>
      <c r="Q894" s="3038"/>
      <c r="R894" s="3038"/>
      <c r="S894" s="3038"/>
      <c r="T894" s="3038"/>
      <c r="W894" s="3038"/>
      <c r="X894" s="3038"/>
      <c r="Y894" s="3038"/>
      <c r="Z894" s="3038"/>
      <c r="AA894" s="3113"/>
      <c r="AB894" s="3038"/>
      <c r="AC894" s="3038"/>
      <c r="AD894" s="3038"/>
      <c r="AE894" s="3132"/>
      <c r="AF894" s="3038"/>
      <c r="AG894" s="3038"/>
      <c r="AH894" s="3038"/>
      <c r="AK894" s="3038"/>
      <c r="AL894" s="3038"/>
      <c r="AM894" s="3038"/>
      <c r="AN894" s="3038"/>
      <c r="AO894" s="3038"/>
      <c r="AP894" s="3038"/>
      <c r="AQ894" s="3038"/>
      <c r="AR894" s="3038"/>
      <c r="AS894" s="3038"/>
      <c r="AT894" s="3038"/>
      <c r="AU894" s="3038"/>
      <c r="AV894" s="3038"/>
      <c r="AW894" s="3038"/>
      <c r="AX894" s="3038"/>
      <c r="AY894" s="3038"/>
      <c r="AZ894" s="3038"/>
      <c r="BA894" s="3038"/>
      <c r="BB894" s="3038"/>
      <c r="BC894" s="3038"/>
      <c r="BD894" s="3038"/>
      <c r="BE894" s="3038"/>
      <c r="BF894" s="3038"/>
      <c r="BG894" s="3038"/>
      <c r="BH894" s="3038"/>
      <c r="BI894" s="3038"/>
      <c r="BJ894" s="3038"/>
      <c r="BK894" s="3038"/>
      <c r="BL894" s="3038"/>
      <c r="BM894" s="3038"/>
      <c r="BN894" s="3038"/>
      <c r="BO894" s="3038"/>
      <c r="BP894" s="3038"/>
      <c r="BQ894" s="3038"/>
      <c r="BR894" s="3038"/>
      <c r="BS894" s="3038"/>
      <c r="BT894" s="3038"/>
      <c r="BU894" s="3038"/>
    </row>
    <row r="895" spans="3:73">
      <c r="C895" s="3038"/>
      <c r="D895" s="3038"/>
      <c r="E895" s="3038"/>
      <c r="H895" s="3038"/>
      <c r="I895" s="3038"/>
      <c r="J895" s="3038"/>
      <c r="K895" s="3038"/>
      <c r="M895" s="3038"/>
      <c r="N895" s="3038"/>
      <c r="O895" s="3038"/>
      <c r="P895" s="3038"/>
      <c r="Q895" s="3038"/>
      <c r="R895" s="3038"/>
      <c r="S895" s="3038"/>
      <c r="T895" s="3038"/>
      <c r="W895" s="3038"/>
      <c r="X895" s="3038"/>
      <c r="Y895" s="3038"/>
      <c r="Z895" s="3038"/>
      <c r="AA895" s="3113"/>
      <c r="AB895" s="3038"/>
      <c r="AC895" s="3038"/>
      <c r="AD895" s="3038"/>
      <c r="AE895" s="3132"/>
      <c r="AF895" s="3038"/>
      <c r="AG895" s="3038"/>
      <c r="AH895" s="3038"/>
      <c r="AK895" s="3038"/>
      <c r="AL895" s="3038"/>
      <c r="AM895" s="3038"/>
      <c r="AN895" s="3038"/>
      <c r="AO895" s="3038"/>
      <c r="AP895" s="3038"/>
      <c r="AQ895" s="3038"/>
      <c r="AR895" s="3038"/>
      <c r="AS895" s="3038"/>
      <c r="AT895" s="3038"/>
      <c r="AU895" s="3038"/>
      <c r="AV895" s="3038"/>
      <c r="AW895" s="3038"/>
      <c r="AX895" s="3038"/>
      <c r="AY895" s="3038"/>
      <c r="AZ895" s="3038"/>
      <c r="BA895" s="3038"/>
      <c r="BB895" s="3038"/>
      <c r="BC895" s="3038"/>
      <c r="BD895" s="3038"/>
      <c r="BE895" s="3038"/>
      <c r="BF895" s="3038"/>
      <c r="BG895" s="3038"/>
      <c r="BH895" s="3038"/>
      <c r="BI895" s="3038"/>
      <c r="BJ895" s="3038"/>
      <c r="BK895" s="3038"/>
      <c r="BL895" s="3038"/>
      <c r="BM895" s="3038"/>
      <c r="BN895" s="3038"/>
      <c r="BO895" s="3038"/>
      <c r="BP895" s="3038"/>
      <c r="BQ895" s="3038"/>
      <c r="BR895" s="3038"/>
      <c r="BS895" s="3038"/>
      <c r="BT895" s="3038"/>
      <c r="BU895" s="3038"/>
    </row>
    <row r="896" spans="3:73">
      <c r="C896" s="3038"/>
      <c r="D896" s="3038"/>
      <c r="E896" s="3038"/>
      <c r="H896" s="3038"/>
      <c r="I896" s="3038"/>
      <c r="J896" s="3038"/>
      <c r="K896" s="3038"/>
      <c r="M896" s="3038"/>
      <c r="N896" s="3038"/>
      <c r="O896" s="3038"/>
      <c r="P896" s="3038"/>
      <c r="Q896" s="3038"/>
      <c r="R896" s="3038"/>
      <c r="S896" s="3038"/>
      <c r="T896" s="3038"/>
      <c r="W896" s="3038"/>
      <c r="X896" s="3038"/>
      <c r="Y896" s="3038"/>
      <c r="Z896" s="3038"/>
      <c r="AA896" s="3113"/>
      <c r="AB896" s="3038"/>
      <c r="AC896" s="3038"/>
      <c r="AD896" s="3038"/>
      <c r="AE896" s="3132"/>
      <c r="AF896" s="3038"/>
      <c r="AG896" s="3038"/>
      <c r="AH896" s="3038"/>
      <c r="AK896" s="3038"/>
      <c r="AL896" s="3038"/>
      <c r="AM896" s="3038"/>
      <c r="AN896" s="3038"/>
      <c r="AO896" s="3038"/>
      <c r="AP896" s="3038"/>
      <c r="AQ896" s="3038"/>
      <c r="AR896" s="3038"/>
      <c r="AS896" s="3038"/>
      <c r="AT896" s="3038"/>
      <c r="AU896" s="3038"/>
      <c r="AV896" s="3038"/>
      <c r="AW896" s="3038"/>
      <c r="AX896" s="3038"/>
      <c r="AY896" s="3038"/>
      <c r="AZ896" s="3038"/>
      <c r="BA896" s="3038"/>
      <c r="BB896" s="3038"/>
      <c r="BC896" s="3038"/>
      <c r="BD896" s="3038"/>
      <c r="BE896" s="3038"/>
      <c r="BF896" s="3038"/>
      <c r="BG896" s="3038"/>
      <c r="BH896" s="3038"/>
      <c r="BI896" s="3038"/>
      <c r="BJ896" s="3038"/>
      <c r="BK896" s="3038"/>
      <c r="BL896" s="3038"/>
      <c r="BM896" s="3038"/>
      <c r="BN896" s="3038"/>
      <c r="BO896" s="3038"/>
      <c r="BP896" s="3038"/>
      <c r="BQ896" s="3038"/>
      <c r="BR896" s="3038"/>
      <c r="BS896" s="3038"/>
      <c r="BT896" s="3038"/>
      <c r="BU896" s="3038"/>
    </row>
    <row r="897" spans="3:73">
      <c r="C897" s="3038"/>
      <c r="D897" s="3038"/>
      <c r="E897" s="3038"/>
      <c r="H897" s="3038"/>
      <c r="I897" s="3038"/>
      <c r="J897" s="3038"/>
      <c r="K897" s="3038"/>
      <c r="M897" s="3038"/>
      <c r="N897" s="3038"/>
      <c r="O897" s="3038"/>
      <c r="P897" s="3038"/>
      <c r="Q897" s="3038"/>
      <c r="R897" s="3038"/>
      <c r="S897" s="3038"/>
      <c r="T897" s="3038"/>
      <c r="W897" s="3038"/>
      <c r="X897" s="3038"/>
      <c r="Y897" s="3038"/>
      <c r="Z897" s="3038"/>
      <c r="AA897" s="3113"/>
      <c r="AB897" s="3038"/>
      <c r="AC897" s="3038"/>
      <c r="AD897" s="3038"/>
      <c r="AE897" s="3132"/>
      <c r="AF897" s="3038"/>
      <c r="AG897" s="3038"/>
      <c r="AH897" s="3038"/>
      <c r="AK897" s="3038"/>
      <c r="AL897" s="3038"/>
      <c r="AM897" s="3038"/>
      <c r="AN897" s="3038"/>
      <c r="AO897" s="3038"/>
      <c r="AP897" s="3038"/>
      <c r="AQ897" s="3038"/>
      <c r="AR897" s="3038"/>
      <c r="AS897" s="3038"/>
      <c r="AT897" s="3038"/>
      <c r="AU897" s="3038"/>
      <c r="AV897" s="3038"/>
      <c r="AW897" s="3038"/>
      <c r="AX897" s="3038"/>
      <c r="AY897" s="3038"/>
      <c r="AZ897" s="3038"/>
      <c r="BA897" s="3038"/>
      <c r="BB897" s="3038"/>
      <c r="BC897" s="3038"/>
      <c r="BD897" s="3038"/>
      <c r="BE897" s="3038"/>
      <c r="BF897" s="3038"/>
      <c r="BG897" s="3038"/>
      <c r="BH897" s="3038"/>
      <c r="BI897" s="3038"/>
      <c r="BJ897" s="3038"/>
      <c r="BK897" s="3038"/>
      <c r="BL897" s="3038"/>
      <c r="BM897" s="3038"/>
      <c r="BN897" s="3038"/>
      <c r="BO897" s="3038"/>
      <c r="BP897" s="3038"/>
      <c r="BQ897" s="3038"/>
      <c r="BR897" s="3038"/>
      <c r="BS897" s="3038"/>
      <c r="BT897" s="3038"/>
      <c r="BU897" s="3038"/>
    </row>
    <row r="898" spans="3:73">
      <c r="C898" s="3038"/>
      <c r="D898" s="3038"/>
      <c r="E898" s="3038"/>
      <c r="H898" s="3038"/>
      <c r="I898" s="3038"/>
      <c r="J898" s="3038"/>
      <c r="K898" s="3038"/>
      <c r="M898" s="3038"/>
      <c r="N898" s="3038"/>
      <c r="O898" s="3038"/>
      <c r="P898" s="3038"/>
      <c r="Q898" s="3038"/>
      <c r="R898" s="3038"/>
      <c r="S898" s="3038"/>
      <c r="T898" s="3038"/>
      <c r="W898" s="3038"/>
      <c r="X898" s="3038"/>
      <c r="Y898" s="3038"/>
      <c r="Z898" s="3038"/>
      <c r="AA898" s="3113"/>
      <c r="AB898" s="3038"/>
      <c r="AC898" s="3038"/>
      <c r="AD898" s="3038"/>
      <c r="AE898" s="3132"/>
      <c r="AF898" s="3038"/>
      <c r="AG898" s="3038"/>
      <c r="AH898" s="3038"/>
      <c r="AK898" s="3038"/>
      <c r="AL898" s="3038"/>
      <c r="AM898" s="3038"/>
      <c r="AN898" s="3038"/>
      <c r="AO898" s="3038"/>
      <c r="AP898" s="3038"/>
      <c r="AQ898" s="3038"/>
      <c r="AR898" s="3038"/>
      <c r="AS898" s="3038"/>
      <c r="AT898" s="3038"/>
      <c r="AU898" s="3038"/>
      <c r="AV898" s="3038"/>
      <c r="AW898" s="3038"/>
      <c r="AX898" s="3038"/>
      <c r="AY898" s="3038"/>
      <c r="AZ898" s="3038"/>
      <c r="BA898" s="3038"/>
      <c r="BB898" s="3038"/>
      <c r="BC898" s="3038"/>
      <c r="BD898" s="3038"/>
      <c r="BE898" s="3038"/>
      <c r="BF898" s="3038"/>
      <c r="BG898" s="3038"/>
      <c r="BH898" s="3038"/>
      <c r="BI898" s="3038"/>
      <c r="BJ898" s="3038"/>
      <c r="BK898" s="3038"/>
      <c r="BL898" s="3038"/>
      <c r="BM898" s="3038"/>
      <c r="BN898" s="3038"/>
      <c r="BO898" s="3038"/>
      <c r="BP898" s="3038"/>
      <c r="BQ898" s="3038"/>
      <c r="BR898" s="3038"/>
      <c r="BS898" s="3038"/>
      <c r="BT898" s="3038"/>
      <c r="BU898" s="3038"/>
    </row>
    <row r="899" spans="3:73">
      <c r="C899" s="3038"/>
      <c r="D899" s="3038"/>
      <c r="E899" s="3038"/>
      <c r="H899" s="3038"/>
      <c r="I899" s="3038"/>
      <c r="J899" s="3038"/>
      <c r="K899" s="3038"/>
      <c r="M899" s="3038"/>
      <c r="N899" s="3038"/>
      <c r="O899" s="3038"/>
      <c r="P899" s="3038"/>
      <c r="Q899" s="3038"/>
      <c r="R899" s="3038"/>
      <c r="S899" s="3038"/>
      <c r="T899" s="3038"/>
      <c r="W899" s="3038"/>
      <c r="X899" s="3038"/>
      <c r="Y899" s="3038"/>
      <c r="Z899" s="3038"/>
      <c r="AA899" s="3113"/>
      <c r="AB899" s="3038"/>
      <c r="AC899" s="3038"/>
      <c r="AD899" s="3038"/>
      <c r="AE899" s="3132"/>
      <c r="AF899" s="3038"/>
      <c r="AG899" s="3038"/>
      <c r="AH899" s="3038"/>
      <c r="AK899" s="3038"/>
      <c r="AL899" s="3038"/>
      <c r="AM899" s="3038"/>
      <c r="AN899" s="3038"/>
      <c r="AO899" s="3038"/>
      <c r="AP899" s="3038"/>
      <c r="AQ899" s="3038"/>
      <c r="AR899" s="3038"/>
      <c r="AS899" s="3038"/>
      <c r="AT899" s="3038"/>
      <c r="AU899" s="3038"/>
      <c r="AV899" s="3038"/>
      <c r="AW899" s="3038"/>
      <c r="AX899" s="3038"/>
      <c r="AY899" s="3038"/>
      <c r="AZ899" s="3038"/>
      <c r="BA899" s="3038"/>
      <c r="BB899" s="3038"/>
      <c r="BC899" s="3038"/>
      <c r="BD899" s="3038"/>
      <c r="BE899" s="3038"/>
      <c r="BF899" s="3038"/>
      <c r="BG899" s="3038"/>
      <c r="BH899" s="3038"/>
      <c r="BI899" s="3038"/>
      <c r="BJ899" s="3038"/>
      <c r="BK899" s="3038"/>
      <c r="BL899" s="3038"/>
      <c r="BM899" s="3038"/>
      <c r="BN899" s="3038"/>
      <c r="BO899" s="3038"/>
      <c r="BP899" s="3038"/>
      <c r="BQ899" s="3038"/>
      <c r="BR899" s="3038"/>
      <c r="BS899" s="3038"/>
      <c r="BT899" s="3038"/>
      <c r="BU899" s="3038"/>
    </row>
    <row r="900" spans="3:73">
      <c r="C900" s="3038"/>
      <c r="D900" s="3038"/>
      <c r="E900" s="3038"/>
      <c r="H900" s="3038"/>
      <c r="I900" s="3038"/>
      <c r="J900" s="3038"/>
      <c r="K900" s="3038"/>
      <c r="M900" s="3038"/>
      <c r="N900" s="3038"/>
      <c r="O900" s="3038"/>
      <c r="P900" s="3038"/>
      <c r="Q900" s="3038"/>
      <c r="R900" s="3038"/>
      <c r="S900" s="3038"/>
      <c r="T900" s="3038"/>
      <c r="W900" s="3038"/>
      <c r="X900" s="3038"/>
      <c r="Y900" s="3038"/>
      <c r="Z900" s="3038"/>
      <c r="AA900" s="3113"/>
      <c r="AB900" s="3038"/>
      <c r="AC900" s="3038"/>
      <c r="AD900" s="3038"/>
      <c r="AE900" s="3132"/>
      <c r="AF900" s="3038"/>
      <c r="AG900" s="3038"/>
      <c r="AH900" s="3038"/>
      <c r="AK900" s="3038"/>
      <c r="AL900" s="3038"/>
      <c r="AM900" s="3038"/>
      <c r="AN900" s="3038"/>
      <c r="AO900" s="3038"/>
      <c r="AP900" s="3038"/>
      <c r="AQ900" s="3038"/>
      <c r="AR900" s="3038"/>
      <c r="AS900" s="3038"/>
      <c r="AT900" s="3038"/>
      <c r="AU900" s="3038"/>
      <c r="AV900" s="3038"/>
      <c r="AW900" s="3038"/>
      <c r="AX900" s="3038"/>
      <c r="AY900" s="3038"/>
      <c r="AZ900" s="3038"/>
      <c r="BA900" s="3038"/>
      <c r="BB900" s="3038"/>
      <c r="BC900" s="3038"/>
      <c r="BD900" s="3038"/>
      <c r="BE900" s="3038"/>
      <c r="BF900" s="3038"/>
      <c r="BG900" s="3038"/>
      <c r="BH900" s="3038"/>
      <c r="BI900" s="3038"/>
      <c r="BJ900" s="3038"/>
      <c r="BK900" s="3038"/>
      <c r="BL900" s="3038"/>
      <c r="BM900" s="3038"/>
      <c r="BN900" s="3038"/>
      <c r="BO900" s="3038"/>
      <c r="BP900" s="3038"/>
      <c r="BQ900" s="3038"/>
      <c r="BR900" s="3038"/>
      <c r="BS900" s="3038"/>
      <c r="BT900" s="3038"/>
      <c r="BU900" s="3038"/>
    </row>
    <row r="901" spans="3:73">
      <c r="C901" s="3038"/>
      <c r="D901" s="3038"/>
      <c r="E901" s="3038"/>
      <c r="H901" s="3038"/>
      <c r="I901" s="3038"/>
      <c r="J901" s="3038"/>
      <c r="K901" s="3038"/>
      <c r="M901" s="3038"/>
      <c r="N901" s="3038"/>
      <c r="O901" s="3038"/>
      <c r="P901" s="3038"/>
      <c r="Q901" s="3038"/>
      <c r="R901" s="3038"/>
      <c r="S901" s="3038"/>
      <c r="T901" s="3038"/>
      <c r="W901" s="3038"/>
      <c r="X901" s="3038"/>
      <c r="Y901" s="3038"/>
      <c r="Z901" s="3038"/>
      <c r="AA901" s="3113"/>
      <c r="AB901" s="3038"/>
      <c r="AC901" s="3038"/>
      <c r="AD901" s="3038"/>
      <c r="AE901" s="3132"/>
      <c r="AF901" s="3038"/>
      <c r="AG901" s="3038"/>
      <c r="AH901" s="3038"/>
      <c r="AK901" s="3038"/>
      <c r="AL901" s="3038"/>
      <c r="AM901" s="3038"/>
      <c r="AN901" s="3038"/>
      <c r="AO901" s="3038"/>
      <c r="AP901" s="3038"/>
      <c r="AQ901" s="3038"/>
      <c r="AR901" s="3038"/>
      <c r="AS901" s="3038"/>
      <c r="AT901" s="3038"/>
      <c r="AU901" s="3038"/>
      <c r="AV901" s="3038"/>
      <c r="AW901" s="3038"/>
      <c r="AX901" s="3038"/>
      <c r="AY901" s="3038"/>
      <c r="AZ901" s="3038"/>
      <c r="BA901" s="3038"/>
      <c r="BB901" s="3038"/>
      <c r="BC901" s="3038"/>
      <c r="BD901" s="3038"/>
      <c r="BE901" s="3038"/>
      <c r="BF901" s="3038"/>
      <c r="BG901" s="3038"/>
      <c r="BH901" s="3038"/>
      <c r="BI901" s="3038"/>
      <c r="BJ901" s="3038"/>
      <c r="BK901" s="3038"/>
      <c r="BL901" s="3038"/>
      <c r="BM901" s="3038"/>
      <c r="BN901" s="3038"/>
      <c r="BO901" s="3038"/>
      <c r="BP901" s="3038"/>
      <c r="BQ901" s="3038"/>
      <c r="BR901" s="3038"/>
      <c r="BS901" s="3038"/>
      <c r="BT901" s="3038"/>
      <c r="BU901" s="3038"/>
    </row>
    <row r="902" spans="3:73">
      <c r="C902" s="3038"/>
      <c r="D902" s="3038"/>
      <c r="E902" s="3038"/>
      <c r="H902" s="3038"/>
      <c r="I902" s="3038"/>
      <c r="J902" s="3038"/>
      <c r="K902" s="3038"/>
      <c r="M902" s="3038"/>
      <c r="N902" s="3038"/>
      <c r="O902" s="3038"/>
      <c r="P902" s="3038"/>
      <c r="Q902" s="3038"/>
      <c r="R902" s="3038"/>
      <c r="S902" s="3038"/>
      <c r="T902" s="3038"/>
      <c r="W902" s="3038"/>
      <c r="X902" s="3038"/>
      <c r="Y902" s="3038"/>
      <c r="Z902" s="3038"/>
      <c r="AA902" s="3113"/>
      <c r="AB902" s="3038"/>
      <c r="AC902" s="3038"/>
      <c r="AD902" s="3038"/>
      <c r="AE902" s="3132"/>
      <c r="AF902" s="3038"/>
      <c r="AG902" s="3038"/>
      <c r="AH902" s="3038"/>
      <c r="AK902" s="3038"/>
      <c r="AL902" s="3038"/>
      <c r="AM902" s="3038"/>
      <c r="AN902" s="3038"/>
      <c r="AO902" s="3038"/>
      <c r="AP902" s="3038"/>
      <c r="AQ902" s="3038"/>
      <c r="AR902" s="3038"/>
      <c r="AS902" s="3038"/>
      <c r="AT902" s="3038"/>
      <c r="AU902" s="3038"/>
      <c r="AV902" s="3038"/>
      <c r="AW902" s="3038"/>
      <c r="AX902" s="3038"/>
      <c r="AY902" s="3038"/>
      <c r="AZ902" s="3038"/>
      <c r="BA902" s="3038"/>
      <c r="BB902" s="3038"/>
      <c r="BC902" s="3038"/>
      <c r="BD902" s="3038"/>
      <c r="BE902" s="3038"/>
      <c r="BF902" s="3038"/>
      <c r="BG902" s="3038"/>
      <c r="BH902" s="3038"/>
      <c r="BI902" s="3038"/>
      <c r="BJ902" s="3038"/>
      <c r="BK902" s="3038"/>
      <c r="BL902" s="3038"/>
      <c r="BM902" s="3038"/>
      <c r="BN902" s="3038"/>
      <c r="BO902" s="3038"/>
      <c r="BP902" s="3038"/>
      <c r="BQ902" s="3038"/>
      <c r="BR902" s="3038"/>
      <c r="BS902" s="3038"/>
      <c r="BT902" s="3038"/>
      <c r="BU902" s="3038"/>
    </row>
    <row r="903" spans="3:73">
      <c r="C903" s="3038"/>
      <c r="D903" s="3038"/>
      <c r="E903" s="3038"/>
      <c r="H903" s="3038"/>
      <c r="I903" s="3038"/>
      <c r="J903" s="3038"/>
      <c r="K903" s="3038"/>
      <c r="M903" s="3038"/>
      <c r="N903" s="3038"/>
      <c r="O903" s="3038"/>
      <c r="P903" s="3038"/>
      <c r="Q903" s="3038"/>
      <c r="R903" s="3038"/>
      <c r="S903" s="3038"/>
      <c r="T903" s="3038"/>
      <c r="W903" s="3038"/>
      <c r="X903" s="3038"/>
      <c r="Y903" s="3038"/>
      <c r="Z903" s="3038"/>
      <c r="AA903" s="3113"/>
      <c r="AB903" s="3038"/>
      <c r="AC903" s="3038"/>
      <c r="AD903" s="3038"/>
      <c r="AE903" s="3132"/>
      <c r="AF903" s="3038"/>
      <c r="AG903" s="3038"/>
      <c r="AH903" s="3038"/>
      <c r="AK903" s="3038"/>
      <c r="AL903" s="3038"/>
      <c r="AM903" s="3038"/>
      <c r="AN903" s="3038"/>
      <c r="AO903" s="3038"/>
      <c r="AP903" s="3038"/>
      <c r="AQ903" s="3038"/>
      <c r="AR903" s="3038"/>
      <c r="AS903" s="3038"/>
      <c r="AT903" s="3038"/>
      <c r="AU903" s="3038"/>
      <c r="AV903" s="3038"/>
      <c r="AW903" s="3038"/>
      <c r="AX903" s="3038"/>
      <c r="AY903" s="3038"/>
      <c r="AZ903" s="3038"/>
      <c r="BA903" s="3038"/>
      <c r="BB903" s="3038"/>
      <c r="BC903" s="3038"/>
      <c r="BD903" s="3038"/>
      <c r="BE903" s="3038"/>
      <c r="BF903" s="3038"/>
      <c r="BG903" s="3038"/>
      <c r="BH903" s="3038"/>
      <c r="BI903" s="3038"/>
      <c r="BJ903" s="3038"/>
      <c r="BK903" s="3038"/>
      <c r="BL903" s="3038"/>
      <c r="BM903" s="3038"/>
      <c r="BN903" s="3038"/>
      <c r="BO903" s="3038"/>
      <c r="BP903" s="3038"/>
      <c r="BQ903" s="3038"/>
      <c r="BR903" s="3038"/>
      <c r="BS903" s="3038"/>
      <c r="BT903" s="3038"/>
      <c r="BU903" s="3038"/>
    </row>
    <row r="904" spans="3:73">
      <c r="C904" s="3038"/>
      <c r="D904" s="3038"/>
      <c r="E904" s="3038"/>
      <c r="H904" s="3038"/>
      <c r="I904" s="3038"/>
      <c r="J904" s="3038"/>
      <c r="K904" s="3038"/>
      <c r="M904" s="3038"/>
      <c r="N904" s="3038"/>
      <c r="O904" s="3038"/>
      <c r="P904" s="3038"/>
      <c r="Q904" s="3038"/>
      <c r="R904" s="3038"/>
      <c r="S904" s="3038"/>
      <c r="T904" s="3038"/>
      <c r="W904" s="3038"/>
      <c r="X904" s="3038"/>
      <c r="Y904" s="3038"/>
      <c r="Z904" s="3038"/>
      <c r="AA904" s="3113"/>
      <c r="AB904" s="3038"/>
      <c r="AC904" s="3038"/>
      <c r="AD904" s="3038"/>
      <c r="AE904" s="3132"/>
      <c r="AF904" s="3038"/>
      <c r="AG904" s="3038"/>
      <c r="AH904" s="3038"/>
      <c r="AK904" s="3038"/>
      <c r="AL904" s="3038"/>
      <c r="AM904" s="3038"/>
      <c r="AN904" s="3038"/>
      <c r="AO904" s="3038"/>
      <c r="AP904" s="3038"/>
      <c r="AQ904" s="3038"/>
      <c r="AR904" s="3038"/>
      <c r="AS904" s="3038"/>
      <c r="AT904" s="3038"/>
      <c r="AU904" s="3038"/>
      <c r="AV904" s="3038"/>
      <c r="AW904" s="3038"/>
      <c r="AX904" s="3038"/>
      <c r="AY904" s="3038"/>
      <c r="AZ904" s="3038"/>
      <c r="BA904" s="3038"/>
      <c r="BB904" s="3038"/>
      <c r="BC904" s="3038"/>
      <c r="BD904" s="3038"/>
      <c r="BE904" s="3038"/>
      <c r="BF904" s="3038"/>
      <c r="BG904" s="3038"/>
      <c r="BH904" s="3038"/>
      <c r="BI904" s="3038"/>
      <c r="BJ904" s="3038"/>
      <c r="BK904" s="3038"/>
      <c r="BL904" s="3038"/>
      <c r="BM904" s="3038"/>
      <c r="BN904" s="3038"/>
      <c r="BO904" s="3038"/>
      <c r="BP904" s="3038"/>
      <c r="BQ904" s="3038"/>
      <c r="BR904" s="3038"/>
      <c r="BS904" s="3038"/>
      <c r="BT904" s="3038"/>
      <c r="BU904" s="3038"/>
    </row>
    <row r="905" spans="3:73">
      <c r="C905" s="3038"/>
      <c r="D905" s="3038"/>
      <c r="E905" s="3038"/>
      <c r="H905" s="3038"/>
      <c r="I905" s="3038"/>
      <c r="J905" s="3038"/>
      <c r="K905" s="3038"/>
      <c r="M905" s="3038"/>
      <c r="N905" s="3038"/>
      <c r="O905" s="3038"/>
      <c r="P905" s="3038"/>
      <c r="Q905" s="3038"/>
      <c r="R905" s="3038"/>
      <c r="S905" s="3038"/>
      <c r="T905" s="3038"/>
      <c r="W905" s="3038"/>
      <c r="X905" s="3038"/>
      <c r="Y905" s="3038"/>
      <c r="Z905" s="3038"/>
      <c r="AA905" s="3113"/>
      <c r="AB905" s="3038"/>
      <c r="AC905" s="3038"/>
      <c r="AD905" s="3038"/>
      <c r="AE905" s="3132"/>
      <c r="AF905" s="3038"/>
      <c r="AG905" s="3038"/>
      <c r="AH905" s="3038"/>
      <c r="AK905" s="3038"/>
      <c r="AL905" s="3038"/>
      <c r="AM905" s="3038"/>
      <c r="AN905" s="3038"/>
      <c r="AO905" s="3038"/>
      <c r="AP905" s="3038"/>
      <c r="AQ905" s="3038"/>
      <c r="AR905" s="3038"/>
      <c r="AS905" s="3038"/>
      <c r="AT905" s="3038"/>
      <c r="AU905" s="3038"/>
      <c r="AV905" s="3038"/>
      <c r="AW905" s="3038"/>
      <c r="AX905" s="3038"/>
      <c r="AY905" s="3038"/>
      <c r="AZ905" s="3038"/>
      <c r="BA905" s="3038"/>
      <c r="BB905" s="3038"/>
      <c r="BC905" s="3038"/>
      <c r="BD905" s="3038"/>
      <c r="BE905" s="3038"/>
      <c r="BF905" s="3038"/>
      <c r="BG905" s="3038"/>
      <c r="BH905" s="3038"/>
      <c r="BI905" s="3038"/>
      <c r="BJ905" s="3038"/>
      <c r="BK905" s="3038"/>
      <c r="BL905" s="3038"/>
      <c r="BM905" s="3038"/>
      <c r="BN905" s="3038"/>
      <c r="BO905" s="3038"/>
      <c r="BP905" s="3038"/>
      <c r="BQ905" s="3038"/>
      <c r="BR905" s="3038"/>
      <c r="BS905" s="3038"/>
      <c r="BT905" s="3038"/>
      <c r="BU905" s="3038"/>
    </row>
    <row r="906" spans="3:73">
      <c r="C906" s="3038"/>
      <c r="D906" s="3038"/>
      <c r="E906" s="3038"/>
      <c r="H906" s="3038"/>
      <c r="I906" s="3038"/>
      <c r="J906" s="3038"/>
      <c r="K906" s="3038"/>
      <c r="M906" s="3038"/>
      <c r="N906" s="3038"/>
      <c r="O906" s="3038"/>
      <c r="P906" s="3038"/>
      <c r="Q906" s="3038"/>
      <c r="R906" s="3038"/>
      <c r="S906" s="3038"/>
      <c r="T906" s="3038"/>
      <c r="W906" s="3038"/>
      <c r="X906" s="3038"/>
      <c r="Y906" s="3038"/>
      <c r="Z906" s="3038"/>
      <c r="AA906" s="3113"/>
      <c r="AB906" s="3038"/>
      <c r="AC906" s="3038"/>
      <c r="AD906" s="3038"/>
      <c r="AE906" s="3132"/>
      <c r="AF906" s="3038"/>
      <c r="AG906" s="3038"/>
      <c r="AH906" s="3038"/>
      <c r="AK906" s="3038"/>
      <c r="AL906" s="3038"/>
      <c r="AM906" s="3038"/>
      <c r="AN906" s="3038"/>
      <c r="AO906" s="3038"/>
      <c r="AP906" s="3038"/>
      <c r="AQ906" s="3038"/>
      <c r="AR906" s="3038"/>
      <c r="AS906" s="3038"/>
      <c r="AT906" s="3038"/>
      <c r="AU906" s="3038"/>
      <c r="AV906" s="3038"/>
      <c r="AW906" s="3038"/>
      <c r="AX906" s="3038"/>
      <c r="AY906" s="3038"/>
      <c r="AZ906" s="3038"/>
      <c r="BA906" s="3038"/>
      <c r="BB906" s="3038"/>
      <c r="BC906" s="3038"/>
      <c r="BD906" s="3038"/>
      <c r="BE906" s="3038"/>
      <c r="BF906" s="3038"/>
      <c r="BG906" s="3038"/>
      <c r="BH906" s="3038"/>
      <c r="BI906" s="3038"/>
      <c r="BJ906" s="3038"/>
      <c r="BK906" s="3038"/>
      <c r="BL906" s="3038"/>
      <c r="BM906" s="3038"/>
      <c r="BN906" s="3038"/>
      <c r="BO906" s="3038"/>
      <c r="BP906" s="3038"/>
      <c r="BQ906" s="3038"/>
      <c r="BR906" s="3038"/>
      <c r="BS906" s="3038"/>
      <c r="BT906" s="3038"/>
      <c r="BU906" s="3038"/>
    </row>
    <row r="907" spans="3:73">
      <c r="C907" s="3038"/>
      <c r="D907" s="3038"/>
      <c r="E907" s="3038"/>
      <c r="H907" s="3038"/>
      <c r="I907" s="3038"/>
      <c r="J907" s="3038"/>
      <c r="K907" s="3038"/>
      <c r="M907" s="3038"/>
      <c r="N907" s="3038"/>
      <c r="O907" s="3038"/>
      <c r="P907" s="3038"/>
      <c r="Q907" s="3038"/>
      <c r="R907" s="3038"/>
      <c r="S907" s="3038"/>
      <c r="T907" s="3038"/>
      <c r="W907" s="3038"/>
      <c r="X907" s="3038"/>
      <c r="Y907" s="3038"/>
      <c r="Z907" s="3038"/>
      <c r="AA907" s="3113"/>
      <c r="AB907" s="3038"/>
      <c r="AC907" s="3038"/>
      <c r="AD907" s="3038"/>
      <c r="AE907" s="3132"/>
      <c r="AF907" s="3038"/>
      <c r="AG907" s="3038"/>
      <c r="AH907" s="3038"/>
      <c r="AK907" s="3038"/>
      <c r="AL907" s="3038"/>
      <c r="AM907" s="3038"/>
      <c r="AN907" s="3038"/>
      <c r="AO907" s="3038"/>
      <c r="AP907" s="3038"/>
      <c r="AQ907" s="3038"/>
      <c r="AR907" s="3038"/>
      <c r="AS907" s="3038"/>
      <c r="AT907" s="3038"/>
      <c r="AU907" s="3038"/>
      <c r="AV907" s="3038"/>
      <c r="AW907" s="3038"/>
      <c r="AX907" s="3038"/>
      <c r="AY907" s="3038"/>
      <c r="AZ907" s="3038"/>
      <c r="BA907" s="3038"/>
      <c r="BB907" s="3038"/>
      <c r="BC907" s="3038"/>
      <c r="BD907" s="3038"/>
      <c r="BE907" s="3038"/>
      <c r="BF907" s="3038"/>
      <c r="BG907" s="3038"/>
      <c r="BH907" s="3038"/>
      <c r="BI907" s="3038"/>
      <c r="BJ907" s="3038"/>
      <c r="BK907" s="3038"/>
      <c r="BL907" s="3038"/>
      <c r="BM907" s="3038"/>
      <c r="BN907" s="3038"/>
      <c r="BO907" s="3038"/>
      <c r="BP907" s="3038"/>
      <c r="BQ907" s="3038"/>
      <c r="BR907" s="3038"/>
      <c r="BS907" s="3038"/>
      <c r="BT907" s="3038"/>
      <c r="BU907" s="3038"/>
    </row>
    <row r="908" spans="3:73">
      <c r="C908" s="3038"/>
      <c r="D908" s="3038"/>
      <c r="E908" s="3038"/>
      <c r="H908" s="3038"/>
      <c r="I908" s="3038"/>
      <c r="J908" s="3038"/>
      <c r="K908" s="3038"/>
      <c r="M908" s="3038"/>
      <c r="N908" s="3038"/>
      <c r="O908" s="3038"/>
      <c r="P908" s="3038"/>
      <c r="Q908" s="3038"/>
      <c r="R908" s="3038"/>
      <c r="S908" s="3038"/>
      <c r="T908" s="3038"/>
      <c r="W908" s="3038"/>
      <c r="X908" s="3038"/>
      <c r="Y908" s="3038"/>
      <c r="Z908" s="3038"/>
      <c r="AA908" s="3113"/>
      <c r="AB908" s="3038"/>
      <c r="AC908" s="3038"/>
      <c r="AD908" s="3038"/>
      <c r="AE908" s="3132"/>
      <c r="AF908" s="3038"/>
      <c r="AG908" s="3038"/>
      <c r="AH908" s="3038"/>
      <c r="AK908" s="3038"/>
      <c r="AL908" s="3038"/>
      <c r="AM908" s="3038"/>
      <c r="AN908" s="3038"/>
      <c r="AO908" s="3038"/>
      <c r="AP908" s="3038"/>
      <c r="AQ908" s="3038"/>
      <c r="AR908" s="3038"/>
      <c r="AS908" s="3038"/>
      <c r="AT908" s="3038"/>
      <c r="AU908" s="3038"/>
      <c r="AV908" s="3038"/>
      <c r="AW908" s="3038"/>
      <c r="AX908" s="3038"/>
      <c r="AY908" s="3038"/>
      <c r="AZ908" s="3038"/>
      <c r="BA908" s="3038"/>
      <c r="BB908" s="3038"/>
      <c r="BC908" s="3038"/>
      <c r="BD908" s="3038"/>
      <c r="BE908" s="3038"/>
      <c r="BF908" s="3038"/>
      <c r="BG908" s="3038"/>
      <c r="BH908" s="3038"/>
      <c r="BI908" s="3038"/>
      <c r="BJ908" s="3038"/>
      <c r="BK908" s="3038"/>
      <c r="BL908" s="3038"/>
      <c r="BM908" s="3038"/>
      <c r="BN908" s="3038"/>
      <c r="BO908" s="3038"/>
      <c r="BP908" s="3038"/>
      <c r="BQ908" s="3038"/>
      <c r="BR908" s="3038"/>
      <c r="BS908" s="3038"/>
      <c r="BT908" s="3038"/>
      <c r="BU908" s="3038"/>
    </row>
    <row r="909" spans="3:73">
      <c r="C909" s="3038"/>
      <c r="D909" s="3038"/>
      <c r="E909" s="3038"/>
      <c r="H909" s="3038"/>
      <c r="I909" s="3038"/>
      <c r="J909" s="3038"/>
      <c r="K909" s="3038"/>
      <c r="M909" s="3038"/>
      <c r="N909" s="3038"/>
      <c r="O909" s="3038"/>
      <c r="P909" s="3038"/>
      <c r="Q909" s="3038"/>
      <c r="R909" s="3038"/>
      <c r="S909" s="3038"/>
      <c r="T909" s="3038"/>
      <c r="W909" s="3038"/>
      <c r="X909" s="3038"/>
      <c r="Y909" s="3038"/>
      <c r="Z909" s="3038"/>
      <c r="AA909" s="3113"/>
      <c r="AB909" s="3038"/>
      <c r="AC909" s="3038"/>
      <c r="AD909" s="3038"/>
      <c r="AE909" s="3132"/>
      <c r="AF909" s="3038"/>
      <c r="AG909" s="3038"/>
      <c r="AH909" s="3038"/>
      <c r="AK909" s="3038"/>
      <c r="AL909" s="3038"/>
      <c r="AM909" s="3038"/>
      <c r="AN909" s="3038"/>
      <c r="AO909" s="3038"/>
      <c r="AP909" s="3038"/>
      <c r="AQ909" s="3038"/>
      <c r="AR909" s="3038"/>
      <c r="AS909" s="3038"/>
      <c r="AT909" s="3038"/>
      <c r="AU909" s="3038"/>
      <c r="AV909" s="3038"/>
      <c r="AW909" s="3038"/>
      <c r="AX909" s="3038"/>
      <c r="AY909" s="3038"/>
      <c r="AZ909" s="3038"/>
      <c r="BA909" s="3038"/>
      <c r="BB909" s="3038"/>
      <c r="BC909" s="3038"/>
      <c r="BD909" s="3038"/>
      <c r="BE909" s="3038"/>
      <c r="BF909" s="3038"/>
      <c r="BG909" s="3038"/>
      <c r="BH909" s="3038"/>
      <c r="BI909" s="3038"/>
      <c r="BJ909" s="3038"/>
      <c r="BK909" s="3038"/>
      <c r="BL909" s="3038"/>
      <c r="BM909" s="3038"/>
      <c r="BN909" s="3038"/>
      <c r="BO909" s="3038"/>
      <c r="BP909" s="3038"/>
      <c r="BQ909" s="3038"/>
      <c r="BR909" s="3038"/>
      <c r="BS909" s="3038"/>
      <c r="BT909" s="3038"/>
      <c r="BU909" s="3038"/>
    </row>
    <row r="910" spans="3:73">
      <c r="C910" s="3038"/>
      <c r="D910" s="3038"/>
      <c r="E910" s="3038"/>
      <c r="H910" s="3038"/>
      <c r="I910" s="3038"/>
      <c r="J910" s="3038"/>
      <c r="K910" s="3038"/>
      <c r="M910" s="3038"/>
      <c r="N910" s="3038"/>
      <c r="O910" s="3038"/>
      <c r="P910" s="3038"/>
      <c r="Q910" s="3038"/>
      <c r="R910" s="3038"/>
      <c r="S910" s="3038"/>
      <c r="T910" s="3038"/>
      <c r="W910" s="3038"/>
      <c r="X910" s="3038"/>
      <c r="Y910" s="3038"/>
      <c r="Z910" s="3038"/>
      <c r="AA910" s="3113"/>
      <c r="AB910" s="3038"/>
      <c r="AC910" s="3038"/>
      <c r="AD910" s="3038"/>
      <c r="AE910" s="3132"/>
      <c r="AF910" s="3038"/>
      <c r="AG910" s="3038"/>
      <c r="AH910" s="3038"/>
      <c r="AK910" s="3038"/>
      <c r="AL910" s="3038"/>
      <c r="AM910" s="3038"/>
      <c r="AN910" s="3038"/>
      <c r="AO910" s="3038"/>
      <c r="AP910" s="3038"/>
      <c r="AQ910" s="3038"/>
      <c r="AR910" s="3038"/>
      <c r="AS910" s="3038"/>
      <c r="AT910" s="3038"/>
      <c r="AU910" s="3038"/>
      <c r="AV910" s="3038"/>
      <c r="AW910" s="3038"/>
      <c r="AX910" s="3038"/>
      <c r="AY910" s="3038"/>
      <c r="AZ910" s="3038"/>
      <c r="BA910" s="3038"/>
      <c r="BB910" s="3038"/>
      <c r="BC910" s="3038"/>
      <c r="BD910" s="3038"/>
      <c r="BE910" s="3038"/>
      <c r="BF910" s="3038"/>
      <c r="BG910" s="3038"/>
      <c r="BH910" s="3038"/>
      <c r="BI910" s="3038"/>
      <c r="BJ910" s="3038"/>
      <c r="BK910" s="3038"/>
      <c r="BL910" s="3038"/>
      <c r="BM910" s="3038"/>
      <c r="BN910" s="3038"/>
      <c r="BO910" s="3038"/>
      <c r="BP910" s="3038"/>
      <c r="BQ910" s="3038"/>
      <c r="BR910" s="3038"/>
      <c r="BS910" s="3038"/>
      <c r="BT910" s="3038"/>
      <c r="BU910" s="3038"/>
    </row>
    <row r="911" spans="3:73">
      <c r="C911" s="3038"/>
      <c r="D911" s="3038"/>
      <c r="E911" s="3038"/>
      <c r="H911" s="3038"/>
      <c r="I911" s="3038"/>
      <c r="J911" s="3038"/>
      <c r="K911" s="3038"/>
      <c r="M911" s="3038"/>
      <c r="N911" s="3038"/>
      <c r="O911" s="3038"/>
      <c r="P911" s="3038"/>
      <c r="Q911" s="3038"/>
      <c r="R911" s="3038"/>
      <c r="S911" s="3038"/>
      <c r="T911" s="3038"/>
      <c r="W911" s="3038"/>
      <c r="X911" s="3038"/>
      <c r="Y911" s="3038"/>
      <c r="Z911" s="3038"/>
      <c r="AA911" s="3113"/>
      <c r="AB911" s="3038"/>
      <c r="AC911" s="3038"/>
      <c r="AD911" s="3038"/>
      <c r="AE911" s="3132"/>
      <c r="AF911" s="3038"/>
      <c r="AG911" s="3038"/>
      <c r="AH911" s="3038"/>
      <c r="AK911" s="3038"/>
      <c r="AL911" s="3038"/>
      <c r="AM911" s="3038"/>
      <c r="AN911" s="3038"/>
      <c r="AO911" s="3038"/>
      <c r="AP911" s="3038"/>
      <c r="AQ911" s="3038"/>
      <c r="AR911" s="3038"/>
      <c r="AS911" s="3038"/>
      <c r="AT911" s="3038"/>
      <c r="AU911" s="3038"/>
      <c r="AV911" s="3038"/>
      <c r="AW911" s="3038"/>
      <c r="AX911" s="3038"/>
      <c r="AY911" s="3038"/>
      <c r="AZ911" s="3038"/>
      <c r="BA911" s="3038"/>
      <c r="BB911" s="3038"/>
      <c r="BC911" s="3038"/>
      <c r="BD911" s="3038"/>
      <c r="BE911" s="3038"/>
      <c r="BF911" s="3038"/>
      <c r="BG911" s="3038"/>
      <c r="BH911" s="3038"/>
      <c r="BI911" s="3038"/>
      <c r="BJ911" s="3038"/>
      <c r="BK911" s="3038"/>
      <c r="BL911" s="3038"/>
      <c r="BM911" s="3038"/>
      <c r="BN911" s="3038"/>
      <c r="BO911" s="3038"/>
      <c r="BP911" s="3038"/>
      <c r="BQ911" s="3038"/>
      <c r="BR911" s="3038"/>
      <c r="BS911" s="3038"/>
      <c r="BT911" s="3038"/>
      <c r="BU911" s="3038"/>
    </row>
    <row r="912" spans="3:73">
      <c r="C912" s="3038"/>
      <c r="D912" s="3038"/>
      <c r="E912" s="3038"/>
      <c r="H912" s="3038"/>
      <c r="I912" s="3038"/>
      <c r="J912" s="3038"/>
      <c r="K912" s="3038"/>
      <c r="M912" s="3038"/>
      <c r="N912" s="3038"/>
      <c r="O912" s="3038"/>
      <c r="P912" s="3038"/>
      <c r="Q912" s="3038"/>
      <c r="R912" s="3038"/>
      <c r="S912" s="3038"/>
      <c r="T912" s="3038"/>
      <c r="W912" s="3038"/>
      <c r="X912" s="3038"/>
      <c r="Y912" s="3038"/>
      <c r="Z912" s="3038"/>
      <c r="AA912" s="3113"/>
      <c r="AB912" s="3038"/>
      <c r="AC912" s="3038"/>
      <c r="AD912" s="3038"/>
      <c r="AE912" s="3132"/>
      <c r="AF912" s="3038"/>
      <c r="AG912" s="3038"/>
      <c r="AH912" s="3038"/>
      <c r="AK912" s="3038"/>
      <c r="AL912" s="3038"/>
      <c r="AM912" s="3038"/>
      <c r="AN912" s="3038"/>
      <c r="AO912" s="3038"/>
      <c r="AP912" s="3038"/>
      <c r="AQ912" s="3038"/>
      <c r="AR912" s="3038"/>
      <c r="AS912" s="3038"/>
      <c r="AT912" s="3038"/>
      <c r="AU912" s="3038"/>
      <c r="AV912" s="3038"/>
      <c r="AW912" s="3038"/>
      <c r="AX912" s="3038"/>
      <c r="AY912" s="3038"/>
      <c r="AZ912" s="3038"/>
      <c r="BA912" s="3038"/>
      <c r="BB912" s="3038"/>
      <c r="BC912" s="3038"/>
      <c r="BD912" s="3038"/>
      <c r="BE912" s="3038"/>
      <c r="BF912" s="3038"/>
      <c r="BG912" s="3038"/>
      <c r="BH912" s="3038"/>
      <c r="BI912" s="3038"/>
      <c r="BJ912" s="3038"/>
      <c r="BK912" s="3038"/>
      <c r="BL912" s="3038"/>
      <c r="BM912" s="3038"/>
      <c r="BN912" s="3038"/>
      <c r="BO912" s="3038"/>
      <c r="BP912" s="3038"/>
      <c r="BQ912" s="3038"/>
      <c r="BR912" s="3038"/>
      <c r="BS912" s="3038"/>
      <c r="BT912" s="3038"/>
      <c r="BU912" s="3038"/>
    </row>
    <row r="913" spans="3:73">
      <c r="C913" s="3038"/>
      <c r="D913" s="3038"/>
      <c r="E913" s="3038"/>
      <c r="H913" s="3038"/>
      <c r="I913" s="3038"/>
      <c r="J913" s="3038"/>
      <c r="K913" s="3038"/>
      <c r="M913" s="3038"/>
      <c r="N913" s="3038"/>
      <c r="O913" s="3038"/>
      <c r="P913" s="3038"/>
      <c r="Q913" s="3038"/>
      <c r="R913" s="3038"/>
      <c r="S913" s="3038"/>
      <c r="T913" s="3038"/>
      <c r="W913" s="3038"/>
      <c r="X913" s="3038"/>
      <c r="Y913" s="3038"/>
      <c r="Z913" s="3038"/>
      <c r="AA913" s="3113"/>
      <c r="AB913" s="3038"/>
      <c r="AC913" s="3038"/>
      <c r="AD913" s="3038"/>
      <c r="AE913" s="3132"/>
      <c r="AF913" s="3038"/>
      <c r="AG913" s="3038"/>
      <c r="AH913" s="3038"/>
      <c r="AK913" s="3038"/>
      <c r="AL913" s="3038"/>
      <c r="AM913" s="3038"/>
      <c r="AN913" s="3038"/>
      <c r="AO913" s="3038"/>
      <c r="AP913" s="3038"/>
      <c r="AQ913" s="3038"/>
      <c r="AR913" s="3038"/>
      <c r="AS913" s="3038"/>
      <c r="AT913" s="3038"/>
      <c r="AU913" s="3038"/>
      <c r="AV913" s="3038"/>
      <c r="AW913" s="3038"/>
      <c r="AX913" s="3038"/>
      <c r="AY913" s="3038"/>
      <c r="AZ913" s="3038"/>
      <c r="BA913" s="3038"/>
      <c r="BB913" s="3038"/>
      <c r="BC913" s="3038"/>
      <c r="BD913" s="3038"/>
      <c r="BE913" s="3038"/>
      <c r="BF913" s="3038"/>
      <c r="BG913" s="3038"/>
      <c r="BH913" s="3038"/>
      <c r="BI913" s="3038"/>
      <c r="BJ913" s="3038"/>
      <c r="BK913" s="3038"/>
      <c r="BL913" s="3038"/>
      <c r="BM913" s="3038"/>
      <c r="BN913" s="3038"/>
      <c r="BO913" s="3038"/>
      <c r="BP913" s="3038"/>
      <c r="BQ913" s="3038"/>
      <c r="BR913" s="3038"/>
      <c r="BS913" s="3038"/>
      <c r="BT913" s="3038"/>
      <c r="BU913" s="3038"/>
    </row>
    <row r="914" spans="3:73">
      <c r="C914" s="3038"/>
      <c r="D914" s="3038"/>
      <c r="E914" s="3038"/>
      <c r="H914" s="3038"/>
      <c r="I914" s="3038"/>
      <c r="J914" s="3038"/>
      <c r="K914" s="3038"/>
      <c r="M914" s="3038"/>
      <c r="N914" s="3038"/>
      <c r="O914" s="3038"/>
      <c r="P914" s="3038"/>
      <c r="Q914" s="3038"/>
      <c r="R914" s="3038"/>
      <c r="S914" s="3038"/>
      <c r="T914" s="3038"/>
      <c r="W914" s="3038"/>
      <c r="X914" s="3038"/>
      <c r="Y914" s="3038"/>
      <c r="Z914" s="3038"/>
      <c r="AA914" s="3113"/>
      <c r="AB914" s="3038"/>
      <c r="AC914" s="3038"/>
      <c r="AD914" s="3038"/>
      <c r="AE914" s="3132"/>
      <c r="AF914" s="3038"/>
      <c r="AG914" s="3038"/>
      <c r="AH914" s="3038"/>
      <c r="AK914" s="3038"/>
      <c r="AL914" s="3038"/>
      <c r="AM914" s="3038"/>
      <c r="AN914" s="3038"/>
      <c r="AO914" s="3038"/>
      <c r="AP914" s="3038"/>
      <c r="AQ914" s="3038"/>
      <c r="AR914" s="3038"/>
      <c r="AS914" s="3038"/>
      <c r="AT914" s="3038"/>
      <c r="AU914" s="3038"/>
      <c r="AV914" s="3038"/>
      <c r="AW914" s="3038"/>
      <c r="AX914" s="3038"/>
      <c r="AY914" s="3038"/>
      <c r="AZ914" s="3038"/>
      <c r="BA914" s="3038"/>
      <c r="BB914" s="3038"/>
      <c r="BC914" s="3038"/>
      <c r="BD914" s="3038"/>
      <c r="BE914" s="3038"/>
      <c r="BF914" s="3038"/>
      <c r="BG914" s="3038"/>
      <c r="BH914" s="3038"/>
      <c r="BI914" s="3038"/>
      <c r="BJ914" s="3038"/>
      <c r="BK914" s="3038"/>
      <c r="BL914" s="3038"/>
      <c r="BM914" s="3038"/>
      <c r="BN914" s="3038"/>
      <c r="BO914" s="3038"/>
      <c r="BP914" s="3038"/>
      <c r="BQ914" s="3038"/>
      <c r="BR914" s="3038"/>
      <c r="BS914" s="3038"/>
      <c r="BT914" s="3038"/>
      <c r="BU914" s="3038"/>
    </row>
    <row r="915" spans="3:73">
      <c r="C915" s="3038"/>
      <c r="D915" s="3038"/>
      <c r="E915" s="3038"/>
      <c r="H915" s="3038"/>
      <c r="I915" s="3038"/>
      <c r="J915" s="3038"/>
      <c r="K915" s="3038"/>
      <c r="M915" s="3038"/>
      <c r="N915" s="3038"/>
      <c r="O915" s="3038"/>
      <c r="P915" s="3038"/>
      <c r="Q915" s="3038"/>
      <c r="R915" s="3038"/>
      <c r="S915" s="3038"/>
      <c r="T915" s="3038"/>
      <c r="W915" s="3038"/>
      <c r="X915" s="3038"/>
      <c r="Y915" s="3038"/>
      <c r="Z915" s="3038"/>
      <c r="AA915" s="3113"/>
      <c r="AB915" s="3038"/>
      <c r="AC915" s="3038"/>
      <c r="AD915" s="3038"/>
      <c r="AE915" s="3132"/>
      <c r="AF915" s="3038"/>
      <c r="AG915" s="3038"/>
      <c r="AH915" s="3038"/>
      <c r="AK915" s="3038"/>
      <c r="AL915" s="3038"/>
      <c r="AM915" s="3038"/>
      <c r="AN915" s="3038"/>
      <c r="AO915" s="3038"/>
      <c r="AP915" s="3038"/>
      <c r="AQ915" s="3038"/>
      <c r="AR915" s="3038"/>
      <c r="AS915" s="3038"/>
      <c r="AT915" s="3038"/>
      <c r="AU915" s="3038"/>
      <c r="AV915" s="3038"/>
      <c r="AW915" s="3038"/>
      <c r="AX915" s="3038"/>
      <c r="AY915" s="3038"/>
      <c r="AZ915" s="3038"/>
      <c r="BA915" s="3038"/>
      <c r="BB915" s="3038"/>
      <c r="BC915" s="3038"/>
      <c r="BD915" s="3038"/>
      <c r="BE915" s="3038"/>
      <c r="BF915" s="3038"/>
      <c r="BG915" s="3038"/>
      <c r="BH915" s="3038"/>
      <c r="BI915" s="3038"/>
      <c r="BJ915" s="3038"/>
      <c r="BK915" s="3038"/>
      <c r="BL915" s="3038"/>
      <c r="BM915" s="3038"/>
      <c r="BN915" s="3038"/>
      <c r="BO915" s="3038"/>
      <c r="BP915" s="3038"/>
      <c r="BQ915" s="3038"/>
      <c r="BR915" s="3038"/>
      <c r="BS915" s="3038"/>
      <c r="BT915" s="3038"/>
      <c r="BU915" s="3038"/>
    </row>
    <row r="916" spans="3:73">
      <c r="C916" s="3038"/>
      <c r="D916" s="3038"/>
      <c r="E916" s="3038"/>
      <c r="H916" s="3038"/>
      <c r="I916" s="3038"/>
      <c r="J916" s="3038"/>
      <c r="K916" s="3038"/>
      <c r="M916" s="3038"/>
      <c r="N916" s="3038"/>
      <c r="O916" s="3038"/>
      <c r="P916" s="3038"/>
      <c r="Q916" s="3038"/>
      <c r="R916" s="3038"/>
      <c r="S916" s="3038"/>
      <c r="T916" s="3038"/>
      <c r="W916" s="3038"/>
      <c r="X916" s="3038"/>
      <c r="Y916" s="3038"/>
      <c r="Z916" s="3038"/>
      <c r="AA916" s="3113"/>
      <c r="AB916" s="3038"/>
      <c r="AC916" s="3038"/>
      <c r="AD916" s="3038"/>
      <c r="AE916" s="3132"/>
      <c r="AF916" s="3038"/>
      <c r="AG916" s="3038"/>
      <c r="AH916" s="3038"/>
      <c r="AK916" s="3038"/>
      <c r="AL916" s="3038"/>
      <c r="AM916" s="3038"/>
      <c r="AN916" s="3038"/>
      <c r="AO916" s="3038"/>
      <c r="AP916" s="3038"/>
      <c r="AQ916" s="3038"/>
      <c r="AR916" s="3038"/>
      <c r="AS916" s="3038"/>
      <c r="AT916" s="3038"/>
      <c r="AU916" s="3038"/>
      <c r="AV916" s="3038"/>
      <c r="AW916" s="3038"/>
      <c r="AX916" s="3038"/>
      <c r="AY916" s="3038"/>
      <c r="AZ916" s="3038"/>
      <c r="BA916" s="3038"/>
      <c r="BB916" s="3038"/>
      <c r="BC916" s="3038"/>
      <c r="BD916" s="3038"/>
      <c r="BE916" s="3038"/>
      <c r="BF916" s="3038"/>
      <c r="BG916" s="3038"/>
      <c r="BH916" s="3038"/>
      <c r="BI916" s="3038"/>
      <c r="BJ916" s="3038"/>
      <c r="BK916" s="3038"/>
      <c r="BL916" s="3038"/>
      <c r="BM916" s="3038"/>
      <c r="BN916" s="3038"/>
      <c r="BO916" s="3038"/>
      <c r="BP916" s="3038"/>
      <c r="BQ916" s="3038"/>
      <c r="BR916" s="3038"/>
      <c r="BS916" s="3038"/>
      <c r="BT916" s="3038"/>
      <c r="BU916" s="3038"/>
    </row>
    <row r="917" spans="3:73">
      <c r="C917" s="3038"/>
      <c r="D917" s="3038"/>
      <c r="E917" s="3038"/>
      <c r="H917" s="3038"/>
      <c r="I917" s="3038"/>
      <c r="J917" s="3038"/>
      <c r="K917" s="3038"/>
      <c r="M917" s="3038"/>
      <c r="N917" s="3038"/>
      <c r="O917" s="3038"/>
      <c r="P917" s="3038"/>
      <c r="Q917" s="3038"/>
      <c r="R917" s="3038"/>
      <c r="S917" s="3038"/>
      <c r="T917" s="3038"/>
      <c r="W917" s="3038"/>
      <c r="X917" s="3038"/>
      <c r="Y917" s="3038"/>
      <c r="Z917" s="3038"/>
      <c r="AA917" s="3113"/>
      <c r="AB917" s="3038"/>
      <c r="AC917" s="3038"/>
      <c r="AD917" s="3038"/>
      <c r="AE917" s="3132"/>
      <c r="AF917" s="3038"/>
      <c r="AG917" s="3038"/>
      <c r="AH917" s="3038"/>
      <c r="AK917" s="3038"/>
      <c r="AL917" s="3038"/>
      <c r="AM917" s="3038"/>
      <c r="AN917" s="3038"/>
      <c r="AO917" s="3038"/>
      <c r="AP917" s="3038"/>
      <c r="AQ917" s="3038"/>
      <c r="AR917" s="3038"/>
      <c r="AS917" s="3038"/>
      <c r="AT917" s="3038"/>
      <c r="AU917" s="3038"/>
      <c r="AV917" s="3038"/>
      <c r="AW917" s="3038"/>
      <c r="AX917" s="3038"/>
      <c r="AY917" s="3038"/>
      <c r="AZ917" s="3038"/>
      <c r="BA917" s="3038"/>
      <c r="BB917" s="3038"/>
      <c r="BC917" s="3038"/>
      <c r="BD917" s="3038"/>
      <c r="BE917" s="3038"/>
      <c r="BF917" s="3038"/>
      <c r="BG917" s="3038"/>
      <c r="BH917" s="3038"/>
      <c r="BI917" s="3038"/>
      <c r="BJ917" s="3038"/>
      <c r="BK917" s="3038"/>
      <c r="BL917" s="3038"/>
      <c r="BM917" s="3038"/>
      <c r="BN917" s="3038"/>
      <c r="BO917" s="3038"/>
      <c r="BP917" s="3038"/>
      <c r="BQ917" s="3038"/>
      <c r="BR917" s="3038"/>
      <c r="BS917" s="3038"/>
      <c r="BT917" s="3038"/>
      <c r="BU917" s="3038"/>
    </row>
    <row r="918" spans="3:73">
      <c r="C918" s="3038"/>
      <c r="D918" s="3038"/>
      <c r="E918" s="3038"/>
      <c r="H918" s="3038"/>
      <c r="I918" s="3038"/>
      <c r="J918" s="3038"/>
      <c r="K918" s="3038"/>
      <c r="M918" s="3038"/>
      <c r="N918" s="3038"/>
      <c r="O918" s="3038"/>
      <c r="P918" s="3038"/>
      <c r="Q918" s="3038"/>
      <c r="R918" s="3038"/>
      <c r="S918" s="3038"/>
      <c r="T918" s="3038"/>
      <c r="W918" s="3038"/>
      <c r="X918" s="3038"/>
      <c r="Y918" s="3038"/>
      <c r="Z918" s="3038"/>
      <c r="AA918" s="3113"/>
      <c r="AB918" s="3038"/>
      <c r="AC918" s="3038"/>
      <c r="AD918" s="3038"/>
      <c r="AE918" s="3132"/>
      <c r="AF918" s="3038"/>
      <c r="AG918" s="3038"/>
      <c r="AH918" s="3038"/>
      <c r="AK918" s="3038"/>
      <c r="AL918" s="3038"/>
      <c r="AM918" s="3038"/>
      <c r="AN918" s="3038"/>
      <c r="AO918" s="3038"/>
      <c r="AP918" s="3038"/>
      <c r="AQ918" s="3038"/>
      <c r="AR918" s="3038"/>
      <c r="AS918" s="3038"/>
      <c r="AT918" s="3038"/>
      <c r="AU918" s="3038"/>
      <c r="AV918" s="3038"/>
      <c r="AW918" s="3038"/>
      <c r="AX918" s="3038"/>
      <c r="AY918" s="3038"/>
      <c r="AZ918" s="3038"/>
      <c r="BA918" s="3038"/>
      <c r="BB918" s="3038"/>
      <c r="BC918" s="3038"/>
      <c r="BD918" s="3038"/>
      <c r="BE918" s="3038"/>
      <c r="BF918" s="3038"/>
      <c r="BG918" s="3038"/>
      <c r="BH918" s="3038"/>
      <c r="BI918" s="3038"/>
      <c r="BJ918" s="3038"/>
      <c r="BK918" s="3038"/>
      <c r="BL918" s="3038"/>
      <c r="BM918" s="3038"/>
      <c r="BN918" s="3038"/>
      <c r="BO918" s="3038"/>
      <c r="BP918" s="3038"/>
      <c r="BQ918" s="3038"/>
      <c r="BR918" s="3038"/>
      <c r="BS918" s="3038"/>
      <c r="BT918" s="3038"/>
      <c r="BU918" s="3038"/>
    </row>
    <row r="919" spans="3:73">
      <c r="C919" s="3038"/>
      <c r="D919" s="3038"/>
      <c r="E919" s="3038"/>
      <c r="H919" s="3038"/>
      <c r="I919" s="3038"/>
      <c r="J919" s="3038"/>
      <c r="K919" s="3038"/>
      <c r="M919" s="3038"/>
      <c r="N919" s="3038"/>
      <c r="O919" s="3038"/>
      <c r="P919" s="3038"/>
      <c r="Q919" s="3038"/>
      <c r="R919" s="3038"/>
      <c r="S919" s="3038"/>
      <c r="T919" s="3038"/>
      <c r="W919" s="3038"/>
      <c r="X919" s="3038"/>
      <c r="Y919" s="3038"/>
      <c r="Z919" s="3038"/>
      <c r="AA919" s="3113"/>
      <c r="AB919" s="3038"/>
      <c r="AC919" s="3038"/>
      <c r="AD919" s="3038"/>
      <c r="AE919" s="3132"/>
      <c r="AF919" s="3038"/>
      <c r="AG919" s="3038"/>
      <c r="AH919" s="3038"/>
      <c r="AK919" s="3038"/>
      <c r="AL919" s="3038"/>
      <c r="AM919" s="3038"/>
      <c r="AN919" s="3038"/>
      <c r="AO919" s="3038"/>
      <c r="AP919" s="3038"/>
      <c r="AQ919" s="3038"/>
      <c r="AR919" s="3038"/>
      <c r="AS919" s="3038"/>
      <c r="AT919" s="3038"/>
      <c r="AU919" s="3038"/>
      <c r="AV919" s="3038"/>
      <c r="AW919" s="3038"/>
      <c r="AX919" s="3038"/>
      <c r="AY919" s="3038"/>
      <c r="AZ919" s="3038"/>
      <c r="BA919" s="3038"/>
      <c r="BB919" s="3038"/>
      <c r="BC919" s="3038"/>
      <c r="BD919" s="3038"/>
      <c r="BE919" s="3038"/>
      <c r="BF919" s="3038"/>
      <c r="BG919" s="3038"/>
      <c r="BH919" s="3038"/>
      <c r="BI919" s="3038"/>
      <c r="BJ919" s="3038"/>
      <c r="BK919" s="3038"/>
      <c r="BL919" s="3038"/>
      <c r="BM919" s="3038"/>
      <c r="BN919" s="3038"/>
      <c r="BO919" s="3038"/>
      <c r="BP919" s="3038"/>
      <c r="BQ919" s="3038"/>
      <c r="BR919" s="3038"/>
      <c r="BS919" s="3038"/>
      <c r="BT919" s="3038"/>
      <c r="BU919" s="3038"/>
    </row>
    <row r="920" spans="3:73">
      <c r="C920" s="3038"/>
      <c r="D920" s="3038"/>
      <c r="E920" s="3038"/>
      <c r="H920" s="3038"/>
      <c r="I920" s="3038"/>
      <c r="J920" s="3038"/>
      <c r="K920" s="3038"/>
      <c r="M920" s="3038"/>
      <c r="N920" s="3038"/>
      <c r="O920" s="3038"/>
      <c r="P920" s="3038"/>
      <c r="Q920" s="3038"/>
      <c r="R920" s="3038"/>
      <c r="S920" s="3038"/>
      <c r="T920" s="3038"/>
      <c r="W920" s="3038"/>
      <c r="X920" s="3038"/>
      <c r="Y920" s="3038"/>
      <c r="Z920" s="3038"/>
      <c r="AA920" s="3113"/>
      <c r="AB920" s="3038"/>
      <c r="AC920" s="3038"/>
      <c r="AD920" s="3038"/>
      <c r="AE920" s="3132"/>
      <c r="AF920" s="3038"/>
      <c r="AG920" s="3038"/>
      <c r="AH920" s="3038"/>
      <c r="AK920" s="3038"/>
      <c r="AL920" s="3038"/>
      <c r="AM920" s="3038"/>
      <c r="AN920" s="3038"/>
      <c r="AO920" s="3038"/>
      <c r="AP920" s="3038"/>
      <c r="AQ920" s="3038"/>
      <c r="AR920" s="3038"/>
      <c r="AS920" s="3038"/>
      <c r="AT920" s="3038"/>
      <c r="AU920" s="3038"/>
      <c r="AV920" s="3038"/>
      <c r="AW920" s="3038"/>
      <c r="AX920" s="3038"/>
      <c r="AY920" s="3038"/>
      <c r="AZ920" s="3038"/>
      <c r="BA920" s="3038"/>
      <c r="BB920" s="3038"/>
      <c r="BC920" s="3038"/>
      <c r="BD920" s="3038"/>
      <c r="BE920" s="3038"/>
      <c r="BF920" s="3038"/>
      <c r="BG920" s="3038"/>
      <c r="BH920" s="3038"/>
      <c r="BI920" s="3038"/>
      <c r="BJ920" s="3038"/>
      <c r="BK920" s="3038"/>
      <c r="BL920" s="3038"/>
      <c r="BM920" s="3038"/>
      <c r="BN920" s="3038"/>
      <c r="BO920" s="3038"/>
      <c r="BP920" s="3038"/>
      <c r="BQ920" s="3038"/>
      <c r="BR920" s="3038"/>
      <c r="BS920" s="3038"/>
      <c r="BT920" s="3038"/>
      <c r="BU920" s="3038"/>
    </row>
    <row r="921" spans="3:73">
      <c r="C921" s="3038"/>
      <c r="D921" s="3038"/>
      <c r="E921" s="3038"/>
      <c r="H921" s="3038"/>
      <c r="I921" s="3038"/>
      <c r="J921" s="3038"/>
      <c r="K921" s="3038"/>
      <c r="M921" s="3038"/>
      <c r="N921" s="3038"/>
      <c r="O921" s="3038"/>
      <c r="P921" s="3038"/>
      <c r="Q921" s="3038"/>
      <c r="R921" s="3038"/>
      <c r="S921" s="3038"/>
      <c r="T921" s="3038"/>
      <c r="W921" s="3038"/>
      <c r="X921" s="3038"/>
      <c r="Y921" s="3038"/>
      <c r="Z921" s="3038"/>
      <c r="AA921" s="3113"/>
      <c r="AB921" s="3038"/>
      <c r="AC921" s="3038"/>
      <c r="AD921" s="3038"/>
      <c r="AE921" s="3132"/>
      <c r="AF921" s="3038"/>
      <c r="AG921" s="3038"/>
      <c r="AH921" s="3038"/>
      <c r="AK921" s="3038"/>
      <c r="AL921" s="3038"/>
      <c r="AM921" s="3038"/>
      <c r="AN921" s="3038"/>
      <c r="AO921" s="3038"/>
      <c r="AP921" s="3038"/>
      <c r="AQ921" s="3038"/>
      <c r="AR921" s="3038"/>
      <c r="AS921" s="3038"/>
      <c r="AT921" s="3038"/>
      <c r="AU921" s="3038"/>
      <c r="AV921" s="3038"/>
      <c r="AW921" s="3038"/>
      <c r="AX921" s="3038"/>
      <c r="AY921" s="3038"/>
      <c r="AZ921" s="3038"/>
      <c r="BA921" s="3038"/>
      <c r="BB921" s="3038"/>
      <c r="BC921" s="3038"/>
      <c r="BD921" s="3038"/>
      <c r="BE921" s="3038"/>
      <c r="BF921" s="3038"/>
      <c r="BG921" s="3038"/>
      <c r="BH921" s="3038"/>
      <c r="BI921" s="3038"/>
      <c r="BJ921" s="3038"/>
      <c r="BK921" s="3038"/>
      <c r="BL921" s="3038"/>
      <c r="BM921" s="3038"/>
      <c r="BN921" s="3038"/>
      <c r="BO921" s="3038"/>
      <c r="BP921" s="3038"/>
      <c r="BQ921" s="3038"/>
      <c r="BR921" s="3038"/>
      <c r="BS921" s="3038"/>
      <c r="BT921" s="3038"/>
      <c r="BU921" s="3038"/>
    </row>
    <row r="922" spans="3:73">
      <c r="C922" s="3038"/>
      <c r="D922" s="3038"/>
      <c r="E922" s="3038"/>
      <c r="H922" s="3038"/>
      <c r="I922" s="3038"/>
      <c r="J922" s="3038"/>
      <c r="K922" s="3038"/>
      <c r="M922" s="3038"/>
      <c r="N922" s="3038"/>
      <c r="O922" s="3038"/>
      <c r="P922" s="3038"/>
      <c r="Q922" s="3038"/>
      <c r="R922" s="3038"/>
      <c r="S922" s="3038"/>
      <c r="T922" s="3038"/>
      <c r="W922" s="3038"/>
      <c r="X922" s="3038"/>
      <c r="Y922" s="3038"/>
      <c r="Z922" s="3038"/>
      <c r="AA922" s="3113"/>
      <c r="AB922" s="3038"/>
      <c r="AC922" s="3038"/>
      <c r="AD922" s="3038"/>
      <c r="AE922" s="3132"/>
      <c r="AF922" s="3038"/>
      <c r="AG922" s="3038"/>
      <c r="AH922" s="3038"/>
      <c r="AK922" s="3038"/>
      <c r="AL922" s="3038"/>
      <c r="AM922" s="3038"/>
      <c r="AN922" s="3038"/>
      <c r="AO922" s="3038"/>
      <c r="AP922" s="3038"/>
      <c r="AQ922" s="3038"/>
      <c r="AR922" s="3038"/>
      <c r="AS922" s="3038"/>
      <c r="AT922" s="3038"/>
      <c r="AU922" s="3038"/>
      <c r="AV922" s="3038"/>
      <c r="AW922" s="3038"/>
      <c r="AX922" s="3038"/>
      <c r="AY922" s="3038"/>
      <c r="AZ922" s="3038"/>
      <c r="BA922" s="3038"/>
      <c r="BB922" s="3038"/>
      <c r="BC922" s="3038"/>
      <c r="BD922" s="3038"/>
      <c r="BE922" s="3038"/>
      <c r="BF922" s="3038"/>
      <c r="BG922" s="3038"/>
      <c r="BH922" s="3038"/>
      <c r="BI922" s="3038"/>
      <c r="BJ922" s="3038"/>
      <c r="BK922" s="3038"/>
      <c r="BL922" s="3038"/>
      <c r="BM922" s="3038"/>
      <c r="BN922" s="3038"/>
      <c r="BO922" s="3038"/>
      <c r="BP922" s="3038"/>
      <c r="BQ922" s="3038"/>
      <c r="BR922" s="3038"/>
      <c r="BS922" s="3038"/>
      <c r="BT922" s="3038"/>
      <c r="BU922" s="3038"/>
    </row>
    <row r="923" spans="3:73">
      <c r="C923" s="3038"/>
      <c r="D923" s="3038"/>
      <c r="E923" s="3038"/>
      <c r="H923" s="3038"/>
      <c r="I923" s="3038"/>
      <c r="J923" s="3038"/>
      <c r="K923" s="3038"/>
      <c r="M923" s="3038"/>
      <c r="N923" s="3038"/>
      <c r="O923" s="3038"/>
      <c r="P923" s="3038"/>
      <c r="Q923" s="3038"/>
      <c r="R923" s="3038"/>
      <c r="S923" s="3038"/>
      <c r="T923" s="3038"/>
      <c r="W923" s="3038"/>
      <c r="X923" s="3038"/>
      <c r="Y923" s="3038"/>
      <c r="Z923" s="3038"/>
      <c r="AA923" s="3113"/>
      <c r="AB923" s="3038"/>
      <c r="AC923" s="3038"/>
      <c r="AD923" s="3038"/>
      <c r="AE923" s="3132"/>
      <c r="AF923" s="3038"/>
      <c r="AG923" s="3038"/>
      <c r="AH923" s="3038"/>
      <c r="AK923" s="3038"/>
      <c r="AL923" s="3038"/>
      <c r="AM923" s="3038"/>
      <c r="AN923" s="3038"/>
      <c r="AO923" s="3038"/>
      <c r="AP923" s="3038"/>
      <c r="AQ923" s="3038"/>
      <c r="AR923" s="3038"/>
      <c r="AS923" s="3038"/>
      <c r="AT923" s="3038"/>
      <c r="AU923" s="3038"/>
      <c r="AV923" s="3038"/>
      <c r="AW923" s="3038"/>
      <c r="AX923" s="3038"/>
      <c r="AY923" s="3038"/>
      <c r="AZ923" s="3038"/>
      <c r="BA923" s="3038"/>
      <c r="BB923" s="3038"/>
      <c r="BC923" s="3038"/>
      <c r="BD923" s="3038"/>
      <c r="BE923" s="3038"/>
      <c r="BF923" s="3038"/>
      <c r="BG923" s="3038"/>
      <c r="BH923" s="3038"/>
      <c r="BI923" s="3038"/>
      <c r="BJ923" s="3038"/>
      <c r="BK923" s="3038"/>
      <c r="BL923" s="3038"/>
      <c r="BM923" s="3038"/>
      <c r="BN923" s="3038"/>
      <c r="BO923" s="3038"/>
      <c r="BP923" s="3038"/>
      <c r="BQ923" s="3038"/>
      <c r="BR923" s="3038"/>
      <c r="BS923" s="3038"/>
      <c r="BT923" s="3038"/>
      <c r="BU923" s="3038"/>
    </row>
    <row r="924" spans="3:73">
      <c r="C924" s="3038"/>
      <c r="D924" s="3038"/>
      <c r="E924" s="3038"/>
      <c r="H924" s="3038"/>
      <c r="I924" s="3038"/>
      <c r="J924" s="3038"/>
      <c r="K924" s="3038"/>
      <c r="M924" s="3038"/>
      <c r="N924" s="3038"/>
      <c r="O924" s="3038"/>
      <c r="P924" s="3038"/>
      <c r="Q924" s="3038"/>
      <c r="R924" s="3038"/>
      <c r="S924" s="3038"/>
      <c r="T924" s="3038"/>
      <c r="W924" s="3038"/>
      <c r="X924" s="3038"/>
      <c r="Y924" s="3038"/>
      <c r="Z924" s="3038"/>
      <c r="AA924" s="3113"/>
      <c r="AB924" s="3038"/>
      <c r="AC924" s="3038"/>
      <c r="AD924" s="3038"/>
      <c r="AE924" s="3132"/>
      <c r="AF924" s="3038"/>
      <c r="AG924" s="3038"/>
      <c r="AH924" s="3038"/>
      <c r="AK924" s="3038"/>
      <c r="AL924" s="3038"/>
      <c r="AM924" s="3038"/>
      <c r="AN924" s="3038"/>
      <c r="AO924" s="3038"/>
      <c r="AP924" s="3038"/>
      <c r="AQ924" s="3038"/>
      <c r="AR924" s="3038"/>
      <c r="AS924" s="3038"/>
      <c r="AT924" s="3038"/>
      <c r="AU924" s="3038"/>
      <c r="AV924" s="3038"/>
      <c r="AW924" s="3038"/>
      <c r="AX924" s="3038"/>
      <c r="AY924" s="3038"/>
      <c r="AZ924" s="3038"/>
      <c r="BA924" s="3038"/>
      <c r="BB924" s="3038"/>
      <c r="BC924" s="3038"/>
      <c r="BD924" s="3038"/>
      <c r="BE924" s="3038"/>
      <c r="BF924" s="3038"/>
      <c r="BG924" s="3038"/>
      <c r="BH924" s="3038"/>
      <c r="BI924" s="3038"/>
      <c r="BJ924" s="3038"/>
      <c r="BK924" s="3038"/>
      <c r="BL924" s="3038"/>
      <c r="BM924" s="3038"/>
      <c r="BN924" s="3038"/>
      <c r="BO924" s="3038"/>
      <c r="BP924" s="3038"/>
      <c r="BQ924" s="3038"/>
      <c r="BR924" s="3038"/>
      <c r="BS924" s="3038"/>
      <c r="BT924" s="3038"/>
      <c r="BU924" s="3038"/>
    </row>
    <row r="925" spans="3:73">
      <c r="C925" s="3038"/>
      <c r="D925" s="3038"/>
      <c r="E925" s="3038"/>
      <c r="H925" s="3038"/>
      <c r="I925" s="3038"/>
      <c r="J925" s="3038"/>
      <c r="K925" s="3038"/>
      <c r="M925" s="3038"/>
      <c r="N925" s="3038"/>
      <c r="O925" s="3038"/>
      <c r="P925" s="3038"/>
      <c r="Q925" s="3038"/>
      <c r="R925" s="3038"/>
      <c r="S925" s="3038"/>
      <c r="T925" s="3038"/>
      <c r="W925" s="3038"/>
      <c r="X925" s="3038"/>
      <c r="Y925" s="3038"/>
      <c r="Z925" s="3038"/>
      <c r="AA925" s="3113"/>
      <c r="AB925" s="3038"/>
      <c r="AC925" s="3038"/>
      <c r="AD925" s="3038"/>
      <c r="AE925" s="3132"/>
      <c r="AF925" s="3038"/>
      <c r="AG925" s="3038"/>
      <c r="AH925" s="3038"/>
      <c r="AK925" s="3038"/>
      <c r="AL925" s="3038"/>
      <c r="AM925" s="3038"/>
      <c r="AN925" s="3038"/>
      <c r="AO925" s="3038"/>
      <c r="AP925" s="3038"/>
      <c r="AQ925" s="3038"/>
      <c r="AR925" s="3038"/>
      <c r="AS925" s="3038"/>
      <c r="AT925" s="3038"/>
      <c r="AU925" s="3038"/>
      <c r="AV925" s="3038"/>
      <c r="AW925" s="3038"/>
      <c r="AX925" s="3038"/>
      <c r="AY925" s="3038"/>
      <c r="AZ925" s="3038"/>
      <c r="BA925" s="3038"/>
      <c r="BB925" s="3038"/>
      <c r="BC925" s="3038"/>
      <c r="BD925" s="3038"/>
      <c r="BE925" s="3038"/>
      <c r="BF925" s="3038"/>
      <c r="BG925" s="3038"/>
      <c r="BH925" s="3038"/>
      <c r="BI925" s="3038"/>
      <c r="BJ925" s="3038"/>
      <c r="BK925" s="3038"/>
      <c r="BL925" s="3038"/>
      <c r="BM925" s="3038"/>
      <c r="BN925" s="3038"/>
      <c r="BO925" s="3038"/>
      <c r="BP925" s="3038"/>
      <c r="BQ925" s="3038"/>
      <c r="BR925" s="3038"/>
      <c r="BS925" s="3038"/>
      <c r="BT925" s="3038"/>
      <c r="BU925" s="3038"/>
    </row>
    <row r="926" spans="3:73">
      <c r="C926" s="3038"/>
      <c r="D926" s="3038"/>
      <c r="E926" s="3038"/>
      <c r="H926" s="3038"/>
      <c r="I926" s="3038"/>
      <c r="J926" s="3038"/>
      <c r="K926" s="3038"/>
      <c r="M926" s="3038"/>
      <c r="N926" s="3038"/>
      <c r="O926" s="3038"/>
      <c r="P926" s="3038"/>
      <c r="Q926" s="3038"/>
      <c r="R926" s="3038"/>
      <c r="S926" s="3038"/>
      <c r="T926" s="3038"/>
      <c r="W926" s="3038"/>
      <c r="X926" s="3038"/>
      <c r="Y926" s="3038"/>
      <c r="Z926" s="3038"/>
      <c r="AA926" s="3113"/>
      <c r="AB926" s="3038"/>
      <c r="AC926" s="3038"/>
      <c r="AD926" s="3038"/>
      <c r="AE926" s="3132"/>
      <c r="AF926" s="3038"/>
      <c r="AG926" s="3038"/>
      <c r="AH926" s="3038"/>
      <c r="AK926" s="3038"/>
      <c r="AL926" s="3038"/>
      <c r="AM926" s="3038"/>
      <c r="AN926" s="3038"/>
      <c r="AO926" s="3038"/>
      <c r="AP926" s="3038"/>
      <c r="AQ926" s="3038"/>
      <c r="AR926" s="3038"/>
      <c r="AS926" s="3038"/>
      <c r="AT926" s="3038"/>
      <c r="AU926" s="3038"/>
      <c r="AV926" s="3038"/>
      <c r="AW926" s="3038"/>
      <c r="AX926" s="3038"/>
      <c r="AY926" s="3038"/>
      <c r="AZ926" s="3038"/>
      <c r="BA926" s="3038"/>
      <c r="BB926" s="3038"/>
      <c r="BC926" s="3038"/>
      <c r="BD926" s="3038"/>
      <c r="BE926" s="3038"/>
      <c r="BF926" s="3038"/>
      <c r="BG926" s="3038"/>
      <c r="BH926" s="3038"/>
      <c r="BI926" s="3038"/>
      <c r="BJ926" s="3038"/>
      <c r="BK926" s="3038"/>
      <c r="BL926" s="3038"/>
      <c r="BM926" s="3038"/>
      <c r="BN926" s="3038"/>
      <c r="BO926" s="3038"/>
      <c r="BP926" s="3038"/>
      <c r="BQ926" s="3038"/>
      <c r="BR926" s="3038"/>
      <c r="BS926" s="3038"/>
      <c r="BT926" s="3038"/>
      <c r="BU926" s="3038"/>
    </row>
    <row r="927" spans="3:73">
      <c r="C927" s="3038"/>
      <c r="D927" s="3038"/>
      <c r="E927" s="3038"/>
      <c r="H927" s="3038"/>
      <c r="I927" s="3038"/>
      <c r="J927" s="3038"/>
      <c r="K927" s="3038"/>
      <c r="M927" s="3038"/>
      <c r="N927" s="3038"/>
      <c r="O927" s="3038"/>
      <c r="P927" s="3038"/>
      <c r="Q927" s="3038"/>
      <c r="R927" s="3038"/>
      <c r="S927" s="3038"/>
      <c r="T927" s="3038"/>
      <c r="W927" s="3038"/>
      <c r="X927" s="3038"/>
      <c r="Y927" s="3038"/>
      <c r="Z927" s="3038"/>
      <c r="AA927" s="3113"/>
      <c r="AB927" s="3038"/>
      <c r="AC927" s="3038"/>
      <c r="AD927" s="3038"/>
      <c r="AE927" s="3132"/>
      <c r="AF927" s="3038"/>
      <c r="AG927" s="3038"/>
      <c r="AH927" s="3038"/>
      <c r="AK927" s="3038"/>
      <c r="AL927" s="3038"/>
      <c r="AM927" s="3038"/>
      <c r="AN927" s="3038"/>
      <c r="AO927" s="3038"/>
      <c r="AP927" s="3038"/>
      <c r="AQ927" s="3038"/>
      <c r="AR927" s="3038"/>
      <c r="AS927" s="3038"/>
      <c r="AT927" s="3038"/>
      <c r="AU927" s="3038"/>
      <c r="AV927" s="3038"/>
      <c r="AW927" s="3038"/>
      <c r="AX927" s="3038"/>
      <c r="AY927" s="3038"/>
      <c r="AZ927" s="3038"/>
      <c r="BA927" s="3038"/>
      <c r="BB927" s="3038"/>
      <c r="BC927" s="3038"/>
      <c r="BD927" s="3038"/>
      <c r="BE927" s="3038"/>
      <c r="BF927" s="3038"/>
      <c r="BG927" s="3038"/>
      <c r="BH927" s="3038"/>
      <c r="BI927" s="3038"/>
      <c r="BJ927" s="3038"/>
      <c r="BK927" s="3038"/>
      <c r="BL927" s="3038"/>
      <c r="BM927" s="3038"/>
      <c r="BN927" s="3038"/>
      <c r="BO927" s="3038"/>
      <c r="BP927" s="3038"/>
      <c r="BQ927" s="3038"/>
      <c r="BR927" s="3038"/>
      <c r="BS927" s="3038"/>
      <c r="BT927" s="3038"/>
      <c r="BU927" s="3038"/>
    </row>
    <row r="928" spans="3:73">
      <c r="C928" s="3038"/>
      <c r="D928" s="3038"/>
      <c r="E928" s="3038"/>
      <c r="H928" s="3038"/>
      <c r="I928" s="3038"/>
      <c r="J928" s="3038"/>
      <c r="K928" s="3038"/>
      <c r="M928" s="3038"/>
      <c r="N928" s="3038"/>
      <c r="O928" s="3038"/>
      <c r="P928" s="3038"/>
      <c r="Q928" s="3038"/>
      <c r="R928" s="3038"/>
      <c r="S928" s="3038"/>
      <c r="T928" s="3038"/>
      <c r="W928" s="3038"/>
      <c r="X928" s="3038"/>
      <c r="Y928" s="3038"/>
      <c r="Z928" s="3038"/>
      <c r="AA928" s="3113"/>
      <c r="AB928" s="3038"/>
      <c r="AC928" s="3038"/>
      <c r="AD928" s="3038"/>
      <c r="AE928" s="3132"/>
      <c r="AF928" s="3038"/>
      <c r="AG928" s="3038"/>
      <c r="AH928" s="3038"/>
      <c r="AK928" s="3038"/>
      <c r="AL928" s="3038"/>
      <c r="AM928" s="3038"/>
      <c r="AN928" s="3038"/>
      <c r="AO928" s="3038"/>
      <c r="AP928" s="3038"/>
      <c r="AQ928" s="3038"/>
      <c r="AR928" s="3038"/>
      <c r="AS928" s="3038"/>
      <c r="AT928" s="3038"/>
      <c r="AU928" s="3038"/>
      <c r="AV928" s="3038"/>
      <c r="AW928" s="3038"/>
      <c r="AX928" s="3038"/>
      <c r="AY928" s="3038"/>
      <c r="AZ928" s="3038"/>
      <c r="BA928" s="3038"/>
      <c r="BB928" s="3038"/>
      <c r="BC928" s="3038"/>
      <c r="BD928" s="3038"/>
      <c r="BE928" s="3038"/>
      <c r="BF928" s="3038"/>
      <c r="BG928" s="3038"/>
      <c r="BH928" s="3038"/>
      <c r="BI928" s="3038"/>
      <c r="BJ928" s="3038"/>
      <c r="BK928" s="3038"/>
      <c r="BL928" s="3038"/>
      <c r="BM928" s="3038"/>
      <c r="BN928" s="3038"/>
      <c r="BO928" s="3038"/>
      <c r="BP928" s="3038"/>
      <c r="BQ928" s="3038"/>
      <c r="BR928" s="3038"/>
      <c r="BS928" s="3038"/>
      <c r="BT928" s="3038"/>
      <c r="BU928" s="3038"/>
    </row>
    <row r="929" spans="3:73">
      <c r="C929" s="3038"/>
      <c r="D929" s="3038"/>
      <c r="E929" s="3038"/>
      <c r="H929" s="3038"/>
      <c r="I929" s="3038"/>
      <c r="J929" s="3038"/>
      <c r="K929" s="3038"/>
      <c r="M929" s="3038"/>
      <c r="N929" s="3038"/>
      <c r="O929" s="3038"/>
      <c r="P929" s="3038"/>
      <c r="Q929" s="3038"/>
      <c r="R929" s="3038"/>
      <c r="S929" s="3038"/>
      <c r="T929" s="3038"/>
      <c r="W929" s="3038"/>
      <c r="X929" s="3038"/>
      <c r="Y929" s="3038"/>
      <c r="Z929" s="3038"/>
      <c r="AA929" s="3113"/>
      <c r="AB929" s="3038"/>
      <c r="AC929" s="3038"/>
      <c r="AD929" s="3038"/>
      <c r="AE929" s="3132"/>
      <c r="AF929" s="3038"/>
      <c r="AG929" s="3038"/>
      <c r="AH929" s="3038"/>
      <c r="AK929" s="3038"/>
      <c r="AL929" s="3038"/>
      <c r="AM929" s="3038"/>
      <c r="AN929" s="3038"/>
      <c r="AO929" s="3038"/>
      <c r="AP929" s="3038"/>
      <c r="AQ929" s="3038"/>
      <c r="AR929" s="3038"/>
      <c r="AS929" s="3038"/>
      <c r="AT929" s="3038"/>
      <c r="AU929" s="3038"/>
      <c r="AV929" s="3038"/>
      <c r="AW929" s="3038"/>
      <c r="AX929" s="3038"/>
      <c r="AY929" s="3038"/>
      <c r="AZ929" s="3038"/>
      <c r="BA929" s="3038"/>
      <c r="BB929" s="3038"/>
      <c r="BC929" s="3038"/>
      <c r="BD929" s="3038"/>
      <c r="BE929" s="3038"/>
      <c r="BF929" s="3038"/>
      <c r="BG929" s="3038"/>
      <c r="BH929" s="3038"/>
      <c r="BI929" s="3038"/>
      <c r="BJ929" s="3038"/>
      <c r="BK929" s="3038"/>
      <c r="BL929" s="3038"/>
      <c r="BM929" s="3038"/>
      <c r="BN929" s="3038"/>
      <c r="BO929" s="3038"/>
      <c r="BP929" s="3038"/>
      <c r="BQ929" s="3038"/>
      <c r="BR929" s="3038"/>
      <c r="BS929" s="3038"/>
      <c r="BT929" s="3038"/>
      <c r="BU929" s="3038"/>
    </row>
    <row r="930" spans="3:73">
      <c r="C930" s="3038"/>
      <c r="D930" s="3038"/>
      <c r="E930" s="3038"/>
      <c r="H930" s="3038"/>
      <c r="I930" s="3038"/>
      <c r="J930" s="3038"/>
      <c r="K930" s="3038"/>
      <c r="M930" s="3038"/>
      <c r="N930" s="3038"/>
      <c r="O930" s="3038"/>
      <c r="P930" s="3038"/>
      <c r="Q930" s="3038"/>
      <c r="R930" s="3038"/>
      <c r="S930" s="3038"/>
      <c r="T930" s="3038"/>
      <c r="W930" s="3038"/>
      <c r="X930" s="3038"/>
      <c r="Y930" s="3038"/>
      <c r="Z930" s="3038"/>
      <c r="AA930" s="3113"/>
      <c r="AB930" s="3038"/>
      <c r="AC930" s="3038"/>
      <c r="AD930" s="3038"/>
      <c r="AE930" s="3132"/>
      <c r="AF930" s="3038"/>
      <c r="AG930" s="3038"/>
      <c r="AH930" s="3038"/>
      <c r="AK930" s="3038"/>
      <c r="AL930" s="3038"/>
      <c r="AM930" s="3038"/>
      <c r="AN930" s="3038"/>
      <c r="AO930" s="3038"/>
      <c r="AP930" s="3038"/>
      <c r="AQ930" s="3038"/>
      <c r="AR930" s="3038"/>
      <c r="AS930" s="3038"/>
      <c r="AT930" s="3038"/>
      <c r="AU930" s="3038"/>
      <c r="AV930" s="3038"/>
      <c r="AW930" s="3038"/>
      <c r="AX930" s="3038"/>
      <c r="AY930" s="3038"/>
      <c r="AZ930" s="3038"/>
      <c r="BA930" s="3038"/>
      <c r="BB930" s="3038"/>
      <c r="BC930" s="3038"/>
      <c r="BD930" s="3038"/>
      <c r="BE930" s="3038"/>
      <c r="BF930" s="3038"/>
      <c r="BG930" s="3038"/>
      <c r="BH930" s="3038"/>
      <c r="BI930" s="3038"/>
      <c r="BJ930" s="3038"/>
      <c r="BK930" s="3038"/>
      <c r="BL930" s="3038"/>
      <c r="BM930" s="3038"/>
      <c r="BN930" s="3038"/>
      <c r="BO930" s="3038"/>
      <c r="BP930" s="3038"/>
      <c r="BQ930" s="3038"/>
      <c r="BR930" s="3038"/>
      <c r="BS930" s="3038"/>
      <c r="BT930" s="3038"/>
      <c r="BU930" s="3038"/>
    </row>
    <row r="931" spans="3:73">
      <c r="C931" s="3038"/>
      <c r="D931" s="3038"/>
      <c r="E931" s="3038"/>
      <c r="H931" s="3038"/>
      <c r="I931" s="3038"/>
      <c r="J931" s="3038"/>
      <c r="K931" s="3038"/>
      <c r="M931" s="3038"/>
      <c r="N931" s="3038"/>
      <c r="O931" s="3038"/>
      <c r="P931" s="3038"/>
      <c r="Q931" s="3038"/>
      <c r="R931" s="3038"/>
      <c r="S931" s="3038"/>
      <c r="T931" s="3038"/>
      <c r="W931" s="3038"/>
      <c r="X931" s="3038"/>
      <c r="Y931" s="3038"/>
      <c r="Z931" s="3038"/>
      <c r="AA931" s="3113"/>
      <c r="AB931" s="3038"/>
      <c r="AC931" s="3038"/>
      <c r="AD931" s="3038"/>
      <c r="AE931" s="3132"/>
      <c r="AF931" s="3038"/>
      <c r="AG931" s="3038"/>
      <c r="AH931" s="3038"/>
      <c r="AK931" s="3038"/>
      <c r="AL931" s="3038"/>
      <c r="AM931" s="3038"/>
      <c r="AN931" s="3038"/>
      <c r="AO931" s="3038"/>
      <c r="AP931" s="3038"/>
      <c r="AQ931" s="3038"/>
      <c r="AR931" s="3038"/>
      <c r="AS931" s="3038"/>
      <c r="AT931" s="3038"/>
      <c r="AU931" s="3038"/>
      <c r="AV931" s="3038"/>
      <c r="AW931" s="3038"/>
      <c r="AX931" s="3038"/>
      <c r="AY931" s="3038"/>
      <c r="AZ931" s="3038"/>
      <c r="BA931" s="3038"/>
      <c r="BB931" s="3038"/>
      <c r="BC931" s="3038"/>
      <c r="BD931" s="3038"/>
      <c r="BE931" s="3038"/>
      <c r="BF931" s="3038"/>
      <c r="BG931" s="3038"/>
      <c r="BH931" s="3038"/>
      <c r="BI931" s="3038"/>
      <c r="BJ931" s="3038"/>
      <c r="BK931" s="3038"/>
      <c r="BL931" s="3038"/>
      <c r="BM931" s="3038"/>
      <c r="BN931" s="3038"/>
      <c r="BO931" s="3038"/>
      <c r="BP931" s="3038"/>
      <c r="BQ931" s="3038"/>
      <c r="BR931" s="3038"/>
      <c r="BS931" s="3038"/>
      <c r="BT931" s="3038"/>
      <c r="BU931" s="3038"/>
    </row>
    <row r="932" spans="3:73">
      <c r="C932" s="3038"/>
      <c r="D932" s="3038"/>
      <c r="E932" s="3038"/>
      <c r="H932" s="3038"/>
      <c r="I932" s="3038"/>
      <c r="J932" s="3038"/>
      <c r="K932" s="3038"/>
      <c r="M932" s="3038"/>
      <c r="N932" s="3038"/>
      <c r="O932" s="3038"/>
      <c r="P932" s="3038"/>
      <c r="Q932" s="3038"/>
      <c r="R932" s="3038"/>
      <c r="S932" s="3038"/>
      <c r="T932" s="3038"/>
      <c r="W932" s="3038"/>
      <c r="X932" s="3038"/>
      <c r="Y932" s="3038"/>
      <c r="Z932" s="3038"/>
      <c r="AA932" s="3113"/>
      <c r="AB932" s="3038"/>
      <c r="AC932" s="3038"/>
      <c r="AD932" s="3038"/>
      <c r="AE932" s="3132"/>
      <c r="AF932" s="3038"/>
      <c r="AG932" s="3038"/>
      <c r="AH932" s="3038"/>
      <c r="AK932" s="3038"/>
      <c r="AL932" s="3038"/>
      <c r="AM932" s="3038"/>
      <c r="AN932" s="3038"/>
      <c r="AO932" s="3038"/>
      <c r="AP932" s="3038"/>
      <c r="AQ932" s="3038"/>
      <c r="AR932" s="3038"/>
      <c r="AS932" s="3038"/>
      <c r="AT932" s="3038"/>
      <c r="AU932" s="3038"/>
      <c r="AV932" s="3038"/>
      <c r="AW932" s="3038"/>
      <c r="AX932" s="3038"/>
      <c r="AY932" s="3038"/>
      <c r="AZ932" s="3038"/>
      <c r="BA932" s="3038"/>
      <c r="BB932" s="3038"/>
      <c r="BC932" s="3038"/>
      <c r="BD932" s="3038"/>
      <c r="BE932" s="3038"/>
      <c r="BF932" s="3038"/>
      <c r="BG932" s="3038"/>
      <c r="BH932" s="3038"/>
      <c r="BI932" s="3038"/>
      <c r="BJ932" s="3038"/>
      <c r="BK932" s="3038"/>
      <c r="BL932" s="3038"/>
      <c r="BM932" s="3038"/>
      <c r="BN932" s="3038"/>
      <c r="BO932" s="3038"/>
      <c r="BP932" s="3038"/>
      <c r="BQ932" s="3038"/>
      <c r="BR932" s="3038"/>
      <c r="BS932" s="3038"/>
      <c r="BT932" s="3038"/>
      <c r="BU932" s="3038"/>
    </row>
    <row r="933" spans="3:73">
      <c r="C933" s="3038"/>
      <c r="D933" s="3038"/>
      <c r="E933" s="3038"/>
      <c r="H933" s="3038"/>
      <c r="I933" s="3038"/>
      <c r="J933" s="3038"/>
      <c r="K933" s="3038"/>
      <c r="M933" s="3038"/>
      <c r="N933" s="3038"/>
      <c r="O933" s="3038"/>
      <c r="P933" s="3038"/>
      <c r="Q933" s="3038"/>
      <c r="R933" s="3038"/>
      <c r="S933" s="3038"/>
      <c r="T933" s="3038"/>
      <c r="W933" s="3038"/>
      <c r="X933" s="3038"/>
      <c r="Y933" s="3038"/>
      <c r="Z933" s="3038"/>
      <c r="AA933" s="3113"/>
      <c r="AB933" s="3038"/>
      <c r="AC933" s="3038"/>
      <c r="AD933" s="3038"/>
      <c r="AE933" s="3132"/>
      <c r="AF933" s="3038"/>
      <c r="AG933" s="3038"/>
      <c r="AH933" s="3038"/>
      <c r="AK933" s="3038"/>
      <c r="AL933" s="3038"/>
      <c r="AM933" s="3038"/>
      <c r="AN933" s="3038"/>
      <c r="AO933" s="3038"/>
      <c r="AP933" s="3038"/>
      <c r="AQ933" s="3038"/>
      <c r="AR933" s="3038"/>
      <c r="AS933" s="3038"/>
      <c r="AT933" s="3038"/>
      <c r="AU933" s="3038"/>
      <c r="AV933" s="3038"/>
      <c r="AW933" s="3038"/>
      <c r="AX933" s="3038"/>
      <c r="AY933" s="3038"/>
      <c r="AZ933" s="3038"/>
      <c r="BA933" s="3038"/>
      <c r="BB933" s="3038"/>
      <c r="BC933" s="3038"/>
      <c r="BD933" s="3038"/>
      <c r="BE933" s="3038"/>
      <c r="BF933" s="3038"/>
      <c r="BG933" s="3038"/>
      <c r="BH933" s="3038"/>
      <c r="BI933" s="3038"/>
      <c r="BJ933" s="3038"/>
      <c r="BK933" s="3038"/>
      <c r="BL933" s="3038"/>
      <c r="BM933" s="3038"/>
      <c r="BN933" s="3038"/>
      <c r="BO933" s="3038"/>
      <c r="BP933" s="3038"/>
      <c r="BQ933" s="3038"/>
      <c r="BR933" s="3038"/>
      <c r="BS933" s="3038"/>
      <c r="BT933" s="3038"/>
      <c r="BU933" s="3038"/>
    </row>
    <row r="934" spans="3:73">
      <c r="C934" s="3038"/>
      <c r="D934" s="3038"/>
      <c r="E934" s="3038"/>
      <c r="H934" s="3038"/>
      <c r="I934" s="3038"/>
      <c r="J934" s="3038"/>
      <c r="K934" s="3038"/>
      <c r="M934" s="3038"/>
      <c r="N934" s="3038"/>
      <c r="O934" s="3038"/>
      <c r="P934" s="3038"/>
      <c r="Q934" s="3038"/>
      <c r="R934" s="3038"/>
      <c r="S934" s="3038"/>
      <c r="T934" s="3038"/>
      <c r="W934" s="3038"/>
      <c r="X934" s="3038"/>
      <c r="Y934" s="3038"/>
      <c r="Z934" s="3038"/>
      <c r="AA934" s="3113"/>
      <c r="AB934" s="3038"/>
      <c r="AC934" s="3038"/>
      <c r="AD934" s="3038"/>
      <c r="AE934" s="3132"/>
      <c r="AF934" s="3038"/>
      <c r="AG934" s="3038"/>
      <c r="AH934" s="3038"/>
      <c r="AK934" s="3038"/>
      <c r="AL934" s="3038"/>
      <c r="AM934" s="3038"/>
      <c r="AN934" s="3038"/>
      <c r="AO934" s="3038"/>
      <c r="AP934" s="3038"/>
      <c r="AQ934" s="3038"/>
      <c r="AR934" s="3038"/>
      <c r="AS934" s="3038"/>
      <c r="AT934" s="3038"/>
      <c r="AU934" s="3038"/>
      <c r="AV934" s="3038"/>
      <c r="AW934" s="3038"/>
      <c r="AX934" s="3038"/>
      <c r="AY934" s="3038"/>
      <c r="AZ934" s="3038"/>
      <c r="BA934" s="3038"/>
      <c r="BB934" s="3038"/>
      <c r="BC934" s="3038"/>
      <c r="BD934" s="3038"/>
      <c r="BE934" s="3038"/>
      <c r="BF934" s="3038"/>
      <c r="BG934" s="3038"/>
      <c r="BH934" s="3038"/>
      <c r="BI934" s="3038"/>
      <c r="BJ934" s="3038"/>
      <c r="BK934" s="3038"/>
      <c r="BL934" s="3038"/>
      <c r="BM934" s="3038"/>
      <c r="BN934" s="3038"/>
      <c r="BO934" s="3038"/>
      <c r="BP934" s="3038"/>
      <c r="BQ934" s="3038"/>
      <c r="BR934" s="3038"/>
      <c r="BS934" s="3038"/>
      <c r="BT934" s="3038"/>
      <c r="BU934" s="3038"/>
    </row>
    <row r="935" spans="3:73">
      <c r="C935" s="3038"/>
      <c r="D935" s="3038"/>
      <c r="E935" s="3038"/>
      <c r="H935" s="3038"/>
      <c r="I935" s="3038"/>
      <c r="J935" s="3038"/>
      <c r="K935" s="3038"/>
      <c r="M935" s="3038"/>
      <c r="N935" s="3038"/>
      <c r="O935" s="3038"/>
      <c r="P935" s="3038"/>
      <c r="Q935" s="3038"/>
      <c r="R935" s="3038"/>
      <c r="S935" s="3038"/>
      <c r="T935" s="3038"/>
      <c r="W935" s="3038"/>
      <c r="X935" s="3038"/>
      <c r="Y935" s="3038"/>
      <c r="Z935" s="3038"/>
      <c r="AA935" s="3113"/>
      <c r="AB935" s="3038"/>
      <c r="AC935" s="3038"/>
      <c r="AD935" s="3038"/>
      <c r="AE935" s="3132"/>
      <c r="AF935" s="3038"/>
      <c r="AG935" s="3038"/>
      <c r="AH935" s="3038"/>
      <c r="AK935" s="3038"/>
      <c r="AL935" s="3038"/>
      <c r="AM935" s="3038"/>
      <c r="AN935" s="3038"/>
      <c r="AO935" s="3038"/>
      <c r="AP935" s="3038"/>
      <c r="AQ935" s="3038"/>
      <c r="AR935" s="3038"/>
      <c r="AS935" s="3038"/>
      <c r="AT935" s="3038"/>
      <c r="AU935" s="3038"/>
      <c r="AV935" s="3038"/>
      <c r="AW935" s="3038"/>
      <c r="AX935" s="3038"/>
      <c r="AY935" s="3038"/>
      <c r="AZ935" s="3038"/>
      <c r="BA935" s="3038"/>
      <c r="BB935" s="3038"/>
      <c r="BC935" s="3038"/>
      <c r="BD935" s="3038"/>
      <c r="BE935" s="3038"/>
      <c r="BF935" s="3038"/>
      <c r="BG935" s="3038"/>
      <c r="BH935" s="3038"/>
      <c r="BI935" s="3038"/>
      <c r="BJ935" s="3038"/>
      <c r="BK935" s="3038"/>
      <c r="BL935" s="3038"/>
      <c r="BM935" s="3038"/>
      <c r="BN935" s="3038"/>
      <c r="BO935" s="3038"/>
      <c r="BP935" s="3038"/>
      <c r="BQ935" s="3038"/>
      <c r="BR935" s="3038"/>
      <c r="BS935" s="3038"/>
      <c r="BT935" s="3038"/>
      <c r="BU935" s="3038"/>
    </row>
    <row r="936" spans="3:73">
      <c r="C936" s="3038"/>
      <c r="D936" s="3038"/>
      <c r="E936" s="3038"/>
      <c r="H936" s="3038"/>
      <c r="I936" s="3038"/>
      <c r="J936" s="3038"/>
      <c r="K936" s="3038"/>
      <c r="M936" s="3038"/>
      <c r="N936" s="3038"/>
      <c r="O936" s="3038"/>
      <c r="P936" s="3038"/>
      <c r="Q936" s="3038"/>
      <c r="R936" s="3038"/>
      <c r="S936" s="3038"/>
      <c r="T936" s="3038"/>
      <c r="W936" s="3038"/>
      <c r="X936" s="3038"/>
      <c r="Y936" s="3038"/>
      <c r="Z936" s="3038"/>
      <c r="AA936" s="3113"/>
      <c r="AB936" s="3038"/>
      <c r="AC936" s="3038"/>
      <c r="AD936" s="3038"/>
      <c r="AE936" s="3132"/>
      <c r="AF936" s="3038"/>
      <c r="AG936" s="3038"/>
      <c r="AH936" s="3038"/>
      <c r="AK936" s="3038"/>
      <c r="AL936" s="3038"/>
      <c r="AM936" s="3038"/>
      <c r="AN936" s="3038"/>
      <c r="AO936" s="3038"/>
      <c r="AP936" s="3038"/>
      <c r="AQ936" s="3038"/>
      <c r="AR936" s="3038"/>
      <c r="AS936" s="3038"/>
      <c r="AT936" s="3038"/>
      <c r="AU936" s="3038"/>
      <c r="AV936" s="3038"/>
      <c r="AW936" s="3038"/>
      <c r="AX936" s="3038"/>
      <c r="AY936" s="3038"/>
      <c r="AZ936" s="3038"/>
      <c r="BA936" s="3038"/>
      <c r="BB936" s="3038"/>
      <c r="BC936" s="3038"/>
      <c r="BD936" s="3038"/>
      <c r="BE936" s="3038"/>
      <c r="BF936" s="3038"/>
      <c r="BG936" s="3038"/>
      <c r="BH936" s="3038"/>
      <c r="BI936" s="3038"/>
      <c r="BJ936" s="3038"/>
      <c r="BK936" s="3038"/>
      <c r="BL936" s="3038"/>
      <c r="BM936" s="3038"/>
      <c r="BN936" s="3038"/>
      <c r="BO936" s="3038"/>
      <c r="BP936" s="3038"/>
      <c r="BQ936" s="3038"/>
      <c r="BR936" s="3038"/>
      <c r="BS936" s="3038"/>
      <c r="BT936" s="3038"/>
      <c r="BU936" s="3038"/>
    </row>
    <row r="937" spans="3:73">
      <c r="C937" s="3038"/>
      <c r="D937" s="3038"/>
      <c r="E937" s="3038"/>
      <c r="H937" s="3038"/>
      <c r="I937" s="3038"/>
      <c r="J937" s="3038"/>
      <c r="K937" s="3038"/>
      <c r="M937" s="3038"/>
      <c r="N937" s="3038"/>
      <c r="O937" s="3038"/>
      <c r="P937" s="3038"/>
      <c r="Q937" s="3038"/>
      <c r="R937" s="3038"/>
      <c r="S937" s="3038"/>
      <c r="T937" s="3038"/>
      <c r="W937" s="3038"/>
      <c r="X937" s="3038"/>
      <c r="Y937" s="3038"/>
      <c r="Z937" s="3038"/>
      <c r="AA937" s="3113"/>
      <c r="AB937" s="3038"/>
      <c r="AC937" s="3038"/>
      <c r="AD937" s="3038"/>
      <c r="AE937" s="3132"/>
      <c r="AF937" s="3038"/>
      <c r="AG937" s="3038"/>
      <c r="AH937" s="3038"/>
      <c r="AK937" s="3038"/>
      <c r="AL937" s="3038"/>
      <c r="AM937" s="3038"/>
      <c r="AN937" s="3038"/>
      <c r="AO937" s="3038"/>
      <c r="AP937" s="3038"/>
      <c r="AQ937" s="3038"/>
      <c r="AR937" s="3038"/>
      <c r="AS937" s="3038"/>
      <c r="AT937" s="3038"/>
      <c r="AU937" s="3038"/>
      <c r="AV937" s="3038"/>
      <c r="AW937" s="3038"/>
      <c r="AX937" s="3038"/>
      <c r="AY937" s="3038"/>
      <c r="AZ937" s="3038"/>
      <c r="BA937" s="3038"/>
      <c r="BB937" s="3038"/>
      <c r="BC937" s="3038"/>
      <c r="BD937" s="3038"/>
      <c r="BE937" s="3038"/>
      <c r="BF937" s="3038"/>
      <c r="BG937" s="3038"/>
      <c r="BH937" s="3038"/>
      <c r="BI937" s="3038"/>
      <c r="BJ937" s="3038"/>
      <c r="BK937" s="3038"/>
      <c r="BL937" s="3038"/>
      <c r="BM937" s="3038"/>
      <c r="BN937" s="3038"/>
      <c r="BO937" s="3038"/>
      <c r="BP937" s="3038"/>
      <c r="BQ937" s="3038"/>
      <c r="BR937" s="3038"/>
      <c r="BS937" s="3038"/>
      <c r="BT937" s="3038"/>
      <c r="BU937" s="3038"/>
    </row>
    <row r="938" spans="3:73">
      <c r="C938" s="3038"/>
      <c r="D938" s="3038"/>
      <c r="E938" s="3038"/>
      <c r="H938" s="3038"/>
      <c r="I938" s="3038"/>
      <c r="J938" s="3038"/>
      <c r="K938" s="3038"/>
      <c r="M938" s="3038"/>
      <c r="N938" s="3038"/>
      <c r="O938" s="3038"/>
      <c r="P938" s="3038"/>
      <c r="Q938" s="3038"/>
      <c r="R938" s="3038"/>
      <c r="S938" s="3038"/>
      <c r="T938" s="3038"/>
      <c r="W938" s="3038"/>
      <c r="X938" s="3038"/>
      <c r="Y938" s="3038"/>
      <c r="Z938" s="3038"/>
      <c r="AA938" s="3113"/>
      <c r="AB938" s="3038"/>
      <c r="AC938" s="3038"/>
      <c r="AD938" s="3038"/>
      <c r="AE938" s="3132"/>
      <c r="AF938" s="3038"/>
      <c r="AG938" s="3038"/>
      <c r="AH938" s="3038"/>
      <c r="AK938" s="3038"/>
      <c r="AL938" s="3038"/>
      <c r="AM938" s="3038"/>
      <c r="AN938" s="3038"/>
      <c r="AO938" s="3038"/>
      <c r="AP938" s="3038"/>
      <c r="AQ938" s="3038"/>
      <c r="AR938" s="3038"/>
      <c r="AS938" s="3038"/>
      <c r="AT938" s="3038"/>
      <c r="AU938" s="3038"/>
      <c r="AV938" s="3038"/>
      <c r="AW938" s="3038"/>
      <c r="AX938" s="3038"/>
      <c r="AY938" s="3038"/>
      <c r="AZ938" s="3038"/>
      <c r="BA938" s="3038"/>
      <c r="BB938" s="3038"/>
      <c r="BC938" s="3038"/>
      <c r="BD938" s="3038"/>
      <c r="BE938" s="3038"/>
      <c r="BF938" s="3038"/>
      <c r="BG938" s="3038"/>
      <c r="BH938" s="3038"/>
      <c r="BI938" s="3038"/>
      <c r="BJ938" s="3038"/>
      <c r="BK938" s="3038"/>
      <c r="BL938" s="3038"/>
      <c r="BM938" s="3038"/>
      <c r="BN938" s="3038"/>
      <c r="BO938" s="3038"/>
      <c r="BP938" s="3038"/>
      <c r="BQ938" s="3038"/>
      <c r="BR938" s="3038"/>
      <c r="BS938" s="3038"/>
      <c r="BT938" s="3038"/>
      <c r="BU938" s="3038"/>
    </row>
    <row r="939" spans="3:73">
      <c r="C939" s="3038"/>
      <c r="D939" s="3038"/>
      <c r="E939" s="3038"/>
      <c r="H939" s="3038"/>
      <c r="I939" s="3038"/>
      <c r="J939" s="3038"/>
      <c r="K939" s="3038"/>
      <c r="M939" s="3038"/>
      <c r="N939" s="3038"/>
      <c r="O939" s="3038"/>
      <c r="P939" s="3038"/>
      <c r="Q939" s="3038"/>
      <c r="R939" s="3038"/>
      <c r="S939" s="3038"/>
      <c r="T939" s="3038"/>
      <c r="W939" s="3038"/>
      <c r="X939" s="3038"/>
      <c r="Y939" s="3038"/>
      <c r="Z939" s="3038"/>
      <c r="AA939" s="3113"/>
      <c r="AB939" s="3038"/>
      <c r="AC939" s="3038"/>
      <c r="AD939" s="3038"/>
      <c r="AE939" s="3132"/>
      <c r="AF939" s="3038"/>
      <c r="AG939" s="3038"/>
      <c r="AH939" s="3038"/>
      <c r="AK939" s="3038"/>
      <c r="AL939" s="3038"/>
      <c r="AM939" s="3038"/>
      <c r="AN939" s="3038"/>
      <c r="AO939" s="3038"/>
      <c r="AP939" s="3038"/>
      <c r="AQ939" s="3038"/>
      <c r="AR939" s="3038"/>
      <c r="AS939" s="3038"/>
      <c r="AT939" s="3038"/>
      <c r="AU939" s="3038"/>
      <c r="AV939" s="3038"/>
      <c r="AW939" s="3038"/>
      <c r="AX939" s="3038"/>
      <c r="AY939" s="3038"/>
      <c r="AZ939" s="3038"/>
      <c r="BA939" s="3038"/>
      <c r="BB939" s="3038"/>
      <c r="BC939" s="3038"/>
      <c r="BD939" s="3038"/>
      <c r="BE939" s="3038"/>
      <c r="BF939" s="3038"/>
      <c r="BG939" s="3038"/>
      <c r="BH939" s="3038"/>
      <c r="BI939" s="3038"/>
      <c r="BJ939" s="3038"/>
      <c r="BK939" s="3038"/>
      <c r="BL939" s="3038"/>
      <c r="BM939" s="3038"/>
      <c r="BN939" s="3038"/>
      <c r="BO939" s="3038"/>
      <c r="BP939" s="3038"/>
      <c r="BQ939" s="3038"/>
      <c r="BR939" s="3038"/>
      <c r="BS939" s="3038"/>
      <c r="BT939" s="3038"/>
      <c r="BU939" s="3038"/>
    </row>
    <row r="940" spans="3:73">
      <c r="C940" s="3038"/>
      <c r="D940" s="3038"/>
      <c r="E940" s="3038"/>
      <c r="H940" s="3038"/>
      <c r="I940" s="3038"/>
      <c r="J940" s="3038"/>
      <c r="K940" s="3038"/>
      <c r="M940" s="3038"/>
      <c r="N940" s="3038"/>
      <c r="O940" s="3038"/>
      <c r="P940" s="3038"/>
      <c r="Q940" s="3038"/>
      <c r="R940" s="3038"/>
      <c r="S940" s="3038"/>
      <c r="T940" s="3038"/>
      <c r="W940" s="3038"/>
      <c r="X940" s="3038"/>
      <c r="Y940" s="3038"/>
      <c r="Z940" s="3038"/>
      <c r="AA940" s="3113"/>
      <c r="AB940" s="3038"/>
      <c r="AC940" s="3038"/>
      <c r="AD940" s="3038"/>
      <c r="AE940" s="3132"/>
      <c r="AF940" s="3038"/>
      <c r="AG940" s="3038"/>
      <c r="AH940" s="3038"/>
      <c r="AK940" s="3038"/>
      <c r="AL940" s="3038"/>
      <c r="AM940" s="3038"/>
      <c r="AN940" s="3038"/>
      <c r="AO940" s="3038"/>
      <c r="AP940" s="3038"/>
      <c r="AQ940" s="3038"/>
      <c r="AR940" s="3038"/>
      <c r="AS940" s="3038"/>
      <c r="AT940" s="3038"/>
      <c r="AU940" s="3038"/>
      <c r="AV940" s="3038"/>
      <c r="AW940" s="3038"/>
      <c r="AX940" s="3038"/>
      <c r="AY940" s="3038"/>
      <c r="AZ940" s="3038"/>
      <c r="BA940" s="3038"/>
      <c r="BB940" s="3038"/>
      <c r="BC940" s="3038"/>
      <c r="BD940" s="3038"/>
      <c r="BE940" s="3038"/>
      <c r="BF940" s="3038"/>
      <c r="BG940" s="3038"/>
      <c r="BH940" s="3038"/>
      <c r="BI940" s="3038"/>
      <c r="BJ940" s="3038"/>
      <c r="BK940" s="3038"/>
      <c r="BL940" s="3038"/>
      <c r="BM940" s="3038"/>
      <c r="BN940" s="3038"/>
      <c r="BO940" s="3038"/>
      <c r="BP940" s="3038"/>
      <c r="BQ940" s="3038"/>
      <c r="BR940" s="3038"/>
      <c r="BS940" s="3038"/>
      <c r="BT940" s="3038"/>
      <c r="BU940" s="3038"/>
    </row>
    <row r="941" spans="3:73">
      <c r="C941" s="3038"/>
      <c r="D941" s="3038"/>
      <c r="E941" s="3038"/>
      <c r="H941" s="3038"/>
      <c r="I941" s="3038"/>
      <c r="J941" s="3038"/>
      <c r="K941" s="3038"/>
      <c r="M941" s="3038"/>
      <c r="N941" s="3038"/>
      <c r="O941" s="3038"/>
      <c r="P941" s="3038"/>
      <c r="Q941" s="3038"/>
      <c r="R941" s="3038"/>
      <c r="S941" s="3038"/>
      <c r="T941" s="3038"/>
      <c r="W941" s="3038"/>
      <c r="X941" s="3038"/>
      <c r="Y941" s="3038"/>
      <c r="Z941" s="3038"/>
      <c r="AA941" s="3113"/>
      <c r="AB941" s="3038"/>
      <c r="AC941" s="3038"/>
      <c r="AD941" s="3038"/>
      <c r="AE941" s="3132"/>
      <c r="AF941" s="3038"/>
      <c r="AG941" s="3038"/>
      <c r="AH941" s="3038"/>
      <c r="AK941" s="3038"/>
      <c r="AL941" s="3038"/>
      <c r="AM941" s="3038"/>
      <c r="AN941" s="3038"/>
      <c r="AO941" s="3038"/>
      <c r="AP941" s="3038"/>
      <c r="AQ941" s="3038"/>
      <c r="AR941" s="3038"/>
      <c r="AS941" s="3038"/>
      <c r="AT941" s="3038"/>
      <c r="AU941" s="3038"/>
      <c r="AV941" s="3038"/>
      <c r="AW941" s="3038"/>
      <c r="AX941" s="3038"/>
      <c r="AY941" s="3038"/>
      <c r="AZ941" s="3038"/>
      <c r="BA941" s="3038"/>
      <c r="BB941" s="3038"/>
      <c r="BC941" s="3038"/>
      <c r="BD941" s="3038"/>
      <c r="BE941" s="3038"/>
      <c r="BF941" s="3038"/>
      <c r="BG941" s="3038"/>
      <c r="BH941" s="3038"/>
      <c r="BI941" s="3038"/>
      <c r="BJ941" s="3038"/>
      <c r="BK941" s="3038"/>
      <c r="BL941" s="3038"/>
      <c r="BM941" s="3038"/>
      <c r="BN941" s="3038"/>
      <c r="BO941" s="3038"/>
      <c r="BP941" s="3038"/>
      <c r="BQ941" s="3038"/>
      <c r="BR941" s="3038"/>
      <c r="BS941" s="3038"/>
      <c r="BT941" s="3038"/>
      <c r="BU941" s="3038"/>
    </row>
    <row r="942" spans="3:73">
      <c r="C942" s="3038"/>
      <c r="D942" s="3038"/>
      <c r="E942" s="3038"/>
      <c r="H942" s="3038"/>
      <c r="I942" s="3038"/>
      <c r="J942" s="3038"/>
      <c r="K942" s="3038"/>
      <c r="M942" s="3038"/>
      <c r="N942" s="3038"/>
      <c r="O942" s="3038"/>
      <c r="P942" s="3038"/>
      <c r="Q942" s="3038"/>
      <c r="R942" s="3038"/>
      <c r="S942" s="3038"/>
      <c r="T942" s="3038"/>
      <c r="W942" s="3038"/>
      <c r="X942" s="3038"/>
      <c r="Y942" s="3038"/>
      <c r="Z942" s="3038"/>
      <c r="AA942" s="3113"/>
      <c r="AB942" s="3038"/>
      <c r="AC942" s="3038"/>
      <c r="AD942" s="3038"/>
      <c r="AE942" s="3132"/>
      <c r="AF942" s="3038"/>
      <c r="AG942" s="3038"/>
      <c r="AH942" s="3038"/>
      <c r="AK942" s="3038"/>
      <c r="AL942" s="3038"/>
      <c r="AM942" s="3038"/>
      <c r="AN942" s="3038"/>
      <c r="AO942" s="3038"/>
      <c r="AP942" s="3038"/>
      <c r="AQ942" s="3038"/>
      <c r="AR942" s="3038"/>
      <c r="AS942" s="3038"/>
      <c r="AT942" s="3038"/>
      <c r="AU942" s="3038"/>
      <c r="AV942" s="3038"/>
      <c r="AW942" s="3038"/>
      <c r="AX942" s="3038"/>
      <c r="AY942" s="3038"/>
      <c r="AZ942" s="3038"/>
      <c r="BA942" s="3038"/>
      <c r="BB942" s="3038"/>
      <c r="BC942" s="3038"/>
      <c r="BD942" s="3038"/>
      <c r="BE942" s="3038"/>
      <c r="BF942" s="3038"/>
      <c r="BG942" s="3038"/>
      <c r="BH942" s="3038"/>
      <c r="BI942" s="3038"/>
      <c r="BJ942" s="3038"/>
      <c r="BK942" s="3038"/>
      <c r="BL942" s="3038"/>
      <c r="BM942" s="3038"/>
      <c r="BN942" s="3038"/>
      <c r="BO942" s="3038"/>
      <c r="BP942" s="3038"/>
      <c r="BQ942" s="3038"/>
      <c r="BR942" s="3038"/>
      <c r="BS942" s="3038"/>
      <c r="BT942" s="3038"/>
      <c r="BU942" s="3038"/>
    </row>
    <row r="943" spans="3:73">
      <c r="C943" s="3038"/>
      <c r="D943" s="3038"/>
      <c r="E943" s="3038"/>
      <c r="H943" s="3038"/>
      <c r="I943" s="3038"/>
      <c r="J943" s="3038"/>
      <c r="K943" s="3038"/>
      <c r="M943" s="3038"/>
      <c r="N943" s="3038"/>
      <c r="O943" s="3038"/>
      <c r="P943" s="3038"/>
      <c r="Q943" s="3038"/>
      <c r="R943" s="3038"/>
      <c r="S943" s="3038"/>
      <c r="T943" s="3038"/>
      <c r="W943" s="3038"/>
      <c r="X943" s="3038"/>
      <c r="Y943" s="3038"/>
      <c r="Z943" s="3038"/>
      <c r="AA943" s="3113"/>
      <c r="AB943" s="3038"/>
      <c r="AC943" s="3038"/>
      <c r="AD943" s="3038"/>
      <c r="AE943" s="3132"/>
      <c r="AF943" s="3038"/>
      <c r="AG943" s="3038"/>
      <c r="AH943" s="3038"/>
      <c r="AK943" s="3038"/>
      <c r="AL943" s="3038"/>
      <c r="AM943" s="3038"/>
      <c r="AN943" s="3038"/>
      <c r="AO943" s="3038"/>
      <c r="AP943" s="3038"/>
      <c r="AQ943" s="3038"/>
      <c r="AR943" s="3038"/>
      <c r="AS943" s="3038"/>
      <c r="AT943" s="3038"/>
      <c r="AU943" s="3038"/>
      <c r="AV943" s="3038"/>
      <c r="AW943" s="3038"/>
      <c r="AX943" s="3038"/>
      <c r="AY943" s="3038"/>
      <c r="AZ943" s="3038"/>
      <c r="BA943" s="3038"/>
      <c r="BB943" s="3038"/>
      <c r="BC943" s="3038"/>
      <c r="BD943" s="3038"/>
      <c r="BE943" s="3038"/>
      <c r="BF943" s="3038"/>
      <c r="BG943" s="3038"/>
      <c r="BH943" s="3038"/>
      <c r="BI943" s="3038"/>
      <c r="BJ943" s="3038"/>
      <c r="BK943" s="3038"/>
      <c r="BL943" s="3038"/>
      <c r="BM943" s="3038"/>
      <c r="BN943" s="3038"/>
      <c r="BO943" s="3038"/>
      <c r="BP943" s="3038"/>
      <c r="BQ943" s="3038"/>
      <c r="BR943" s="3038"/>
      <c r="BS943" s="3038"/>
      <c r="BT943" s="3038"/>
      <c r="BU943" s="3038"/>
    </row>
    <row r="944" spans="3:73">
      <c r="C944" s="3038"/>
      <c r="D944" s="3038"/>
      <c r="E944" s="3038"/>
      <c r="H944" s="3038"/>
      <c r="I944" s="3038"/>
      <c r="J944" s="3038"/>
      <c r="K944" s="3038"/>
      <c r="M944" s="3038"/>
      <c r="N944" s="3038"/>
      <c r="O944" s="3038"/>
      <c r="P944" s="3038"/>
      <c r="Q944" s="3038"/>
      <c r="R944" s="3038"/>
      <c r="S944" s="3038"/>
      <c r="T944" s="3038"/>
      <c r="W944" s="3038"/>
      <c r="X944" s="3038"/>
      <c r="Y944" s="3038"/>
      <c r="Z944" s="3038"/>
      <c r="AA944" s="3113"/>
      <c r="AB944" s="3038"/>
      <c r="AC944" s="3038"/>
      <c r="AD944" s="3038"/>
      <c r="AE944" s="3132"/>
      <c r="AF944" s="3038"/>
      <c r="AG944" s="3038"/>
      <c r="AH944" s="3038"/>
      <c r="AK944" s="3038"/>
      <c r="AL944" s="3038"/>
      <c r="AM944" s="3038"/>
      <c r="AN944" s="3038"/>
      <c r="AO944" s="3038"/>
      <c r="AP944" s="3038"/>
      <c r="AQ944" s="3038"/>
      <c r="AR944" s="3038"/>
      <c r="AS944" s="3038"/>
      <c r="AT944" s="3038"/>
      <c r="AU944" s="3038"/>
      <c r="AV944" s="3038"/>
      <c r="AW944" s="3038"/>
      <c r="AX944" s="3038"/>
      <c r="AY944" s="3038"/>
      <c r="AZ944" s="3038"/>
      <c r="BA944" s="3038"/>
      <c r="BB944" s="3038"/>
      <c r="BC944" s="3038"/>
      <c r="BD944" s="3038"/>
      <c r="BE944" s="3038"/>
      <c r="BF944" s="3038"/>
      <c r="BG944" s="3038"/>
      <c r="BH944" s="3038"/>
      <c r="BI944" s="3038"/>
      <c r="BJ944" s="3038"/>
      <c r="BK944" s="3038"/>
      <c r="BL944" s="3038"/>
      <c r="BM944" s="3038"/>
      <c r="BN944" s="3038"/>
      <c r="BO944" s="3038"/>
      <c r="BP944" s="3038"/>
      <c r="BQ944" s="3038"/>
      <c r="BR944" s="3038"/>
      <c r="BS944" s="3038"/>
      <c r="BT944" s="3038"/>
      <c r="BU944" s="3038"/>
    </row>
    <row r="945" spans="3:73">
      <c r="C945" s="3038"/>
      <c r="D945" s="3038"/>
      <c r="E945" s="3038"/>
      <c r="H945" s="3038"/>
      <c r="I945" s="3038"/>
      <c r="J945" s="3038"/>
      <c r="K945" s="3038"/>
      <c r="M945" s="3038"/>
      <c r="N945" s="3038"/>
      <c r="O945" s="3038"/>
      <c r="P945" s="3038"/>
      <c r="Q945" s="3038"/>
      <c r="R945" s="3038"/>
      <c r="S945" s="3038"/>
      <c r="T945" s="3038"/>
      <c r="W945" s="3038"/>
      <c r="X945" s="3038"/>
      <c r="Y945" s="3038"/>
      <c r="Z945" s="3038"/>
      <c r="AA945" s="3113"/>
      <c r="AB945" s="3038"/>
      <c r="AC945" s="3038"/>
      <c r="AD945" s="3038"/>
      <c r="AE945" s="3132"/>
      <c r="AF945" s="3038"/>
      <c r="AG945" s="3038"/>
      <c r="AH945" s="3038"/>
      <c r="AK945" s="3038"/>
      <c r="AL945" s="3038"/>
      <c r="AM945" s="3038"/>
      <c r="AN945" s="3038"/>
      <c r="AO945" s="3038"/>
      <c r="AP945" s="3038"/>
      <c r="AQ945" s="3038"/>
      <c r="AR945" s="3038"/>
      <c r="AS945" s="3038"/>
      <c r="AT945" s="3038"/>
      <c r="AU945" s="3038"/>
      <c r="AV945" s="3038"/>
      <c r="AW945" s="3038"/>
      <c r="AX945" s="3038"/>
      <c r="AY945" s="3038"/>
      <c r="AZ945" s="3038"/>
      <c r="BA945" s="3038"/>
      <c r="BB945" s="3038"/>
      <c r="BC945" s="3038"/>
      <c r="BD945" s="3038"/>
      <c r="BE945" s="3038"/>
      <c r="BF945" s="3038"/>
      <c r="BG945" s="3038"/>
      <c r="BH945" s="3038"/>
      <c r="BI945" s="3038"/>
      <c r="BJ945" s="3038"/>
      <c r="BK945" s="3038"/>
      <c r="BL945" s="3038"/>
      <c r="BM945" s="3038"/>
      <c r="BN945" s="3038"/>
      <c r="BO945" s="3038"/>
      <c r="BP945" s="3038"/>
      <c r="BQ945" s="3038"/>
      <c r="BR945" s="3038"/>
      <c r="BS945" s="3038"/>
      <c r="BT945" s="3038"/>
      <c r="BU945" s="3038"/>
    </row>
    <row r="946" spans="3:73">
      <c r="C946" s="3038"/>
      <c r="D946" s="3038"/>
      <c r="E946" s="3038"/>
      <c r="H946" s="3038"/>
      <c r="I946" s="3038"/>
      <c r="J946" s="3038"/>
      <c r="K946" s="3038"/>
      <c r="M946" s="3038"/>
      <c r="N946" s="3038"/>
      <c r="O946" s="3038"/>
      <c r="P946" s="3038"/>
      <c r="Q946" s="3038"/>
      <c r="R946" s="3038"/>
      <c r="S946" s="3038"/>
      <c r="T946" s="3038"/>
      <c r="W946" s="3038"/>
      <c r="X946" s="3038"/>
      <c r="Y946" s="3038"/>
      <c r="Z946" s="3038"/>
      <c r="AA946" s="3113"/>
      <c r="AB946" s="3038"/>
      <c r="AC946" s="3038"/>
      <c r="AD946" s="3038"/>
      <c r="AE946" s="3132"/>
      <c r="AF946" s="3038"/>
      <c r="AG946" s="3038"/>
      <c r="AH946" s="3038"/>
      <c r="AK946" s="3038"/>
      <c r="AL946" s="3038"/>
      <c r="AM946" s="3038"/>
      <c r="AN946" s="3038"/>
      <c r="AO946" s="3038"/>
      <c r="AP946" s="3038"/>
      <c r="AQ946" s="3038"/>
      <c r="AR946" s="3038"/>
      <c r="AS946" s="3038"/>
      <c r="AT946" s="3038"/>
      <c r="AU946" s="3038"/>
      <c r="AV946" s="3038"/>
      <c r="AW946" s="3038"/>
      <c r="AX946" s="3038"/>
      <c r="AY946" s="3038"/>
      <c r="AZ946" s="3038"/>
      <c r="BA946" s="3038"/>
      <c r="BB946" s="3038"/>
      <c r="BC946" s="3038"/>
      <c r="BD946" s="3038"/>
      <c r="BE946" s="3038"/>
      <c r="BF946" s="3038"/>
      <c r="BG946" s="3038"/>
      <c r="BH946" s="3038"/>
      <c r="BI946" s="3038"/>
      <c r="BJ946" s="3038"/>
      <c r="BK946" s="3038"/>
      <c r="BL946" s="3038"/>
      <c r="BM946" s="3038"/>
      <c r="BN946" s="3038"/>
      <c r="BO946" s="3038"/>
      <c r="BP946" s="3038"/>
      <c r="BQ946" s="3038"/>
      <c r="BR946" s="3038"/>
      <c r="BS946" s="3038"/>
      <c r="BT946" s="3038"/>
      <c r="BU946" s="3038"/>
    </row>
    <row r="947" spans="3:73">
      <c r="C947" s="3038"/>
      <c r="D947" s="3038"/>
      <c r="E947" s="3038"/>
      <c r="H947" s="3038"/>
      <c r="I947" s="3038"/>
      <c r="J947" s="3038"/>
      <c r="K947" s="3038"/>
      <c r="M947" s="3038"/>
      <c r="N947" s="3038"/>
      <c r="O947" s="3038"/>
      <c r="P947" s="3038"/>
      <c r="Q947" s="3038"/>
      <c r="R947" s="3038"/>
      <c r="S947" s="3038"/>
      <c r="T947" s="3038"/>
      <c r="W947" s="3038"/>
      <c r="X947" s="3038"/>
      <c r="Y947" s="3038"/>
      <c r="Z947" s="3038"/>
      <c r="AA947" s="3113"/>
      <c r="AB947" s="3038"/>
      <c r="AC947" s="3038"/>
      <c r="AD947" s="3038"/>
      <c r="AE947" s="3132"/>
      <c r="AF947" s="3038"/>
      <c r="AG947" s="3038"/>
      <c r="AH947" s="3038"/>
      <c r="AK947" s="3038"/>
      <c r="AL947" s="3038"/>
      <c r="AM947" s="3038"/>
      <c r="AN947" s="3038"/>
      <c r="AO947" s="3038"/>
      <c r="AP947" s="3038"/>
      <c r="AQ947" s="3038"/>
      <c r="AR947" s="3038"/>
      <c r="AS947" s="3038"/>
      <c r="AT947" s="3038"/>
      <c r="AU947" s="3038"/>
      <c r="AV947" s="3038"/>
      <c r="AW947" s="3038"/>
      <c r="AX947" s="3038"/>
      <c r="AY947" s="3038"/>
      <c r="AZ947" s="3038"/>
      <c r="BA947" s="3038"/>
      <c r="BB947" s="3038"/>
      <c r="BC947" s="3038"/>
      <c r="BD947" s="3038"/>
      <c r="BE947" s="3038"/>
      <c r="BF947" s="3038"/>
      <c r="BG947" s="3038"/>
      <c r="BH947" s="3038"/>
      <c r="BI947" s="3038"/>
      <c r="BJ947" s="3038"/>
      <c r="BK947" s="3038"/>
      <c r="BL947" s="3038"/>
      <c r="BM947" s="3038"/>
      <c r="BN947" s="3038"/>
      <c r="BO947" s="3038"/>
      <c r="BP947" s="3038"/>
      <c r="BQ947" s="3038"/>
      <c r="BR947" s="3038"/>
      <c r="BS947" s="3038"/>
      <c r="BT947" s="3038"/>
      <c r="BU947" s="3038"/>
    </row>
    <row r="948" spans="3:73">
      <c r="C948" s="3038"/>
      <c r="D948" s="3038"/>
      <c r="E948" s="3038"/>
      <c r="H948" s="3038"/>
      <c r="I948" s="3038"/>
      <c r="J948" s="3038"/>
      <c r="K948" s="3038"/>
      <c r="M948" s="3038"/>
      <c r="N948" s="3038"/>
      <c r="O948" s="3038"/>
      <c r="P948" s="3038"/>
      <c r="Q948" s="3038"/>
      <c r="R948" s="3038"/>
      <c r="S948" s="3038"/>
      <c r="T948" s="3038"/>
      <c r="W948" s="3038"/>
      <c r="X948" s="3038"/>
      <c r="Y948" s="3038"/>
      <c r="Z948" s="3038"/>
      <c r="AA948" s="3113"/>
      <c r="AB948" s="3038"/>
      <c r="AC948" s="3038"/>
      <c r="AD948" s="3038"/>
      <c r="AE948" s="3132"/>
      <c r="AF948" s="3038"/>
      <c r="AG948" s="3038"/>
      <c r="AH948" s="3038"/>
      <c r="AK948" s="3038"/>
      <c r="AL948" s="3038"/>
      <c r="AM948" s="3038"/>
      <c r="AN948" s="3038"/>
      <c r="AO948" s="3038"/>
      <c r="AP948" s="3038"/>
      <c r="AQ948" s="3038"/>
      <c r="AR948" s="3038"/>
      <c r="AS948" s="3038"/>
      <c r="AT948" s="3038"/>
      <c r="AU948" s="3038"/>
      <c r="AV948" s="3038"/>
      <c r="AW948" s="3038"/>
      <c r="AX948" s="3038"/>
      <c r="AY948" s="3038"/>
      <c r="AZ948" s="3038"/>
      <c r="BA948" s="3038"/>
      <c r="BB948" s="3038"/>
      <c r="BC948" s="3038"/>
      <c r="BD948" s="3038"/>
      <c r="BE948" s="3038"/>
      <c r="BF948" s="3038"/>
      <c r="BG948" s="3038"/>
      <c r="BH948" s="3038"/>
      <c r="BI948" s="3038"/>
      <c r="BJ948" s="3038"/>
      <c r="BK948" s="3038"/>
      <c r="BL948" s="3038"/>
      <c r="BM948" s="3038"/>
      <c r="BN948" s="3038"/>
      <c r="BO948" s="3038"/>
      <c r="BP948" s="3038"/>
      <c r="BQ948" s="3038"/>
      <c r="BR948" s="3038"/>
      <c r="BS948" s="3038"/>
      <c r="BT948" s="3038"/>
      <c r="BU948" s="3038"/>
    </row>
    <row r="949" spans="3:73">
      <c r="C949" s="3038"/>
      <c r="D949" s="3038"/>
      <c r="E949" s="3038"/>
      <c r="H949" s="3038"/>
      <c r="I949" s="3038"/>
      <c r="J949" s="3038"/>
      <c r="K949" s="3038"/>
      <c r="M949" s="3038"/>
      <c r="N949" s="3038"/>
      <c r="O949" s="3038"/>
      <c r="P949" s="3038"/>
      <c r="Q949" s="3038"/>
      <c r="R949" s="3038"/>
      <c r="S949" s="3038"/>
      <c r="T949" s="3038"/>
      <c r="W949" s="3038"/>
      <c r="X949" s="3038"/>
      <c r="Y949" s="3038"/>
      <c r="Z949" s="3038"/>
      <c r="AA949" s="3113"/>
      <c r="AB949" s="3038"/>
      <c r="AC949" s="3038"/>
      <c r="AD949" s="3038"/>
      <c r="AE949" s="3132"/>
      <c r="AF949" s="3038"/>
      <c r="AG949" s="3038"/>
      <c r="AH949" s="3038"/>
      <c r="AK949" s="3038"/>
      <c r="AL949" s="3038"/>
      <c r="AM949" s="3038"/>
      <c r="AN949" s="3038"/>
      <c r="AO949" s="3038"/>
      <c r="AP949" s="3038"/>
      <c r="AQ949" s="3038"/>
      <c r="AR949" s="3038"/>
      <c r="AS949" s="3038"/>
      <c r="AT949" s="3038"/>
      <c r="AU949" s="3038"/>
      <c r="AV949" s="3038"/>
      <c r="AW949" s="3038"/>
      <c r="AX949" s="3038"/>
      <c r="AY949" s="3038"/>
      <c r="AZ949" s="3038"/>
      <c r="BA949" s="3038"/>
      <c r="BB949" s="3038"/>
      <c r="BC949" s="3038"/>
      <c r="BD949" s="3038"/>
      <c r="BE949" s="3038"/>
      <c r="BF949" s="3038"/>
      <c r="BG949" s="3038"/>
      <c r="BH949" s="3038"/>
      <c r="BI949" s="3038"/>
      <c r="BJ949" s="3038"/>
      <c r="BK949" s="3038"/>
      <c r="BL949" s="3038"/>
      <c r="BM949" s="3038"/>
      <c r="BN949" s="3038"/>
      <c r="BO949" s="3038"/>
      <c r="BP949" s="3038"/>
      <c r="BQ949" s="3038"/>
      <c r="BR949" s="3038"/>
      <c r="BS949" s="3038"/>
      <c r="BT949" s="3038"/>
      <c r="BU949" s="3038"/>
    </row>
    <row r="950" spans="3:73">
      <c r="C950" s="3038"/>
      <c r="D950" s="3038"/>
      <c r="E950" s="3038"/>
      <c r="H950" s="3038"/>
      <c r="I950" s="3038"/>
      <c r="J950" s="3038"/>
      <c r="K950" s="3038"/>
      <c r="M950" s="3038"/>
      <c r="N950" s="3038"/>
      <c r="O950" s="3038"/>
      <c r="P950" s="3038"/>
      <c r="Q950" s="3038"/>
      <c r="R950" s="3038"/>
      <c r="S950" s="3038"/>
      <c r="T950" s="3038"/>
      <c r="W950" s="3038"/>
      <c r="X950" s="3038"/>
      <c r="Y950" s="3038"/>
      <c r="Z950" s="3038"/>
      <c r="AA950" s="3113"/>
      <c r="AB950" s="3038"/>
      <c r="AC950" s="3038"/>
      <c r="AD950" s="3038"/>
      <c r="AE950" s="3132"/>
      <c r="AF950" s="3038"/>
      <c r="AG950" s="3038"/>
      <c r="AH950" s="3038"/>
      <c r="AK950" s="3038"/>
      <c r="AL950" s="3038"/>
      <c r="AM950" s="3038"/>
      <c r="AN950" s="3038"/>
      <c r="AO950" s="3038"/>
      <c r="AP950" s="3038"/>
      <c r="AQ950" s="3038"/>
      <c r="AR950" s="3038"/>
      <c r="AS950" s="3038"/>
      <c r="AT950" s="3038"/>
      <c r="AU950" s="3038"/>
      <c r="AV950" s="3038"/>
      <c r="AW950" s="3038"/>
      <c r="AX950" s="3038"/>
      <c r="AY950" s="3038"/>
      <c r="AZ950" s="3038"/>
      <c r="BA950" s="3038"/>
      <c r="BB950" s="3038"/>
      <c r="BC950" s="3038"/>
      <c r="BD950" s="3038"/>
      <c r="BE950" s="3038"/>
      <c r="BF950" s="3038"/>
      <c r="BG950" s="3038"/>
      <c r="BH950" s="3038"/>
      <c r="BI950" s="3038"/>
      <c r="BJ950" s="3038"/>
      <c r="BK950" s="3038"/>
      <c r="BL950" s="3038"/>
      <c r="BM950" s="3038"/>
      <c r="BN950" s="3038"/>
      <c r="BO950" s="3038"/>
      <c r="BP950" s="3038"/>
      <c r="BQ950" s="3038"/>
      <c r="BR950" s="3038"/>
      <c r="BS950" s="3038"/>
      <c r="BT950" s="3038"/>
      <c r="BU950" s="3038"/>
    </row>
    <row r="951" spans="3:73">
      <c r="C951" s="3038"/>
      <c r="D951" s="3038"/>
      <c r="E951" s="3038"/>
      <c r="H951" s="3038"/>
      <c r="I951" s="3038"/>
      <c r="J951" s="3038"/>
      <c r="K951" s="3038"/>
      <c r="M951" s="3038"/>
      <c r="N951" s="3038"/>
      <c r="O951" s="3038"/>
      <c r="P951" s="3038"/>
      <c r="Q951" s="3038"/>
      <c r="R951" s="3038"/>
      <c r="S951" s="3038"/>
      <c r="T951" s="3038"/>
      <c r="W951" s="3038"/>
      <c r="X951" s="3038"/>
      <c r="Y951" s="3038"/>
      <c r="Z951" s="3038"/>
      <c r="AA951" s="3113"/>
      <c r="AB951" s="3038"/>
      <c r="AC951" s="3038"/>
      <c r="AD951" s="3038"/>
      <c r="AE951" s="3132"/>
      <c r="AF951" s="3038"/>
      <c r="AG951" s="3038"/>
      <c r="AH951" s="3038"/>
      <c r="AK951" s="3038"/>
      <c r="AL951" s="3038"/>
      <c r="AM951" s="3038"/>
      <c r="AN951" s="3038"/>
      <c r="AO951" s="3038"/>
      <c r="AP951" s="3038"/>
      <c r="AQ951" s="3038"/>
      <c r="AR951" s="3038"/>
      <c r="AS951" s="3038"/>
      <c r="AT951" s="3038"/>
      <c r="AU951" s="3038"/>
      <c r="AV951" s="3038"/>
      <c r="AW951" s="3038"/>
      <c r="AX951" s="3038"/>
      <c r="AY951" s="3038"/>
      <c r="AZ951" s="3038"/>
      <c r="BA951" s="3038"/>
      <c r="BB951" s="3038"/>
      <c r="BC951" s="3038"/>
      <c r="BD951" s="3038"/>
      <c r="BE951" s="3038"/>
      <c r="BF951" s="3038"/>
      <c r="BG951" s="3038"/>
      <c r="BH951" s="3038"/>
      <c r="BI951" s="3038"/>
      <c r="BJ951" s="3038"/>
      <c r="BK951" s="3038"/>
      <c r="BL951" s="3038"/>
      <c r="BM951" s="3038"/>
      <c r="BN951" s="3038"/>
      <c r="BO951" s="3038"/>
      <c r="BP951" s="3038"/>
      <c r="BQ951" s="3038"/>
      <c r="BR951" s="3038"/>
      <c r="BS951" s="3038"/>
      <c r="BT951" s="3038"/>
      <c r="BU951" s="3038"/>
    </row>
    <row r="952" spans="3:73">
      <c r="C952" s="3038"/>
      <c r="D952" s="3038"/>
      <c r="E952" s="3038"/>
      <c r="H952" s="3038"/>
      <c r="I952" s="3038"/>
      <c r="J952" s="3038"/>
      <c r="K952" s="3038"/>
      <c r="M952" s="3038"/>
      <c r="N952" s="3038"/>
      <c r="O952" s="3038"/>
      <c r="P952" s="3038"/>
      <c r="Q952" s="3038"/>
      <c r="R952" s="3038"/>
      <c r="S952" s="3038"/>
      <c r="T952" s="3038"/>
      <c r="W952" s="3038"/>
      <c r="X952" s="3038"/>
      <c r="Y952" s="3038"/>
      <c r="Z952" s="3038"/>
      <c r="AA952" s="3113"/>
      <c r="AB952" s="3038"/>
      <c r="AC952" s="3038"/>
      <c r="AD952" s="3038"/>
      <c r="AE952" s="3132"/>
      <c r="AF952" s="3038"/>
      <c r="AG952" s="3038"/>
      <c r="AH952" s="3038"/>
      <c r="AK952" s="3038"/>
      <c r="AL952" s="3038"/>
      <c r="AM952" s="3038"/>
      <c r="AN952" s="3038"/>
      <c r="AO952" s="3038"/>
      <c r="AP952" s="3038"/>
      <c r="AQ952" s="3038"/>
      <c r="AR952" s="3038"/>
      <c r="AS952" s="3038"/>
      <c r="AT952" s="3038"/>
      <c r="AU952" s="3038"/>
      <c r="AV952" s="3038"/>
      <c r="AW952" s="3038"/>
      <c r="AX952" s="3038"/>
      <c r="AY952" s="3038"/>
      <c r="AZ952" s="3038"/>
      <c r="BA952" s="3038"/>
      <c r="BB952" s="3038"/>
      <c r="BC952" s="3038"/>
      <c r="BD952" s="3038"/>
      <c r="BE952" s="3038"/>
      <c r="BF952" s="3038"/>
      <c r="BG952" s="3038"/>
      <c r="BH952" s="3038"/>
      <c r="BI952" s="3038"/>
      <c r="BJ952" s="3038"/>
      <c r="BK952" s="3038"/>
      <c r="BL952" s="3038"/>
      <c r="BM952" s="3038"/>
      <c r="BN952" s="3038"/>
      <c r="BO952" s="3038"/>
      <c r="BP952" s="3038"/>
      <c r="BQ952" s="3038"/>
      <c r="BR952" s="3038"/>
      <c r="BS952" s="3038"/>
      <c r="BT952" s="3038"/>
      <c r="BU952" s="3038"/>
    </row>
    <row r="953" spans="3:73">
      <c r="C953" s="3038"/>
      <c r="D953" s="3038"/>
      <c r="E953" s="3038"/>
      <c r="H953" s="3038"/>
      <c r="I953" s="3038"/>
      <c r="J953" s="3038"/>
      <c r="K953" s="3038"/>
      <c r="M953" s="3038"/>
      <c r="N953" s="3038"/>
      <c r="O953" s="3038"/>
      <c r="P953" s="3038"/>
      <c r="Q953" s="3038"/>
      <c r="R953" s="3038"/>
      <c r="S953" s="3038"/>
      <c r="T953" s="3038"/>
      <c r="W953" s="3038"/>
      <c r="X953" s="3038"/>
      <c r="Y953" s="3038"/>
      <c r="Z953" s="3038"/>
      <c r="AA953" s="3113"/>
      <c r="AB953" s="3038"/>
      <c r="AC953" s="3038"/>
      <c r="AD953" s="3038"/>
      <c r="AE953" s="3132"/>
      <c r="AF953" s="3038"/>
      <c r="AG953" s="3038"/>
      <c r="AH953" s="3038"/>
      <c r="AK953" s="3038"/>
      <c r="AL953" s="3038"/>
      <c r="AM953" s="3038"/>
      <c r="AN953" s="3038"/>
      <c r="AO953" s="3038"/>
      <c r="AP953" s="3038"/>
      <c r="AQ953" s="3038"/>
      <c r="AR953" s="3038"/>
      <c r="AS953" s="3038"/>
      <c r="AT953" s="3038"/>
      <c r="AU953" s="3038"/>
      <c r="AV953" s="3038"/>
      <c r="AW953" s="3038"/>
      <c r="AX953" s="3038"/>
      <c r="AY953" s="3038"/>
      <c r="AZ953" s="3038"/>
      <c r="BA953" s="3038"/>
      <c r="BB953" s="3038"/>
      <c r="BC953" s="3038"/>
      <c r="BD953" s="3038"/>
      <c r="BE953" s="3038"/>
      <c r="BF953" s="3038"/>
      <c r="BG953" s="3038"/>
      <c r="BH953" s="3038"/>
      <c r="BI953" s="3038"/>
      <c r="BJ953" s="3038"/>
      <c r="BK953" s="3038"/>
      <c r="BL953" s="3038"/>
      <c r="BM953" s="3038"/>
      <c r="BN953" s="3038"/>
      <c r="BO953" s="3038"/>
      <c r="BP953" s="3038"/>
      <c r="BQ953" s="3038"/>
      <c r="BR953" s="3038"/>
      <c r="BS953" s="3038"/>
      <c r="BT953" s="3038"/>
      <c r="BU953" s="3038"/>
    </row>
    <row r="954" spans="3:73">
      <c r="C954" s="3038"/>
      <c r="D954" s="3038"/>
      <c r="E954" s="3038"/>
      <c r="H954" s="3038"/>
      <c r="I954" s="3038"/>
      <c r="J954" s="3038"/>
      <c r="K954" s="3038"/>
      <c r="M954" s="3038"/>
      <c r="N954" s="3038"/>
      <c r="O954" s="3038"/>
      <c r="P954" s="3038"/>
      <c r="Q954" s="3038"/>
      <c r="R954" s="3038"/>
      <c r="S954" s="3038"/>
      <c r="T954" s="3038"/>
      <c r="W954" s="3038"/>
      <c r="X954" s="3038"/>
      <c r="Y954" s="3038"/>
      <c r="Z954" s="3038"/>
      <c r="AA954" s="3113"/>
      <c r="AB954" s="3038"/>
      <c r="AC954" s="3038"/>
      <c r="AD954" s="3038"/>
      <c r="AE954" s="3132"/>
      <c r="AF954" s="3038"/>
      <c r="AG954" s="3038"/>
      <c r="AH954" s="3038"/>
      <c r="AK954" s="3038"/>
      <c r="AL954" s="3038"/>
      <c r="AM954" s="3038"/>
      <c r="AN954" s="3038"/>
      <c r="AO954" s="3038"/>
      <c r="AP954" s="3038"/>
      <c r="AQ954" s="3038"/>
      <c r="AR954" s="3038"/>
      <c r="AS954" s="3038"/>
      <c r="AT954" s="3038"/>
      <c r="AU954" s="3038"/>
      <c r="AV954" s="3038"/>
      <c r="AW954" s="3038"/>
      <c r="AX954" s="3038"/>
      <c r="AY954" s="3038"/>
      <c r="AZ954" s="3038"/>
      <c r="BA954" s="3038"/>
      <c r="BB954" s="3038"/>
      <c r="BC954" s="3038"/>
      <c r="BD954" s="3038"/>
      <c r="BE954" s="3038"/>
      <c r="BF954" s="3038"/>
      <c r="BG954" s="3038"/>
      <c r="BH954" s="3038"/>
      <c r="BI954" s="3038"/>
      <c r="BJ954" s="3038"/>
      <c r="BK954" s="3038"/>
      <c r="BL954" s="3038"/>
      <c r="BM954" s="3038"/>
      <c r="BN954" s="3038"/>
      <c r="BO954" s="3038"/>
      <c r="BP954" s="3038"/>
      <c r="BQ954" s="3038"/>
      <c r="BR954" s="3038"/>
      <c r="BS954" s="3038"/>
      <c r="BT954" s="3038"/>
      <c r="BU954" s="3038"/>
    </row>
    <row r="955" spans="3:73">
      <c r="C955" s="3038"/>
      <c r="D955" s="3038"/>
      <c r="E955" s="3038"/>
      <c r="H955" s="3038"/>
      <c r="I955" s="3038"/>
      <c r="J955" s="3038"/>
      <c r="K955" s="3038"/>
      <c r="M955" s="3038"/>
      <c r="N955" s="3038"/>
      <c r="O955" s="3038"/>
      <c r="P955" s="3038"/>
      <c r="Q955" s="3038"/>
      <c r="R955" s="3038"/>
      <c r="S955" s="3038"/>
      <c r="T955" s="3038"/>
      <c r="W955" s="3038"/>
      <c r="X955" s="3038"/>
      <c r="Y955" s="3038"/>
      <c r="Z955" s="3038"/>
      <c r="AA955" s="3113"/>
      <c r="AB955" s="3038"/>
      <c r="AC955" s="3038"/>
      <c r="AD955" s="3038"/>
      <c r="AE955" s="3132"/>
      <c r="AF955" s="3038"/>
      <c r="AG955" s="3038"/>
      <c r="AH955" s="3038"/>
      <c r="AK955" s="3038"/>
      <c r="AL955" s="3038"/>
      <c r="AM955" s="3038"/>
      <c r="AN955" s="3038"/>
      <c r="AO955" s="3038"/>
      <c r="AP955" s="3038"/>
      <c r="AQ955" s="3038"/>
      <c r="AR955" s="3038"/>
      <c r="AS955" s="3038"/>
      <c r="AT955" s="3038"/>
      <c r="AU955" s="3038"/>
      <c r="AV955" s="3038"/>
      <c r="AW955" s="3038"/>
      <c r="AX955" s="3038"/>
      <c r="AY955" s="3038"/>
      <c r="AZ955" s="3038"/>
      <c r="BA955" s="3038"/>
      <c r="BB955" s="3038"/>
      <c r="BC955" s="3038"/>
      <c r="BD955" s="3038"/>
      <c r="BE955" s="3038"/>
      <c r="BF955" s="3038"/>
      <c r="BG955" s="3038"/>
      <c r="BH955" s="3038"/>
      <c r="BI955" s="3038"/>
      <c r="BJ955" s="3038"/>
      <c r="BK955" s="3038"/>
      <c r="BL955" s="3038"/>
      <c r="BM955" s="3038"/>
      <c r="BN955" s="3038"/>
      <c r="BO955" s="3038"/>
      <c r="BP955" s="3038"/>
      <c r="BQ955" s="3038"/>
      <c r="BR955" s="3038"/>
      <c r="BS955" s="3038"/>
      <c r="BT955" s="3038"/>
      <c r="BU955" s="3038"/>
    </row>
    <row r="956" spans="3:73">
      <c r="C956" s="3038"/>
      <c r="D956" s="3038"/>
      <c r="E956" s="3038"/>
      <c r="H956" s="3038"/>
      <c r="I956" s="3038"/>
      <c r="J956" s="3038"/>
      <c r="K956" s="3038"/>
      <c r="M956" s="3038"/>
      <c r="N956" s="3038"/>
      <c r="O956" s="3038"/>
      <c r="P956" s="3038"/>
      <c r="Q956" s="3038"/>
      <c r="R956" s="3038"/>
      <c r="S956" s="3038"/>
      <c r="T956" s="3038"/>
      <c r="W956" s="3038"/>
      <c r="X956" s="3038"/>
      <c r="Y956" s="3038"/>
      <c r="Z956" s="3038"/>
      <c r="AA956" s="3113"/>
      <c r="AB956" s="3038"/>
      <c r="AC956" s="3038"/>
      <c r="AD956" s="3038"/>
      <c r="AE956" s="3132"/>
      <c r="AF956" s="3038"/>
      <c r="AG956" s="3038"/>
      <c r="AH956" s="3038"/>
      <c r="AK956" s="3038"/>
      <c r="AL956" s="3038"/>
      <c r="AM956" s="3038"/>
      <c r="AN956" s="3038"/>
      <c r="AO956" s="3038"/>
      <c r="AP956" s="3038"/>
      <c r="AQ956" s="3038"/>
      <c r="AR956" s="3038"/>
      <c r="AS956" s="3038"/>
      <c r="AT956" s="3038"/>
      <c r="AU956" s="3038"/>
      <c r="AV956" s="3038"/>
      <c r="AW956" s="3038"/>
      <c r="AX956" s="3038"/>
      <c r="AY956" s="3038"/>
      <c r="AZ956" s="3038"/>
      <c r="BA956" s="3038"/>
      <c r="BB956" s="3038"/>
      <c r="BC956" s="3038"/>
      <c r="BD956" s="3038"/>
      <c r="BE956" s="3038"/>
      <c r="BF956" s="3038"/>
      <c r="BG956" s="3038"/>
      <c r="BH956" s="3038"/>
      <c r="BI956" s="3038"/>
      <c r="BJ956" s="3038"/>
      <c r="BK956" s="3038"/>
      <c r="BL956" s="3038"/>
      <c r="BM956" s="3038"/>
      <c r="BN956" s="3038"/>
      <c r="BO956" s="3038"/>
      <c r="BP956" s="3038"/>
      <c r="BQ956" s="3038"/>
      <c r="BR956" s="3038"/>
      <c r="BS956" s="3038"/>
      <c r="BT956" s="3038"/>
      <c r="BU956" s="3038"/>
    </row>
    <row r="957" spans="3:73">
      <c r="C957" s="3038"/>
      <c r="D957" s="3038"/>
      <c r="E957" s="3038"/>
      <c r="H957" s="3038"/>
      <c r="I957" s="3038"/>
      <c r="J957" s="3038"/>
      <c r="K957" s="3038"/>
      <c r="M957" s="3038"/>
      <c r="N957" s="3038"/>
      <c r="O957" s="3038"/>
      <c r="P957" s="3038"/>
      <c r="Q957" s="3038"/>
      <c r="R957" s="3038"/>
      <c r="S957" s="3038"/>
      <c r="T957" s="3038"/>
      <c r="W957" s="3038"/>
      <c r="X957" s="3038"/>
      <c r="Y957" s="3038"/>
      <c r="Z957" s="3038"/>
      <c r="AA957" s="3113"/>
      <c r="AB957" s="3038"/>
      <c r="AC957" s="3038"/>
      <c r="AD957" s="3038"/>
      <c r="AE957" s="3132"/>
      <c r="AF957" s="3038"/>
      <c r="AG957" s="3038"/>
      <c r="AH957" s="3038"/>
      <c r="AK957" s="3038"/>
      <c r="AL957" s="3038"/>
      <c r="AM957" s="3038"/>
      <c r="AN957" s="3038"/>
      <c r="AO957" s="3038"/>
      <c r="AP957" s="3038"/>
      <c r="AQ957" s="3038"/>
      <c r="AR957" s="3038"/>
      <c r="AS957" s="3038"/>
      <c r="AT957" s="3038"/>
      <c r="AU957" s="3038"/>
      <c r="AV957" s="3038"/>
      <c r="AW957" s="3038"/>
      <c r="AX957" s="3038"/>
      <c r="AY957" s="3038"/>
      <c r="AZ957" s="3038"/>
      <c r="BA957" s="3038"/>
      <c r="BB957" s="3038"/>
      <c r="BC957" s="3038"/>
      <c r="BD957" s="3038"/>
      <c r="BE957" s="3038"/>
      <c r="BF957" s="3038"/>
      <c r="BG957" s="3038"/>
      <c r="BH957" s="3038"/>
      <c r="BI957" s="3038"/>
      <c r="BJ957" s="3038"/>
      <c r="BK957" s="3038"/>
      <c r="BL957" s="3038"/>
      <c r="BM957" s="3038"/>
      <c r="BN957" s="3038"/>
      <c r="BO957" s="3038"/>
      <c r="BP957" s="3038"/>
      <c r="BQ957" s="3038"/>
      <c r="BR957" s="3038"/>
      <c r="BS957" s="3038"/>
      <c r="BT957" s="3038"/>
      <c r="BU957" s="3038"/>
    </row>
    <row r="958" spans="3:73">
      <c r="C958" s="3038"/>
      <c r="D958" s="3038"/>
      <c r="E958" s="3038"/>
      <c r="H958" s="3038"/>
      <c r="I958" s="3038"/>
      <c r="J958" s="3038"/>
      <c r="K958" s="3038"/>
      <c r="M958" s="3038"/>
      <c r="N958" s="3038"/>
      <c r="O958" s="3038"/>
      <c r="P958" s="3038"/>
      <c r="Q958" s="3038"/>
      <c r="R958" s="3038"/>
      <c r="S958" s="3038"/>
      <c r="T958" s="3038"/>
      <c r="W958" s="3038"/>
      <c r="X958" s="3038"/>
      <c r="Y958" s="3038"/>
      <c r="Z958" s="3038"/>
      <c r="AA958" s="3113"/>
      <c r="AB958" s="3038"/>
      <c r="AC958" s="3038"/>
      <c r="AD958" s="3038"/>
      <c r="AE958" s="3132"/>
      <c r="AF958" s="3038"/>
      <c r="AG958" s="3038"/>
      <c r="AH958" s="3038"/>
      <c r="AK958" s="3038"/>
      <c r="AL958" s="3038"/>
      <c r="AM958" s="3038"/>
      <c r="AN958" s="3038"/>
      <c r="AO958" s="3038"/>
      <c r="AP958" s="3038"/>
      <c r="AQ958" s="3038"/>
      <c r="AR958" s="3038"/>
      <c r="AS958" s="3038"/>
      <c r="AT958" s="3038"/>
      <c r="AU958" s="3038"/>
      <c r="AV958" s="3038"/>
      <c r="AW958" s="3038"/>
      <c r="AX958" s="3038"/>
      <c r="AY958" s="3038"/>
      <c r="AZ958" s="3038"/>
      <c r="BA958" s="3038"/>
      <c r="BB958" s="3038"/>
      <c r="BC958" s="3038"/>
      <c r="BD958" s="3038"/>
      <c r="BE958" s="3038"/>
      <c r="BF958" s="3038"/>
      <c r="BG958" s="3038"/>
      <c r="BH958" s="3038"/>
      <c r="BI958" s="3038"/>
      <c r="BJ958" s="3038"/>
      <c r="BK958" s="3038"/>
      <c r="BL958" s="3038"/>
      <c r="BM958" s="3038"/>
      <c r="BN958" s="3038"/>
      <c r="BO958" s="3038"/>
      <c r="BP958" s="3038"/>
      <c r="BQ958" s="3038"/>
      <c r="BR958" s="3038"/>
      <c r="BS958" s="3038"/>
      <c r="BT958" s="3038"/>
      <c r="BU958" s="3038"/>
    </row>
    <row r="959" spans="3:73">
      <c r="C959" s="3038"/>
      <c r="D959" s="3038"/>
      <c r="E959" s="3038"/>
      <c r="H959" s="3038"/>
      <c r="I959" s="3038"/>
      <c r="J959" s="3038"/>
      <c r="K959" s="3038"/>
      <c r="M959" s="3038"/>
      <c r="N959" s="3038"/>
      <c r="O959" s="3038"/>
      <c r="P959" s="3038"/>
      <c r="Q959" s="3038"/>
      <c r="R959" s="3038"/>
      <c r="S959" s="3038"/>
      <c r="T959" s="3038"/>
      <c r="W959" s="3038"/>
      <c r="X959" s="3038"/>
      <c r="Y959" s="3038"/>
      <c r="Z959" s="3038"/>
      <c r="AA959" s="3113"/>
      <c r="AB959" s="3038"/>
      <c r="AC959" s="3038"/>
      <c r="AD959" s="3038"/>
      <c r="AE959" s="3132"/>
      <c r="AF959" s="3038"/>
      <c r="AG959" s="3038"/>
      <c r="AH959" s="3038"/>
      <c r="AK959" s="3038"/>
      <c r="AL959" s="3038"/>
      <c r="AM959" s="3038"/>
      <c r="AN959" s="3038"/>
      <c r="AO959" s="3038"/>
      <c r="AP959" s="3038"/>
      <c r="AQ959" s="3038"/>
      <c r="AR959" s="3038"/>
      <c r="AS959" s="3038"/>
      <c r="AT959" s="3038"/>
      <c r="AU959" s="3038"/>
      <c r="AV959" s="3038"/>
      <c r="AW959" s="3038"/>
      <c r="AX959" s="3038"/>
      <c r="AY959" s="3038"/>
      <c r="AZ959" s="3038"/>
      <c r="BA959" s="3038"/>
      <c r="BB959" s="3038"/>
      <c r="BC959" s="3038"/>
      <c r="BD959" s="3038"/>
      <c r="BE959" s="3038"/>
      <c r="BF959" s="3038"/>
      <c r="BG959" s="3038"/>
      <c r="BH959" s="3038"/>
      <c r="BI959" s="3038"/>
      <c r="BJ959" s="3038"/>
      <c r="BK959" s="3038"/>
      <c r="BL959" s="3038"/>
      <c r="BM959" s="3038"/>
      <c r="BN959" s="3038"/>
      <c r="BO959" s="3038"/>
      <c r="BP959" s="3038"/>
      <c r="BQ959" s="3038"/>
      <c r="BR959" s="3038"/>
      <c r="BS959" s="3038"/>
      <c r="BT959" s="3038"/>
      <c r="BU959" s="3038"/>
    </row>
    <row r="960" spans="3:73">
      <c r="C960" s="3038"/>
      <c r="D960" s="3038"/>
      <c r="E960" s="3038"/>
      <c r="H960" s="3038"/>
      <c r="I960" s="3038"/>
      <c r="J960" s="3038"/>
      <c r="K960" s="3038"/>
      <c r="M960" s="3038"/>
      <c r="N960" s="3038"/>
      <c r="O960" s="3038"/>
      <c r="P960" s="3038"/>
      <c r="Q960" s="3038"/>
      <c r="R960" s="3038"/>
      <c r="S960" s="3038"/>
      <c r="T960" s="3038"/>
      <c r="W960" s="3038"/>
      <c r="X960" s="3038"/>
      <c r="Y960" s="3038"/>
      <c r="Z960" s="3038"/>
      <c r="AA960" s="3113"/>
      <c r="AB960" s="3038"/>
      <c r="AC960" s="3038"/>
      <c r="AD960" s="3038"/>
      <c r="AE960" s="3132"/>
      <c r="AF960" s="3038"/>
      <c r="AG960" s="3038"/>
      <c r="AH960" s="3038"/>
      <c r="AK960" s="3038"/>
      <c r="AL960" s="3038"/>
      <c r="AM960" s="3038"/>
      <c r="AN960" s="3038"/>
      <c r="AO960" s="3038"/>
      <c r="AP960" s="3038"/>
      <c r="AQ960" s="3038"/>
      <c r="AR960" s="3038"/>
      <c r="AS960" s="3038"/>
      <c r="AT960" s="3038"/>
      <c r="AU960" s="3038"/>
      <c r="AV960" s="3038"/>
      <c r="AW960" s="3038"/>
      <c r="AX960" s="3038"/>
      <c r="AY960" s="3038"/>
      <c r="AZ960" s="3038"/>
      <c r="BA960" s="3038"/>
      <c r="BB960" s="3038"/>
      <c r="BC960" s="3038"/>
      <c r="BD960" s="3038"/>
      <c r="BE960" s="3038"/>
      <c r="BF960" s="3038"/>
      <c r="BG960" s="3038"/>
      <c r="BH960" s="3038"/>
      <c r="BI960" s="3038"/>
      <c r="BJ960" s="3038"/>
      <c r="BK960" s="3038"/>
      <c r="BL960" s="3038"/>
      <c r="BM960" s="3038"/>
      <c r="BN960" s="3038"/>
      <c r="BO960" s="3038"/>
      <c r="BP960" s="3038"/>
      <c r="BQ960" s="3038"/>
      <c r="BR960" s="3038"/>
      <c r="BS960" s="3038"/>
      <c r="BT960" s="3038"/>
      <c r="BU960" s="3038"/>
    </row>
    <row r="961" spans="3:73">
      <c r="C961" s="3038"/>
      <c r="D961" s="3038"/>
      <c r="E961" s="3038"/>
      <c r="H961" s="3038"/>
      <c r="I961" s="3038"/>
      <c r="J961" s="3038"/>
      <c r="K961" s="3038"/>
      <c r="M961" s="3038"/>
      <c r="N961" s="3038"/>
      <c r="O961" s="3038"/>
      <c r="P961" s="3038"/>
      <c r="Q961" s="3038"/>
      <c r="R961" s="3038"/>
      <c r="S961" s="3038"/>
      <c r="T961" s="3038"/>
      <c r="W961" s="3038"/>
      <c r="X961" s="3038"/>
      <c r="Y961" s="3038"/>
      <c r="Z961" s="3038"/>
      <c r="AA961" s="3113"/>
      <c r="AB961" s="3038"/>
      <c r="AC961" s="3038"/>
      <c r="AD961" s="3038"/>
      <c r="AE961" s="3132"/>
      <c r="AF961" s="3038"/>
      <c r="AG961" s="3038"/>
      <c r="AH961" s="3038"/>
      <c r="AK961" s="3038"/>
      <c r="AL961" s="3038"/>
      <c r="AM961" s="3038"/>
      <c r="AN961" s="3038"/>
      <c r="AO961" s="3038"/>
      <c r="AP961" s="3038"/>
      <c r="AQ961" s="3038"/>
      <c r="AR961" s="3038"/>
      <c r="AS961" s="3038"/>
      <c r="AT961" s="3038"/>
      <c r="AU961" s="3038"/>
      <c r="AV961" s="3038"/>
      <c r="AW961" s="3038"/>
      <c r="AX961" s="3038"/>
      <c r="AY961" s="3038"/>
      <c r="AZ961" s="3038"/>
      <c r="BA961" s="3038"/>
      <c r="BB961" s="3038"/>
      <c r="BC961" s="3038"/>
      <c r="BD961" s="3038"/>
      <c r="BE961" s="3038"/>
      <c r="BF961" s="3038"/>
      <c r="BG961" s="3038"/>
      <c r="BH961" s="3038"/>
      <c r="BI961" s="3038"/>
      <c r="BJ961" s="3038"/>
      <c r="BK961" s="3038"/>
      <c r="BL961" s="3038"/>
      <c r="BM961" s="3038"/>
      <c r="BN961" s="3038"/>
      <c r="BO961" s="3038"/>
      <c r="BP961" s="3038"/>
      <c r="BQ961" s="3038"/>
      <c r="BR961" s="3038"/>
      <c r="BS961" s="3038"/>
      <c r="BT961" s="3038"/>
      <c r="BU961" s="3038"/>
    </row>
    <row r="962" spans="3:73">
      <c r="C962" s="3038"/>
      <c r="D962" s="3038"/>
      <c r="E962" s="3038"/>
      <c r="H962" s="3038"/>
      <c r="I962" s="3038"/>
      <c r="J962" s="3038"/>
      <c r="K962" s="3038"/>
      <c r="M962" s="3038"/>
      <c r="N962" s="3038"/>
      <c r="O962" s="3038"/>
      <c r="P962" s="3038"/>
      <c r="Q962" s="3038"/>
      <c r="R962" s="3038"/>
      <c r="S962" s="3038"/>
      <c r="T962" s="3038"/>
      <c r="W962" s="3038"/>
      <c r="X962" s="3038"/>
      <c r="Y962" s="3038"/>
      <c r="Z962" s="3038"/>
      <c r="AA962" s="3113"/>
      <c r="AB962" s="3038"/>
      <c r="AC962" s="3038"/>
      <c r="AD962" s="3038"/>
      <c r="AE962" s="3132"/>
      <c r="AF962" s="3038"/>
      <c r="AG962" s="3038"/>
      <c r="AH962" s="3038"/>
      <c r="AK962" s="3038"/>
      <c r="AL962" s="3038"/>
      <c r="AM962" s="3038"/>
      <c r="AN962" s="3038"/>
      <c r="AO962" s="3038"/>
      <c r="AP962" s="3038"/>
      <c r="AQ962" s="3038"/>
      <c r="AR962" s="3038"/>
      <c r="AS962" s="3038"/>
      <c r="AT962" s="3038"/>
      <c r="AU962" s="3038"/>
      <c r="AV962" s="3038"/>
      <c r="AW962" s="3038"/>
      <c r="AX962" s="3038"/>
      <c r="AY962" s="3038"/>
      <c r="AZ962" s="3038"/>
      <c r="BA962" s="3038"/>
      <c r="BB962" s="3038"/>
      <c r="BC962" s="3038"/>
      <c r="BD962" s="3038"/>
      <c r="BE962" s="3038"/>
      <c r="BF962" s="3038"/>
      <c r="BG962" s="3038"/>
      <c r="BH962" s="3038"/>
      <c r="BI962" s="3038"/>
      <c r="BJ962" s="3038"/>
      <c r="BK962" s="3038"/>
      <c r="BL962" s="3038"/>
      <c r="BM962" s="3038"/>
      <c r="BN962" s="3038"/>
      <c r="BO962" s="3038"/>
      <c r="BP962" s="3038"/>
      <c r="BQ962" s="3038"/>
      <c r="BR962" s="3038"/>
      <c r="BS962" s="3038"/>
      <c r="BT962" s="3038"/>
      <c r="BU962" s="3038"/>
    </row>
    <row r="963" spans="3:73">
      <c r="C963" s="3038"/>
      <c r="D963" s="3038"/>
      <c r="E963" s="3038"/>
      <c r="H963" s="3038"/>
      <c r="I963" s="3038"/>
      <c r="J963" s="3038"/>
      <c r="K963" s="3038"/>
      <c r="M963" s="3038"/>
      <c r="N963" s="3038"/>
      <c r="O963" s="3038"/>
      <c r="P963" s="3038"/>
      <c r="Q963" s="3038"/>
      <c r="R963" s="3038"/>
      <c r="S963" s="3038"/>
      <c r="T963" s="3038"/>
      <c r="W963" s="3038"/>
      <c r="X963" s="3038"/>
      <c r="Y963" s="3038"/>
      <c r="Z963" s="3038"/>
      <c r="AA963" s="3113"/>
      <c r="AB963" s="3038"/>
      <c r="AC963" s="3038"/>
      <c r="AD963" s="3038"/>
      <c r="AE963" s="3132"/>
      <c r="AF963" s="3038"/>
      <c r="AG963" s="3038"/>
      <c r="AH963" s="3038"/>
      <c r="AK963" s="3038"/>
      <c r="AL963" s="3038"/>
      <c r="AM963" s="3038"/>
      <c r="AN963" s="3038"/>
      <c r="AO963" s="3038"/>
      <c r="AP963" s="3038"/>
      <c r="AQ963" s="3038"/>
      <c r="AR963" s="3038"/>
      <c r="AS963" s="3038"/>
      <c r="AT963" s="3038"/>
      <c r="AU963" s="3038"/>
      <c r="AV963" s="3038"/>
      <c r="AW963" s="3038"/>
      <c r="AX963" s="3038"/>
      <c r="AY963" s="3038"/>
      <c r="AZ963" s="3038"/>
      <c r="BA963" s="3038"/>
      <c r="BB963" s="3038"/>
      <c r="BC963" s="3038"/>
      <c r="BD963" s="3038"/>
      <c r="BE963" s="3038"/>
      <c r="BF963" s="3038"/>
      <c r="BG963" s="3038"/>
      <c r="BH963" s="3038"/>
      <c r="BI963" s="3038"/>
      <c r="BJ963" s="3038"/>
      <c r="BK963" s="3038"/>
      <c r="BL963" s="3038"/>
      <c r="BM963" s="3038"/>
      <c r="BN963" s="3038"/>
      <c r="BO963" s="3038"/>
      <c r="BP963" s="3038"/>
      <c r="BQ963" s="3038"/>
      <c r="BR963" s="3038"/>
      <c r="BS963" s="3038"/>
      <c r="BT963" s="3038"/>
      <c r="BU963" s="3038"/>
    </row>
    <row r="964" spans="3:73">
      <c r="C964" s="3038"/>
      <c r="D964" s="3038"/>
      <c r="E964" s="3038"/>
      <c r="H964" s="3038"/>
      <c r="I964" s="3038"/>
      <c r="J964" s="3038"/>
      <c r="K964" s="3038"/>
      <c r="M964" s="3038"/>
      <c r="N964" s="3038"/>
      <c r="O964" s="3038"/>
      <c r="P964" s="3038"/>
      <c r="Q964" s="3038"/>
      <c r="R964" s="3038"/>
      <c r="S964" s="3038"/>
      <c r="T964" s="3038"/>
      <c r="W964" s="3038"/>
      <c r="X964" s="3038"/>
      <c r="Y964" s="3038"/>
      <c r="Z964" s="3038"/>
      <c r="AA964" s="3113"/>
      <c r="AB964" s="3038"/>
      <c r="AC964" s="3038"/>
      <c r="AD964" s="3038"/>
      <c r="AE964" s="3132"/>
      <c r="AF964" s="3038"/>
      <c r="AG964" s="3038"/>
      <c r="AH964" s="3038"/>
      <c r="AK964" s="3038"/>
      <c r="AL964" s="3038"/>
      <c r="AM964" s="3038"/>
      <c r="AN964" s="3038"/>
      <c r="AO964" s="3038"/>
      <c r="AP964" s="3038"/>
      <c r="AQ964" s="3038"/>
      <c r="AR964" s="3038"/>
      <c r="AS964" s="3038"/>
      <c r="AT964" s="3038"/>
      <c r="AU964" s="3038"/>
      <c r="AV964" s="3038"/>
      <c r="AW964" s="3038"/>
      <c r="AX964" s="3038"/>
      <c r="AY964" s="3038"/>
      <c r="AZ964" s="3038"/>
      <c r="BA964" s="3038"/>
      <c r="BB964" s="3038"/>
      <c r="BC964" s="3038"/>
      <c r="BD964" s="3038"/>
      <c r="BE964" s="3038"/>
      <c r="BF964" s="3038"/>
      <c r="BG964" s="3038"/>
      <c r="BH964" s="3038"/>
      <c r="BI964" s="3038"/>
      <c r="BJ964" s="3038"/>
      <c r="BK964" s="3038"/>
      <c r="BL964" s="3038"/>
      <c r="BM964" s="3038"/>
      <c r="BN964" s="3038"/>
      <c r="BO964" s="3038"/>
      <c r="BP964" s="3038"/>
      <c r="BQ964" s="3038"/>
      <c r="BR964" s="3038"/>
      <c r="BS964" s="3038"/>
      <c r="BT964" s="3038"/>
      <c r="BU964" s="3038"/>
    </row>
    <row r="965" spans="3:73">
      <c r="C965" s="3038"/>
      <c r="D965" s="3038"/>
      <c r="E965" s="3038"/>
      <c r="H965" s="3038"/>
      <c r="I965" s="3038"/>
      <c r="J965" s="3038"/>
      <c r="K965" s="3038"/>
      <c r="M965" s="3038"/>
      <c r="N965" s="3038"/>
      <c r="O965" s="3038"/>
      <c r="P965" s="3038"/>
      <c r="Q965" s="3038"/>
      <c r="R965" s="3038"/>
      <c r="S965" s="3038"/>
      <c r="T965" s="3038"/>
      <c r="W965" s="3038"/>
      <c r="X965" s="3038"/>
      <c r="Y965" s="3038"/>
      <c r="Z965" s="3038"/>
      <c r="AA965" s="3113"/>
      <c r="AB965" s="3038"/>
      <c r="AC965" s="3038"/>
      <c r="AD965" s="3038"/>
      <c r="AE965" s="3132"/>
      <c r="AF965" s="3038"/>
      <c r="AG965" s="3038"/>
      <c r="AH965" s="3038"/>
      <c r="AK965" s="3038"/>
      <c r="AL965" s="3038"/>
      <c r="AM965" s="3038"/>
      <c r="AN965" s="3038"/>
      <c r="AO965" s="3038"/>
      <c r="AP965" s="3038"/>
      <c r="AQ965" s="3038"/>
      <c r="AR965" s="3038"/>
      <c r="AS965" s="3038"/>
      <c r="AT965" s="3038"/>
      <c r="AU965" s="3038"/>
      <c r="AV965" s="3038"/>
      <c r="AW965" s="3038"/>
      <c r="AX965" s="3038"/>
      <c r="AY965" s="3038"/>
      <c r="AZ965" s="3038"/>
      <c r="BA965" s="3038"/>
      <c r="BB965" s="3038"/>
      <c r="BC965" s="3038"/>
      <c r="BD965" s="3038"/>
      <c r="BE965" s="3038"/>
      <c r="BF965" s="3038"/>
      <c r="BG965" s="3038"/>
      <c r="BH965" s="3038"/>
      <c r="BI965" s="3038"/>
      <c r="BJ965" s="3038"/>
      <c r="BK965" s="3038"/>
      <c r="BL965" s="3038"/>
      <c r="BM965" s="3038"/>
      <c r="BN965" s="3038"/>
      <c r="BO965" s="3038"/>
      <c r="BP965" s="3038"/>
      <c r="BQ965" s="3038"/>
      <c r="BR965" s="3038"/>
      <c r="BS965" s="3038"/>
      <c r="BT965" s="3038"/>
      <c r="BU965" s="3038"/>
    </row>
    <row r="966" spans="3:73">
      <c r="C966" s="3038"/>
      <c r="D966" s="3038"/>
      <c r="E966" s="3038"/>
      <c r="H966" s="3038"/>
      <c r="I966" s="3038"/>
      <c r="J966" s="3038"/>
      <c r="K966" s="3038"/>
      <c r="M966" s="3038"/>
      <c r="N966" s="3038"/>
      <c r="O966" s="3038"/>
      <c r="P966" s="3038"/>
      <c r="Q966" s="3038"/>
      <c r="R966" s="3038"/>
      <c r="S966" s="3038"/>
      <c r="T966" s="3038"/>
      <c r="W966" s="3038"/>
      <c r="X966" s="3038"/>
      <c r="Y966" s="3038"/>
      <c r="Z966" s="3038"/>
      <c r="AA966" s="3113"/>
      <c r="AB966" s="3038"/>
      <c r="AC966" s="3038"/>
      <c r="AD966" s="3038"/>
      <c r="AE966" s="3132"/>
      <c r="AF966" s="3038"/>
      <c r="AG966" s="3038"/>
      <c r="AH966" s="3038"/>
      <c r="AK966" s="3038"/>
      <c r="AL966" s="3038"/>
      <c r="AM966" s="3038"/>
      <c r="AN966" s="3038"/>
      <c r="AO966" s="3038"/>
      <c r="AP966" s="3038"/>
      <c r="AQ966" s="3038"/>
      <c r="AR966" s="3038"/>
      <c r="AS966" s="3038"/>
      <c r="AT966" s="3038"/>
      <c r="AU966" s="3038"/>
      <c r="AV966" s="3038"/>
      <c r="AW966" s="3038"/>
      <c r="AX966" s="3038"/>
      <c r="AY966" s="3038"/>
      <c r="AZ966" s="3038"/>
      <c r="BA966" s="3038"/>
      <c r="BB966" s="3038"/>
      <c r="BC966" s="3038"/>
      <c r="BD966" s="3038"/>
      <c r="BE966" s="3038"/>
      <c r="BF966" s="3038"/>
      <c r="BG966" s="3038"/>
      <c r="BH966" s="3038"/>
      <c r="BI966" s="3038"/>
      <c r="BJ966" s="3038"/>
      <c r="BK966" s="3038"/>
      <c r="BL966" s="3038"/>
      <c r="BM966" s="3038"/>
      <c r="BN966" s="3038"/>
      <c r="BO966" s="3038"/>
      <c r="BP966" s="3038"/>
      <c r="BQ966" s="3038"/>
      <c r="BR966" s="3038"/>
      <c r="BS966" s="3038"/>
      <c r="BT966" s="3038"/>
      <c r="BU966" s="3038"/>
    </row>
    <row r="967" spans="3:73">
      <c r="C967" s="3038"/>
      <c r="D967" s="3038"/>
      <c r="E967" s="3038"/>
      <c r="H967" s="3038"/>
      <c r="I967" s="3038"/>
      <c r="J967" s="3038"/>
      <c r="K967" s="3038"/>
      <c r="M967" s="3038"/>
      <c r="N967" s="3038"/>
      <c r="O967" s="3038"/>
      <c r="P967" s="3038"/>
      <c r="Q967" s="3038"/>
      <c r="R967" s="3038"/>
      <c r="S967" s="3038"/>
      <c r="T967" s="3038"/>
      <c r="W967" s="3038"/>
      <c r="X967" s="3038"/>
      <c r="Y967" s="3038"/>
      <c r="Z967" s="3038"/>
      <c r="AA967" s="3113"/>
      <c r="AB967" s="3038"/>
      <c r="AC967" s="3038"/>
      <c r="AD967" s="3038"/>
      <c r="AE967" s="3132"/>
      <c r="AF967" s="3038"/>
      <c r="AG967" s="3038"/>
      <c r="AH967" s="3038"/>
      <c r="AK967" s="3038"/>
      <c r="AL967" s="3038"/>
      <c r="AM967" s="3038"/>
      <c r="AN967" s="3038"/>
      <c r="AO967" s="3038"/>
      <c r="AP967" s="3038"/>
      <c r="AQ967" s="3038"/>
      <c r="AR967" s="3038"/>
      <c r="AS967" s="3038"/>
      <c r="AT967" s="3038"/>
      <c r="AU967" s="3038"/>
      <c r="AV967" s="3038"/>
      <c r="AW967" s="3038"/>
      <c r="AX967" s="3038"/>
      <c r="AY967" s="3038"/>
      <c r="AZ967" s="3038"/>
      <c r="BA967" s="3038"/>
      <c r="BB967" s="3038"/>
      <c r="BC967" s="3038"/>
      <c r="BD967" s="3038"/>
      <c r="BE967" s="3038"/>
      <c r="BF967" s="3038"/>
      <c r="BG967" s="3038"/>
      <c r="BH967" s="3038"/>
      <c r="BI967" s="3038"/>
      <c r="BJ967" s="3038"/>
      <c r="BK967" s="3038"/>
      <c r="BL967" s="3038"/>
      <c r="BM967" s="3038"/>
      <c r="BN967" s="3038"/>
      <c r="BO967" s="3038"/>
      <c r="BP967" s="3038"/>
      <c r="BQ967" s="3038"/>
      <c r="BR967" s="3038"/>
      <c r="BS967" s="3038"/>
      <c r="BT967" s="3038"/>
      <c r="BU967" s="3038"/>
    </row>
    <row r="968" spans="3:73">
      <c r="C968" s="3038"/>
      <c r="D968" s="3038"/>
      <c r="E968" s="3038"/>
      <c r="H968" s="3038"/>
      <c r="I968" s="3038"/>
      <c r="J968" s="3038"/>
      <c r="K968" s="3038"/>
      <c r="M968" s="3038"/>
      <c r="N968" s="3038"/>
      <c r="O968" s="3038"/>
      <c r="P968" s="3038"/>
      <c r="Q968" s="3038"/>
      <c r="R968" s="3038"/>
      <c r="S968" s="3038"/>
      <c r="T968" s="3038"/>
      <c r="W968" s="3038"/>
      <c r="X968" s="3038"/>
      <c r="Y968" s="3038"/>
      <c r="Z968" s="3038"/>
      <c r="AA968" s="3113"/>
      <c r="AB968" s="3038"/>
      <c r="AC968" s="3038"/>
      <c r="AD968" s="3038"/>
      <c r="AE968" s="3132"/>
      <c r="AF968" s="3038"/>
      <c r="AG968" s="3038"/>
      <c r="AH968" s="3038"/>
      <c r="AK968" s="3038"/>
      <c r="AL968" s="3038"/>
      <c r="AM968" s="3038"/>
      <c r="AN968" s="3038"/>
      <c r="AO968" s="3038"/>
      <c r="AP968" s="3038"/>
      <c r="AQ968" s="3038"/>
      <c r="AR968" s="3038"/>
      <c r="AS968" s="3038"/>
      <c r="AT968" s="3038"/>
      <c r="AU968" s="3038"/>
      <c r="AV968" s="3038"/>
      <c r="AW968" s="3038"/>
      <c r="AX968" s="3038"/>
      <c r="AY968" s="3038"/>
      <c r="AZ968" s="3038"/>
      <c r="BA968" s="3038"/>
      <c r="BB968" s="3038"/>
      <c r="BC968" s="3038"/>
      <c r="BD968" s="3038"/>
      <c r="BE968" s="3038"/>
      <c r="BF968" s="3038"/>
      <c r="BG968" s="3038"/>
      <c r="BH968" s="3038"/>
      <c r="BI968" s="3038"/>
      <c r="BJ968" s="3038"/>
      <c r="BK968" s="3038"/>
      <c r="BL968" s="3038"/>
      <c r="BM968" s="3038"/>
      <c r="BN968" s="3038"/>
      <c r="BO968" s="3038"/>
      <c r="BP968" s="3038"/>
      <c r="BQ968" s="3038"/>
      <c r="BR968" s="3038"/>
      <c r="BS968" s="3038"/>
      <c r="BT968" s="3038"/>
      <c r="BU968" s="3038"/>
    </row>
    <row r="969" spans="3:73">
      <c r="C969" s="3038"/>
      <c r="D969" s="3038"/>
      <c r="E969" s="3038"/>
      <c r="H969" s="3038"/>
      <c r="I969" s="3038"/>
      <c r="J969" s="3038"/>
      <c r="K969" s="3038"/>
      <c r="M969" s="3038"/>
      <c r="N969" s="3038"/>
      <c r="O969" s="3038"/>
      <c r="P969" s="3038"/>
      <c r="Q969" s="3038"/>
      <c r="R969" s="3038"/>
      <c r="S969" s="3038"/>
      <c r="T969" s="3038"/>
      <c r="W969" s="3038"/>
      <c r="X969" s="3038"/>
      <c r="Y969" s="3038"/>
      <c r="Z969" s="3038"/>
      <c r="AA969" s="3113"/>
      <c r="AB969" s="3038"/>
      <c r="AC969" s="3038"/>
      <c r="AD969" s="3038"/>
      <c r="AE969" s="3132"/>
      <c r="AF969" s="3038"/>
      <c r="AG969" s="3038"/>
      <c r="AH969" s="3038"/>
      <c r="AK969" s="3038"/>
      <c r="AL969" s="3038"/>
      <c r="AM969" s="3038"/>
      <c r="AN969" s="3038"/>
      <c r="AO969" s="3038"/>
      <c r="AP969" s="3038"/>
      <c r="AQ969" s="3038"/>
      <c r="AR969" s="3038"/>
      <c r="AS969" s="3038"/>
      <c r="AT969" s="3038"/>
      <c r="AU969" s="3038"/>
      <c r="AV969" s="3038"/>
      <c r="AW969" s="3038"/>
      <c r="AX969" s="3038"/>
      <c r="AY969" s="3038"/>
      <c r="AZ969" s="3038"/>
      <c r="BA969" s="3038"/>
      <c r="BB969" s="3038"/>
      <c r="BC969" s="3038"/>
      <c r="BD969" s="3038"/>
      <c r="BE969" s="3038"/>
      <c r="BF969" s="3038"/>
      <c r="BG969" s="3038"/>
      <c r="BH969" s="3038"/>
      <c r="BI969" s="3038"/>
      <c r="BJ969" s="3038"/>
      <c r="BK969" s="3038"/>
      <c r="BL969" s="3038"/>
      <c r="BM969" s="3038"/>
      <c r="BN969" s="3038"/>
      <c r="BO969" s="3038"/>
      <c r="BP969" s="3038"/>
      <c r="BQ969" s="3038"/>
      <c r="BR969" s="3038"/>
      <c r="BS969" s="3038"/>
      <c r="BT969" s="3038"/>
      <c r="BU969" s="3038"/>
    </row>
    <row r="970" spans="3:73">
      <c r="C970" s="3038"/>
      <c r="D970" s="3038"/>
      <c r="E970" s="3038"/>
      <c r="H970" s="3038"/>
      <c r="I970" s="3038"/>
      <c r="J970" s="3038"/>
      <c r="K970" s="3038"/>
      <c r="M970" s="3038"/>
      <c r="N970" s="3038"/>
      <c r="O970" s="3038"/>
      <c r="P970" s="3038"/>
      <c r="Q970" s="3038"/>
      <c r="R970" s="3038"/>
      <c r="S970" s="3038"/>
      <c r="T970" s="3038"/>
      <c r="W970" s="3038"/>
      <c r="X970" s="3038"/>
      <c r="Y970" s="3038"/>
      <c r="Z970" s="3038"/>
      <c r="AA970" s="3113"/>
      <c r="AB970" s="3038"/>
      <c r="AC970" s="3038"/>
      <c r="AD970" s="3038"/>
      <c r="AE970" s="3132"/>
      <c r="AF970" s="3038"/>
      <c r="AG970" s="3038"/>
      <c r="AH970" s="3038"/>
      <c r="AK970" s="3038"/>
      <c r="AL970" s="3038"/>
      <c r="AM970" s="3038"/>
      <c r="AN970" s="3038"/>
      <c r="AO970" s="3038"/>
      <c r="AP970" s="3038"/>
      <c r="AQ970" s="3038"/>
      <c r="AR970" s="3038"/>
      <c r="AS970" s="3038"/>
      <c r="AT970" s="3038"/>
      <c r="AU970" s="3038"/>
      <c r="AV970" s="3038"/>
      <c r="AW970" s="3038"/>
      <c r="AX970" s="3038"/>
      <c r="AY970" s="3038"/>
      <c r="AZ970" s="3038"/>
      <c r="BA970" s="3038"/>
      <c r="BB970" s="3038"/>
      <c r="BC970" s="3038"/>
      <c r="BD970" s="3038"/>
      <c r="BE970" s="3038"/>
      <c r="BF970" s="3038"/>
      <c r="BG970" s="3038"/>
      <c r="BH970" s="3038"/>
      <c r="BI970" s="3038"/>
      <c r="BJ970" s="3038"/>
      <c r="BK970" s="3038"/>
      <c r="BL970" s="3038"/>
      <c r="BM970" s="3038"/>
      <c r="BN970" s="3038"/>
      <c r="BO970" s="3038"/>
      <c r="BP970" s="3038"/>
      <c r="BQ970" s="3038"/>
      <c r="BR970" s="3038"/>
      <c r="BS970" s="3038"/>
      <c r="BT970" s="3038"/>
      <c r="BU970" s="3038"/>
    </row>
    <row r="971" spans="3:73">
      <c r="C971" s="3038"/>
      <c r="D971" s="3038"/>
      <c r="E971" s="3038"/>
      <c r="H971" s="3038"/>
      <c r="I971" s="3038"/>
      <c r="J971" s="3038"/>
      <c r="K971" s="3038"/>
      <c r="M971" s="3038"/>
      <c r="N971" s="3038"/>
      <c r="O971" s="3038"/>
      <c r="P971" s="3038"/>
      <c r="Q971" s="3038"/>
      <c r="R971" s="3038"/>
      <c r="S971" s="3038"/>
      <c r="T971" s="3038"/>
      <c r="W971" s="3038"/>
      <c r="X971" s="3038"/>
      <c r="Y971" s="3038"/>
      <c r="Z971" s="3038"/>
      <c r="AA971" s="3113"/>
      <c r="AB971" s="3038"/>
      <c r="AC971" s="3038"/>
      <c r="AD971" s="3038"/>
      <c r="AE971" s="3132"/>
      <c r="AF971" s="3038"/>
      <c r="AG971" s="3038"/>
      <c r="AH971" s="3038"/>
      <c r="AK971" s="3038"/>
      <c r="AL971" s="3038"/>
      <c r="AM971" s="3038"/>
      <c r="AN971" s="3038"/>
      <c r="AO971" s="3038"/>
      <c r="AP971" s="3038"/>
      <c r="AQ971" s="3038"/>
      <c r="AR971" s="3038"/>
      <c r="AS971" s="3038"/>
      <c r="AT971" s="3038"/>
      <c r="AU971" s="3038"/>
      <c r="AV971" s="3038"/>
      <c r="AW971" s="3038"/>
      <c r="AX971" s="3038"/>
      <c r="AY971" s="3038"/>
      <c r="AZ971" s="3038"/>
      <c r="BA971" s="3038"/>
      <c r="BB971" s="3038"/>
      <c r="BC971" s="3038"/>
      <c r="BD971" s="3038"/>
      <c r="BE971" s="3038"/>
      <c r="BF971" s="3038"/>
      <c r="BG971" s="3038"/>
      <c r="BH971" s="3038"/>
      <c r="BI971" s="3038"/>
      <c r="BJ971" s="3038"/>
      <c r="BK971" s="3038"/>
      <c r="BL971" s="3038"/>
      <c r="BM971" s="3038"/>
      <c r="BN971" s="3038"/>
      <c r="BO971" s="3038"/>
      <c r="BP971" s="3038"/>
      <c r="BQ971" s="3038"/>
      <c r="BR971" s="3038"/>
      <c r="BS971" s="3038"/>
      <c r="BT971" s="3038"/>
      <c r="BU971" s="3038"/>
    </row>
    <row r="972" spans="3:73">
      <c r="C972" s="3038"/>
      <c r="D972" s="3038"/>
      <c r="E972" s="3038"/>
      <c r="H972" s="3038"/>
      <c r="I972" s="3038"/>
      <c r="J972" s="3038"/>
      <c r="K972" s="3038"/>
      <c r="M972" s="3038"/>
      <c r="N972" s="3038"/>
      <c r="O972" s="3038"/>
      <c r="P972" s="3038"/>
      <c r="Q972" s="3038"/>
      <c r="R972" s="3038"/>
      <c r="S972" s="3038"/>
      <c r="T972" s="3038"/>
      <c r="W972" s="3038"/>
      <c r="X972" s="3038"/>
      <c r="Y972" s="3038"/>
      <c r="Z972" s="3038"/>
      <c r="AA972" s="3113"/>
      <c r="AB972" s="3038"/>
      <c r="AC972" s="3038"/>
      <c r="AD972" s="3038"/>
      <c r="AE972" s="3132"/>
      <c r="AF972" s="3038"/>
      <c r="AG972" s="3038"/>
      <c r="AH972" s="3038"/>
      <c r="AK972" s="3038"/>
      <c r="AL972" s="3038"/>
      <c r="AM972" s="3038"/>
      <c r="AN972" s="3038"/>
      <c r="AO972" s="3038"/>
      <c r="AP972" s="3038"/>
      <c r="AQ972" s="3038"/>
      <c r="AR972" s="3038"/>
      <c r="AS972" s="3038"/>
      <c r="AT972" s="3038"/>
      <c r="AU972" s="3038"/>
      <c r="AV972" s="3038"/>
      <c r="AW972" s="3038"/>
      <c r="AX972" s="3038"/>
      <c r="AY972" s="3038"/>
      <c r="AZ972" s="3038"/>
      <c r="BA972" s="3038"/>
      <c r="BB972" s="3038"/>
      <c r="BC972" s="3038"/>
      <c r="BD972" s="3038"/>
      <c r="BE972" s="3038"/>
      <c r="BF972" s="3038"/>
      <c r="BG972" s="3038"/>
      <c r="BH972" s="3038"/>
      <c r="BI972" s="3038"/>
      <c r="BJ972" s="3038"/>
      <c r="BK972" s="3038"/>
      <c r="BL972" s="3038"/>
      <c r="BM972" s="3038"/>
      <c r="BN972" s="3038"/>
      <c r="BO972" s="3038"/>
      <c r="BP972" s="3038"/>
      <c r="BQ972" s="3038"/>
      <c r="BR972" s="3038"/>
      <c r="BS972" s="3038"/>
      <c r="BT972" s="3038"/>
      <c r="BU972" s="3038"/>
    </row>
    <row r="973" spans="3:73">
      <c r="C973" s="3038"/>
      <c r="D973" s="3038"/>
      <c r="E973" s="3038"/>
      <c r="H973" s="3038"/>
      <c r="I973" s="3038"/>
      <c r="J973" s="3038"/>
      <c r="K973" s="3038"/>
      <c r="M973" s="3038"/>
      <c r="N973" s="3038"/>
      <c r="O973" s="3038"/>
      <c r="P973" s="3038"/>
      <c r="Q973" s="3038"/>
      <c r="R973" s="3038"/>
      <c r="S973" s="3038"/>
      <c r="T973" s="3038"/>
      <c r="W973" s="3038"/>
      <c r="X973" s="3038"/>
      <c r="Y973" s="3038"/>
      <c r="Z973" s="3038"/>
      <c r="AA973" s="3113"/>
      <c r="AB973" s="3038"/>
      <c r="AC973" s="3038"/>
      <c r="AD973" s="3038"/>
      <c r="AE973" s="3132"/>
      <c r="AF973" s="3038"/>
      <c r="AG973" s="3038"/>
      <c r="AH973" s="3038"/>
      <c r="AK973" s="3038"/>
      <c r="AL973" s="3038"/>
      <c r="AM973" s="3038"/>
      <c r="AN973" s="3038"/>
      <c r="AO973" s="3038"/>
      <c r="AP973" s="3038"/>
      <c r="AQ973" s="3038"/>
      <c r="AR973" s="3038"/>
      <c r="AS973" s="3038"/>
      <c r="AT973" s="3038"/>
      <c r="AU973" s="3038"/>
      <c r="AV973" s="3038"/>
      <c r="AW973" s="3038"/>
      <c r="AX973" s="3038"/>
      <c r="AY973" s="3038"/>
      <c r="AZ973" s="3038"/>
      <c r="BA973" s="3038"/>
      <c r="BB973" s="3038"/>
      <c r="BC973" s="3038"/>
      <c r="BD973" s="3038"/>
      <c r="BE973" s="3038"/>
      <c r="BF973" s="3038"/>
      <c r="BG973" s="3038"/>
      <c r="BH973" s="3038"/>
      <c r="BI973" s="3038"/>
      <c r="BJ973" s="3038"/>
      <c r="BK973" s="3038"/>
      <c r="BL973" s="3038"/>
      <c r="BM973" s="3038"/>
      <c r="BN973" s="3038"/>
      <c r="BO973" s="3038"/>
      <c r="BP973" s="3038"/>
      <c r="BQ973" s="3038"/>
      <c r="BR973" s="3038"/>
      <c r="BS973" s="3038"/>
      <c r="BT973" s="3038"/>
      <c r="BU973" s="3038"/>
    </row>
    <row r="974" spans="3:73">
      <c r="C974" s="3038"/>
      <c r="D974" s="3038"/>
      <c r="E974" s="3038"/>
      <c r="H974" s="3038"/>
      <c r="I974" s="3038"/>
      <c r="J974" s="3038"/>
      <c r="K974" s="3038"/>
      <c r="M974" s="3038"/>
      <c r="N974" s="3038"/>
      <c r="O974" s="3038"/>
      <c r="P974" s="3038"/>
      <c r="Q974" s="3038"/>
      <c r="R974" s="3038"/>
      <c r="S974" s="3038"/>
      <c r="T974" s="3038"/>
      <c r="W974" s="3038"/>
      <c r="X974" s="3038"/>
      <c r="Y974" s="3038"/>
      <c r="Z974" s="3038"/>
      <c r="AA974" s="3113"/>
      <c r="AB974" s="3038"/>
      <c r="AC974" s="3038"/>
      <c r="AD974" s="3038"/>
      <c r="AE974" s="3132"/>
      <c r="AF974" s="3038"/>
      <c r="AG974" s="3038"/>
      <c r="AH974" s="3038"/>
      <c r="AK974" s="3038"/>
      <c r="AL974" s="3038"/>
      <c r="AM974" s="3038"/>
      <c r="AN974" s="3038"/>
      <c r="AO974" s="3038"/>
      <c r="AP974" s="3038"/>
      <c r="AQ974" s="3038"/>
      <c r="AR974" s="3038"/>
      <c r="AS974" s="3038"/>
      <c r="AT974" s="3038"/>
      <c r="AU974" s="3038"/>
      <c r="AV974" s="3038"/>
      <c r="AW974" s="3038"/>
      <c r="AX974" s="3038"/>
      <c r="AY974" s="3038"/>
      <c r="AZ974" s="3038"/>
      <c r="BA974" s="3038"/>
      <c r="BB974" s="3038"/>
      <c r="BC974" s="3038"/>
      <c r="BD974" s="3038"/>
      <c r="BE974" s="3038"/>
      <c r="BF974" s="3038"/>
      <c r="BG974" s="3038"/>
      <c r="BH974" s="3038"/>
      <c r="BI974" s="3038"/>
      <c r="BJ974" s="3038"/>
      <c r="BK974" s="3038"/>
      <c r="BL974" s="3038"/>
      <c r="BM974" s="3038"/>
      <c r="BN974" s="3038"/>
      <c r="BO974" s="3038"/>
      <c r="BP974" s="3038"/>
      <c r="BQ974" s="3038"/>
      <c r="BR974" s="3038"/>
      <c r="BS974" s="3038"/>
      <c r="BT974" s="3038"/>
      <c r="BU974" s="3038"/>
    </row>
    <row r="975" spans="3:73">
      <c r="C975" s="3038"/>
      <c r="D975" s="3038"/>
      <c r="E975" s="3038"/>
      <c r="H975" s="3038"/>
      <c r="I975" s="3038"/>
      <c r="J975" s="3038"/>
      <c r="K975" s="3038"/>
      <c r="M975" s="3038"/>
      <c r="N975" s="3038"/>
      <c r="O975" s="3038"/>
      <c r="P975" s="3038"/>
      <c r="Q975" s="3038"/>
      <c r="R975" s="3038"/>
      <c r="S975" s="3038"/>
      <c r="T975" s="3038"/>
      <c r="W975" s="3038"/>
      <c r="X975" s="3038"/>
      <c r="Y975" s="3038"/>
      <c r="Z975" s="3038"/>
      <c r="AA975" s="3113"/>
      <c r="AB975" s="3038"/>
      <c r="AC975" s="3038"/>
      <c r="AD975" s="3038"/>
      <c r="AE975" s="3132"/>
      <c r="AF975" s="3038"/>
      <c r="AG975" s="3038"/>
      <c r="AH975" s="3038"/>
      <c r="AK975" s="3038"/>
      <c r="AL975" s="3038"/>
      <c r="AM975" s="3038"/>
      <c r="AN975" s="3038"/>
      <c r="AO975" s="3038"/>
      <c r="AP975" s="3038"/>
      <c r="AQ975" s="3038"/>
      <c r="AR975" s="3038"/>
      <c r="AS975" s="3038"/>
      <c r="AT975" s="3038"/>
      <c r="AU975" s="3038"/>
      <c r="AV975" s="3038"/>
      <c r="AW975" s="3038"/>
      <c r="AX975" s="3038"/>
      <c r="AY975" s="3038"/>
      <c r="AZ975" s="3038"/>
      <c r="BA975" s="3038"/>
      <c r="BB975" s="3038"/>
      <c r="BC975" s="3038"/>
      <c r="BD975" s="3038"/>
      <c r="BE975" s="3038"/>
      <c r="BF975" s="3038"/>
      <c r="BG975" s="3038"/>
      <c r="BH975" s="3038"/>
      <c r="BI975" s="3038"/>
      <c r="BJ975" s="3038"/>
      <c r="BK975" s="3038"/>
      <c r="BL975" s="3038"/>
      <c r="BM975" s="3038"/>
      <c r="BN975" s="3038"/>
      <c r="BO975" s="3038"/>
      <c r="BP975" s="3038"/>
      <c r="BQ975" s="3038"/>
      <c r="BR975" s="3038"/>
      <c r="BS975" s="3038"/>
      <c r="BT975" s="3038"/>
      <c r="BU975" s="3038"/>
    </row>
    <row r="976" spans="3:73">
      <c r="C976" s="3038"/>
      <c r="D976" s="3038"/>
      <c r="E976" s="3038"/>
      <c r="H976" s="3038"/>
      <c r="I976" s="3038"/>
      <c r="J976" s="3038"/>
      <c r="K976" s="3038"/>
      <c r="M976" s="3038"/>
      <c r="N976" s="3038"/>
      <c r="O976" s="3038"/>
      <c r="P976" s="3038"/>
      <c r="Q976" s="3038"/>
      <c r="R976" s="3038"/>
      <c r="S976" s="3038"/>
      <c r="T976" s="3038"/>
      <c r="W976" s="3038"/>
      <c r="X976" s="3038"/>
      <c r="Y976" s="3038"/>
      <c r="Z976" s="3038"/>
      <c r="AA976" s="3113"/>
      <c r="AB976" s="3038"/>
      <c r="AC976" s="3038"/>
      <c r="AD976" s="3038"/>
      <c r="AE976" s="3132"/>
      <c r="AF976" s="3038"/>
      <c r="AG976" s="3038"/>
      <c r="AH976" s="3038"/>
      <c r="AK976" s="3038"/>
      <c r="AL976" s="3038"/>
      <c r="AM976" s="3038"/>
      <c r="AN976" s="3038"/>
      <c r="AO976" s="3038"/>
      <c r="AP976" s="3038"/>
      <c r="AQ976" s="3038"/>
      <c r="AR976" s="3038"/>
      <c r="AS976" s="3038"/>
      <c r="AT976" s="3038"/>
      <c r="AU976" s="3038"/>
      <c r="AV976" s="3038"/>
      <c r="AW976" s="3038"/>
      <c r="AX976" s="3038"/>
      <c r="AY976" s="3038"/>
      <c r="AZ976" s="3038"/>
      <c r="BA976" s="3038"/>
      <c r="BB976" s="3038"/>
      <c r="BC976" s="3038"/>
      <c r="BD976" s="3038"/>
      <c r="BE976" s="3038"/>
      <c r="BF976" s="3038"/>
      <c r="BG976" s="3038"/>
      <c r="BH976" s="3038"/>
      <c r="BI976" s="3038"/>
      <c r="BJ976" s="3038"/>
      <c r="BK976" s="3038"/>
      <c r="BL976" s="3038"/>
      <c r="BM976" s="3038"/>
      <c r="BN976" s="3038"/>
      <c r="BO976" s="3038"/>
      <c r="BP976" s="3038"/>
      <c r="BQ976" s="3038"/>
      <c r="BR976" s="3038"/>
      <c r="BS976" s="3038"/>
      <c r="BT976" s="3038"/>
      <c r="BU976" s="3038"/>
    </row>
    <row r="977" spans="3:73">
      <c r="C977" s="3038"/>
      <c r="D977" s="3038"/>
      <c r="E977" s="3038"/>
      <c r="H977" s="3038"/>
      <c r="I977" s="3038"/>
      <c r="J977" s="3038"/>
      <c r="K977" s="3038"/>
      <c r="M977" s="3038"/>
      <c r="N977" s="3038"/>
      <c r="O977" s="3038"/>
      <c r="P977" s="3038"/>
      <c r="Q977" s="3038"/>
      <c r="R977" s="3038"/>
      <c r="S977" s="3038"/>
      <c r="T977" s="3038"/>
      <c r="W977" s="3038"/>
      <c r="X977" s="3038"/>
      <c r="Y977" s="3038"/>
      <c r="Z977" s="3038"/>
      <c r="AA977" s="3113"/>
      <c r="AB977" s="3038"/>
      <c r="AC977" s="3038"/>
      <c r="AD977" s="3038"/>
      <c r="AE977" s="3132"/>
      <c r="AF977" s="3038"/>
      <c r="AG977" s="3038"/>
      <c r="AH977" s="3038"/>
      <c r="AK977" s="3038"/>
      <c r="AL977" s="3038"/>
      <c r="AM977" s="3038"/>
      <c r="AN977" s="3038"/>
      <c r="AO977" s="3038"/>
      <c r="AP977" s="3038"/>
      <c r="AQ977" s="3038"/>
      <c r="AR977" s="3038"/>
      <c r="AS977" s="3038"/>
      <c r="AT977" s="3038"/>
      <c r="AU977" s="3038"/>
      <c r="AV977" s="3038"/>
      <c r="AW977" s="3038"/>
      <c r="AX977" s="3038"/>
      <c r="AY977" s="3038"/>
      <c r="AZ977" s="3038"/>
      <c r="BA977" s="3038"/>
      <c r="BB977" s="3038"/>
      <c r="BC977" s="3038"/>
      <c r="BD977" s="3038"/>
      <c r="BE977" s="3038"/>
      <c r="BF977" s="3038"/>
      <c r="BG977" s="3038"/>
      <c r="BH977" s="3038"/>
      <c r="BI977" s="3038"/>
      <c r="BJ977" s="3038"/>
      <c r="BK977" s="3038"/>
      <c r="BL977" s="3038"/>
      <c r="BM977" s="3038"/>
      <c r="BN977" s="3038"/>
      <c r="BO977" s="3038"/>
      <c r="BP977" s="3038"/>
      <c r="BQ977" s="3038"/>
      <c r="BR977" s="3038"/>
      <c r="BS977" s="3038"/>
      <c r="BT977" s="3038"/>
      <c r="BU977" s="3038"/>
    </row>
    <row r="978" spans="3:73">
      <c r="C978" s="3038"/>
      <c r="D978" s="3038"/>
      <c r="E978" s="3038"/>
      <c r="H978" s="3038"/>
      <c r="I978" s="3038"/>
      <c r="J978" s="3038"/>
      <c r="K978" s="3038"/>
      <c r="M978" s="3038"/>
      <c r="N978" s="3038"/>
      <c r="O978" s="3038"/>
      <c r="P978" s="3038"/>
      <c r="Q978" s="3038"/>
      <c r="R978" s="3038"/>
      <c r="S978" s="3038"/>
      <c r="T978" s="3038"/>
      <c r="W978" s="3038"/>
      <c r="X978" s="3038"/>
      <c r="Y978" s="3038"/>
      <c r="Z978" s="3038"/>
      <c r="AA978" s="3113"/>
      <c r="AB978" s="3038"/>
      <c r="AC978" s="3038"/>
      <c r="AD978" s="3038"/>
      <c r="AE978" s="3132"/>
      <c r="AF978" s="3038"/>
      <c r="AG978" s="3038"/>
      <c r="AH978" s="3038"/>
      <c r="AK978" s="3038"/>
      <c r="AL978" s="3038"/>
      <c r="AM978" s="3038"/>
      <c r="AN978" s="3038"/>
      <c r="AO978" s="3038"/>
      <c r="AP978" s="3038"/>
      <c r="AQ978" s="3038"/>
      <c r="AR978" s="3038"/>
      <c r="AS978" s="3038"/>
      <c r="AT978" s="3038"/>
      <c r="AU978" s="3038"/>
      <c r="AV978" s="3038"/>
      <c r="AW978" s="3038"/>
      <c r="AX978" s="3038"/>
      <c r="AY978" s="3038"/>
      <c r="AZ978" s="3038"/>
      <c r="BA978" s="3038"/>
      <c r="BB978" s="3038"/>
      <c r="BC978" s="3038"/>
      <c r="BD978" s="3038"/>
      <c r="BE978" s="3038"/>
      <c r="BF978" s="3038"/>
      <c r="BG978" s="3038"/>
      <c r="BH978" s="3038"/>
      <c r="BI978" s="3038"/>
      <c r="BJ978" s="3038"/>
      <c r="BK978" s="3038"/>
      <c r="BL978" s="3038"/>
      <c r="BM978" s="3038"/>
      <c r="BN978" s="3038"/>
      <c r="BO978" s="3038"/>
      <c r="BP978" s="3038"/>
      <c r="BQ978" s="3038"/>
      <c r="BR978" s="3038"/>
      <c r="BS978" s="3038"/>
      <c r="BT978" s="3038"/>
      <c r="BU978" s="3038"/>
    </row>
    <row r="979" spans="3:73">
      <c r="C979" s="3038"/>
      <c r="D979" s="3038"/>
      <c r="E979" s="3038"/>
      <c r="H979" s="3038"/>
      <c r="I979" s="3038"/>
      <c r="J979" s="3038"/>
      <c r="K979" s="3038"/>
      <c r="M979" s="3038"/>
      <c r="N979" s="3038"/>
      <c r="O979" s="3038"/>
      <c r="P979" s="3038"/>
      <c r="Q979" s="3038"/>
      <c r="R979" s="3038"/>
      <c r="S979" s="3038"/>
      <c r="T979" s="3038"/>
      <c r="W979" s="3038"/>
      <c r="X979" s="3038"/>
      <c r="Y979" s="3038"/>
      <c r="Z979" s="3038"/>
      <c r="AA979" s="3113"/>
      <c r="AB979" s="3038"/>
      <c r="AC979" s="3038"/>
      <c r="AD979" s="3038"/>
      <c r="AE979" s="3132"/>
      <c r="AF979" s="3038"/>
      <c r="AG979" s="3038"/>
      <c r="AH979" s="3038"/>
      <c r="AK979" s="3038"/>
      <c r="AL979" s="3038"/>
      <c r="AM979" s="3038"/>
      <c r="AN979" s="3038"/>
      <c r="AO979" s="3038"/>
      <c r="AP979" s="3038"/>
      <c r="AQ979" s="3038"/>
      <c r="AR979" s="3038"/>
      <c r="AS979" s="3038"/>
      <c r="AT979" s="3038"/>
      <c r="AU979" s="3038"/>
      <c r="AV979" s="3038"/>
      <c r="AW979" s="3038"/>
      <c r="AX979" s="3038"/>
      <c r="AY979" s="3038"/>
      <c r="AZ979" s="3038"/>
      <c r="BA979" s="3038"/>
      <c r="BB979" s="3038"/>
      <c r="BC979" s="3038"/>
      <c r="BD979" s="3038"/>
      <c r="BE979" s="3038"/>
      <c r="BF979" s="3038"/>
      <c r="BG979" s="3038"/>
      <c r="BH979" s="3038"/>
      <c r="BI979" s="3038"/>
      <c r="BJ979" s="3038"/>
      <c r="BK979" s="3038"/>
      <c r="BL979" s="3038"/>
      <c r="BM979" s="3038"/>
      <c r="BN979" s="3038"/>
      <c r="BO979" s="3038"/>
      <c r="BP979" s="3038"/>
      <c r="BQ979" s="3038"/>
      <c r="BR979" s="3038"/>
      <c r="BS979" s="3038"/>
      <c r="BT979" s="3038"/>
      <c r="BU979" s="3038"/>
    </row>
    <row r="980" spans="3:73">
      <c r="C980" s="3038"/>
      <c r="D980" s="3038"/>
      <c r="E980" s="3038"/>
      <c r="H980" s="3038"/>
      <c r="I980" s="3038"/>
      <c r="J980" s="3038"/>
      <c r="K980" s="3038"/>
      <c r="M980" s="3038"/>
      <c r="N980" s="3038"/>
      <c r="O980" s="3038"/>
      <c r="P980" s="3038"/>
      <c r="Q980" s="3038"/>
      <c r="R980" s="3038"/>
      <c r="S980" s="3038"/>
      <c r="T980" s="3038"/>
      <c r="W980" s="3038"/>
      <c r="X980" s="3038"/>
      <c r="Y980" s="3038"/>
      <c r="Z980" s="3038"/>
      <c r="AA980" s="3113"/>
      <c r="AB980" s="3038"/>
      <c r="AC980" s="3038"/>
      <c r="AD980" s="3038"/>
      <c r="AE980" s="3132"/>
      <c r="AF980" s="3038"/>
      <c r="AG980" s="3038"/>
      <c r="AH980" s="3038"/>
      <c r="AK980" s="3038"/>
      <c r="AL980" s="3038"/>
      <c r="AM980" s="3038"/>
      <c r="AN980" s="3038"/>
      <c r="AO980" s="3038"/>
      <c r="AP980" s="3038"/>
      <c r="AQ980" s="3038"/>
      <c r="AR980" s="3038"/>
      <c r="AS980" s="3038"/>
      <c r="AT980" s="3038"/>
      <c r="AU980" s="3038"/>
      <c r="AV980" s="3038"/>
      <c r="AW980" s="3038"/>
      <c r="AX980" s="3038"/>
      <c r="AY980" s="3038"/>
      <c r="AZ980" s="3038"/>
      <c r="BA980" s="3038"/>
      <c r="BB980" s="3038"/>
      <c r="BC980" s="3038"/>
      <c r="BD980" s="3038"/>
      <c r="BE980" s="3038"/>
      <c r="BF980" s="3038"/>
      <c r="BG980" s="3038"/>
      <c r="BH980" s="3038"/>
      <c r="BI980" s="3038"/>
      <c r="BJ980" s="3038"/>
      <c r="BK980" s="3038"/>
      <c r="BL980" s="3038"/>
      <c r="BM980" s="3038"/>
      <c r="BN980" s="3038"/>
      <c r="BO980" s="3038"/>
      <c r="BP980" s="3038"/>
      <c r="BQ980" s="3038"/>
      <c r="BR980" s="3038"/>
      <c r="BS980" s="3038"/>
      <c r="BT980" s="3038"/>
      <c r="BU980" s="3038"/>
    </row>
    <row r="981" spans="3:73">
      <c r="C981" s="3038"/>
      <c r="D981" s="3038"/>
      <c r="E981" s="3038"/>
      <c r="H981" s="3038"/>
      <c r="I981" s="3038"/>
      <c r="J981" s="3038"/>
      <c r="K981" s="3038"/>
      <c r="M981" s="3038"/>
      <c r="N981" s="3038"/>
      <c r="O981" s="3038"/>
      <c r="P981" s="3038"/>
      <c r="Q981" s="3038"/>
      <c r="R981" s="3038"/>
      <c r="S981" s="3038"/>
      <c r="T981" s="3038"/>
      <c r="W981" s="3038"/>
      <c r="X981" s="3038"/>
      <c r="Y981" s="3038"/>
      <c r="Z981" s="3038"/>
      <c r="AA981" s="3113"/>
      <c r="AB981" s="3038"/>
      <c r="AC981" s="3038"/>
      <c r="AD981" s="3038"/>
      <c r="AE981" s="3132"/>
      <c r="AF981" s="3038"/>
      <c r="AG981" s="3038"/>
      <c r="AH981" s="3038"/>
      <c r="AK981" s="3038"/>
      <c r="AL981" s="3038"/>
      <c r="AM981" s="3038"/>
      <c r="AN981" s="3038"/>
      <c r="AO981" s="3038"/>
      <c r="AP981" s="3038"/>
      <c r="AQ981" s="3038"/>
      <c r="AR981" s="3038"/>
      <c r="AS981" s="3038"/>
      <c r="AT981" s="3038"/>
      <c r="AU981" s="3038"/>
      <c r="AV981" s="3038"/>
      <c r="AW981" s="3038"/>
      <c r="AX981" s="3038"/>
      <c r="AY981" s="3038"/>
      <c r="AZ981" s="3038"/>
      <c r="BA981" s="3038"/>
      <c r="BB981" s="3038"/>
      <c r="BC981" s="3038"/>
      <c r="BD981" s="3038"/>
      <c r="BE981" s="3038"/>
      <c r="BF981" s="3038"/>
      <c r="BG981" s="3038"/>
      <c r="BH981" s="3038"/>
      <c r="BI981" s="3038"/>
      <c r="BJ981" s="3038"/>
      <c r="BK981" s="3038"/>
      <c r="BL981" s="3038"/>
      <c r="BM981" s="3038"/>
      <c r="BN981" s="3038"/>
      <c r="BO981" s="3038"/>
      <c r="BP981" s="3038"/>
      <c r="BQ981" s="3038"/>
      <c r="BR981" s="3038"/>
      <c r="BS981" s="3038"/>
      <c r="BT981" s="3038"/>
      <c r="BU981" s="3038"/>
    </row>
    <row r="982" spans="3:73">
      <c r="C982" s="3038"/>
      <c r="D982" s="3038"/>
      <c r="E982" s="3038"/>
      <c r="H982" s="3038"/>
      <c r="I982" s="3038"/>
      <c r="J982" s="3038"/>
      <c r="K982" s="3038"/>
      <c r="M982" s="3038"/>
      <c r="N982" s="3038"/>
      <c r="O982" s="3038"/>
      <c r="P982" s="3038"/>
      <c r="Q982" s="3038"/>
      <c r="R982" s="3038"/>
      <c r="S982" s="3038"/>
      <c r="T982" s="3038"/>
      <c r="W982" s="3038"/>
      <c r="X982" s="3038"/>
      <c r="Y982" s="3038"/>
      <c r="Z982" s="3038"/>
      <c r="AA982" s="3113"/>
      <c r="AB982" s="3038"/>
      <c r="AC982" s="3038"/>
      <c r="AD982" s="3038"/>
      <c r="AE982" s="3132"/>
      <c r="AF982" s="3038"/>
      <c r="AG982" s="3038"/>
      <c r="AH982" s="3038"/>
      <c r="AK982" s="3038"/>
      <c r="AL982" s="3038"/>
      <c r="AM982" s="3038"/>
      <c r="AN982" s="3038"/>
      <c r="AO982" s="3038"/>
      <c r="AP982" s="3038"/>
      <c r="AQ982" s="3038"/>
      <c r="AR982" s="3038"/>
      <c r="AS982" s="3038"/>
      <c r="AT982" s="3038"/>
      <c r="AU982" s="3038"/>
      <c r="AV982" s="3038"/>
      <c r="AW982" s="3038"/>
      <c r="AX982" s="3038"/>
      <c r="AY982" s="3038"/>
      <c r="AZ982" s="3038"/>
      <c r="BA982" s="3038"/>
      <c r="BB982" s="3038"/>
      <c r="BC982" s="3038"/>
      <c r="BD982" s="3038"/>
      <c r="BE982" s="3038"/>
      <c r="BF982" s="3038"/>
      <c r="BG982" s="3038"/>
      <c r="BH982" s="3038"/>
      <c r="BI982" s="3038"/>
      <c r="BJ982" s="3038"/>
      <c r="BK982" s="3038"/>
      <c r="BL982" s="3038"/>
      <c r="BM982" s="3038"/>
      <c r="BN982" s="3038"/>
      <c r="BO982" s="3038"/>
      <c r="BP982" s="3038"/>
      <c r="BQ982" s="3038"/>
      <c r="BR982" s="3038"/>
      <c r="BS982" s="3038"/>
      <c r="BT982" s="3038"/>
      <c r="BU982" s="3038"/>
    </row>
    <row r="983" spans="3:73">
      <c r="C983" s="3038"/>
      <c r="D983" s="3038"/>
      <c r="E983" s="3038"/>
      <c r="H983" s="3038"/>
      <c r="I983" s="3038"/>
      <c r="J983" s="3038"/>
      <c r="K983" s="3038"/>
      <c r="M983" s="3038"/>
      <c r="N983" s="3038"/>
      <c r="O983" s="3038"/>
      <c r="P983" s="3038"/>
      <c r="Q983" s="3038"/>
      <c r="R983" s="3038"/>
      <c r="S983" s="3038"/>
      <c r="T983" s="3038"/>
      <c r="W983" s="3038"/>
      <c r="X983" s="3038"/>
      <c r="Y983" s="3038"/>
      <c r="Z983" s="3038"/>
      <c r="AA983" s="3113"/>
      <c r="AB983" s="3038"/>
      <c r="AC983" s="3038"/>
      <c r="AD983" s="3038"/>
      <c r="AE983" s="3132"/>
      <c r="AF983" s="3038"/>
      <c r="AG983" s="3038"/>
      <c r="AH983" s="3038"/>
      <c r="AK983" s="3038"/>
      <c r="AL983" s="3038"/>
      <c r="AM983" s="3038"/>
      <c r="AN983" s="3038"/>
      <c r="AO983" s="3038"/>
      <c r="AP983" s="3038"/>
      <c r="AQ983" s="3038"/>
      <c r="AR983" s="3038"/>
      <c r="AS983" s="3038"/>
      <c r="AT983" s="3038"/>
      <c r="AU983" s="3038"/>
      <c r="AV983" s="3038"/>
      <c r="AW983" s="3038"/>
      <c r="AX983" s="3038"/>
      <c r="AY983" s="3038"/>
      <c r="AZ983" s="3038"/>
      <c r="BA983" s="3038"/>
      <c r="BB983" s="3038"/>
      <c r="BC983" s="3038"/>
      <c r="BD983" s="3038"/>
      <c r="BE983" s="3038"/>
      <c r="BF983" s="3038"/>
      <c r="BG983" s="3038"/>
      <c r="BH983" s="3038"/>
      <c r="BI983" s="3038"/>
      <c r="BJ983" s="3038"/>
      <c r="BK983" s="3038"/>
      <c r="BL983" s="3038"/>
      <c r="BM983" s="3038"/>
      <c r="BN983" s="3038"/>
      <c r="BO983" s="3038"/>
      <c r="BP983" s="3038"/>
      <c r="BQ983" s="3038"/>
      <c r="BR983" s="3038"/>
      <c r="BS983" s="3038"/>
      <c r="BT983" s="3038"/>
      <c r="BU983" s="3038"/>
    </row>
    <row r="984" spans="3:73">
      <c r="C984" s="3038"/>
      <c r="D984" s="3038"/>
      <c r="E984" s="3038"/>
      <c r="H984" s="3038"/>
      <c r="I984" s="3038"/>
      <c r="J984" s="3038"/>
      <c r="K984" s="3038"/>
      <c r="M984" s="3038"/>
      <c r="N984" s="3038"/>
      <c r="O984" s="3038"/>
      <c r="P984" s="3038"/>
      <c r="Q984" s="3038"/>
      <c r="R984" s="3038"/>
      <c r="S984" s="3038"/>
      <c r="T984" s="3038"/>
      <c r="W984" s="3038"/>
      <c r="X984" s="3038"/>
      <c r="Y984" s="3038"/>
      <c r="Z984" s="3038"/>
      <c r="AA984" s="3113"/>
      <c r="AB984" s="3038"/>
      <c r="AC984" s="3038"/>
      <c r="AD984" s="3038"/>
      <c r="AE984" s="3132"/>
      <c r="AF984" s="3038"/>
      <c r="AG984" s="3038"/>
      <c r="AH984" s="3038"/>
      <c r="AK984" s="3038"/>
      <c r="AL984" s="3038"/>
      <c r="AM984" s="3038"/>
      <c r="AN984" s="3038"/>
      <c r="AO984" s="3038"/>
      <c r="AP984" s="3038"/>
      <c r="AQ984" s="3038"/>
      <c r="AR984" s="3038"/>
      <c r="AS984" s="3038"/>
      <c r="AT984" s="3038"/>
      <c r="AU984" s="3038"/>
      <c r="AV984" s="3038"/>
      <c r="AW984" s="3038"/>
      <c r="AX984" s="3038"/>
      <c r="AY984" s="3038"/>
      <c r="AZ984" s="3038"/>
      <c r="BA984" s="3038"/>
      <c r="BB984" s="3038"/>
      <c r="BC984" s="3038"/>
      <c r="BD984" s="3038"/>
      <c r="BE984" s="3038"/>
      <c r="BF984" s="3038"/>
      <c r="BG984" s="3038"/>
      <c r="BH984" s="3038"/>
      <c r="BI984" s="3038"/>
      <c r="BJ984" s="3038"/>
      <c r="BK984" s="3038"/>
      <c r="BL984" s="3038"/>
      <c r="BM984" s="3038"/>
      <c r="BN984" s="3038"/>
      <c r="BO984" s="3038"/>
      <c r="BP984" s="3038"/>
      <c r="BQ984" s="3038"/>
      <c r="BR984" s="3038"/>
      <c r="BS984" s="3038"/>
      <c r="BT984" s="3038"/>
      <c r="BU984" s="3038"/>
    </row>
    <row r="985" spans="3:73">
      <c r="C985" s="3038"/>
      <c r="D985" s="3038"/>
      <c r="E985" s="3038"/>
      <c r="H985" s="3038"/>
      <c r="I985" s="3038"/>
      <c r="J985" s="3038"/>
      <c r="K985" s="3038"/>
      <c r="M985" s="3038"/>
      <c r="N985" s="3038"/>
      <c r="O985" s="3038"/>
      <c r="P985" s="3038"/>
      <c r="Q985" s="3038"/>
      <c r="R985" s="3038"/>
      <c r="S985" s="3038"/>
      <c r="T985" s="3038"/>
      <c r="W985" s="3038"/>
      <c r="X985" s="3038"/>
      <c r="Y985" s="3038"/>
      <c r="Z985" s="3038"/>
      <c r="AA985" s="3113"/>
      <c r="AB985" s="3038"/>
      <c r="AC985" s="3038"/>
      <c r="AD985" s="3038"/>
      <c r="AE985" s="3132"/>
      <c r="AF985" s="3038"/>
      <c r="AG985" s="3038"/>
      <c r="AH985" s="3038"/>
      <c r="AK985" s="3038"/>
      <c r="AL985" s="3038"/>
      <c r="AM985" s="3038"/>
      <c r="AN985" s="3038"/>
      <c r="AO985" s="3038"/>
      <c r="AP985" s="3038"/>
      <c r="AQ985" s="3038"/>
      <c r="AR985" s="3038"/>
      <c r="AS985" s="3038"/>
      <c r="AT985" s="3038"/>
      <c r="AU985" s="3038"/>
      <c r="AV985" s="3038"/>
      <c r="AW985" s="3038"/>
      <c r="AX985" s="3038"/>
      <c r="AY985" s="3038"/>
      <c r="AZ985" s="3038"/>
      <c r="BA985" s="3038"/>
      <c r="BB985" s="3038"/>
      <c r="BC985" s="3038"/>
      <c r="BD985" s="3038"/>
      <c r="BE985" s="3038"/>
      <c r="BF985" s="3038"/>
      <c r="BG985" s="3038"/>
      <c r="BH985" s="3038"/>
      <c r="BI985" s="3038"/>
      <c r="BJ985" s="3038"/>
      <c r="BK985" s="3038"/>
      <c r="BL985" s="3038"/>
      <c r="BM985" s="3038"/>
      <c r="BN985" s="3038"/>
      <c r="BO985" s="3038"/>
      <c r="BP985" s="3038"/>
      <c r="BQ985" s="3038"/>
      <c r="BR985" s="3038"/>
      <c r="BS985" s="3038"/>
      <c r="BT985" s="3038"/>
      <c r="BU985" s="3038"/>
    </row>
    <row r="986" spans="3:73">
      <c r="C986" s="3038"/>
      <c r="D986" s="3038"/>
      <c r="E986" s="3038"/>
      <c r="H986" s="3038"/>
      <c r="I986" s="3038"/>
      <c r="J986" s="3038"/>
      <c r="K986" s="3038"/>
      <c r="M986" s="3038"/>
      <c r="N986" s="3038"/>
      <c r="O986" s="3038"/>
      <c r="P986" s="3038"/>
      <c r="Q986" s="3038"/>
      <c r="R986" s="3038"/>
      <c r="S986" s="3038"/>
      <c r="T986" s="3038"/>
      <c r="W986" s="3038"/>
      <c r="X986" s="3038"/>
      <c r="Y986" s="3038"/>
      <c r="Z986" s="3038"/>
      <c r="AA986" s="3113"/>
      <c r="AB986" s="3038"/>
      <c r="AC986" s="3038"/>
      <c r="AD986" s="3038"/>
      <c r="AE986" s="3132"/>
      <c r="AF986" s="3038"/>
      <c r="AG986" s="3038"/>
      <c r="AH986" s="3038"/>
      <c r="AK986" s="3038"/>
      <c r="AL986" s="3038"/>
      <c r="AM986" s="3038"/>
      <c r="AN986" s="3038"/>
      <c r="AO986" s="3038"/>
      <c r="AP986" s="3038"/>
      <c r="AQ986" s="3038"/>
      <c r="AR986" s="3038"/>
      <c r="AS986" s="3038"/>
      <c r="AT986" s="3038"/>
      <c r="AU986" s="3038"/>
      <c r="AV986" s="3038"/>
      <c r="AW986" s="3038"/>
      <c r="AX986" s="3038"/>
      <c r="AY986" s="3038"/>
      <c r="AZ986" s="3038"/>
      <c r="BA986" s="3038"/>
      <c r="BB986" s="3038"/>
      <c r="BC986" s="3038"/>
      <c r="BD986" s="3038"/>
      <c r="BE986" s="3038"/>
      <c r="BF986" s="3038"/>
      <c r="BG986" s="3038"/>
      <c r="BH986" s="3038"/>
      <c r="BI986" s="3038"/>
      <c r="BJ986" s="3038"/>
      <c r="BK986" s="3038"/>
      <c r="BL986" s="3038"/>
      <c r="BM986" s="3038"/>
      <c r="BN986" s="3038"/>
      <c r="BO986" s="3038"/>
      <c r="BP986" s="3038"/>
      <c r="BQ986" s="3038"/>
      <c r="BR986" s="3038"/>
      <c r="BS986" s="3038"/>
      <c r="BT986" s="3038"/>
      <c r="BU986" s="3038"/>
    </row>
    <row r="987" spans="3:73">
      <c r="C987" s="3038"/>
      <c r="D987" s="3038"/>
      <c r="E987" s="3038"/>
      <c r="H987" s="3038"/>
      <c r="I987" s="3038"/>
      <c r="J987" s="3038"/>
      <c r="K987" s="3038"/>
      <c r="M987" s="3038"/>
      <c r="N987" s="3038"/>
      <c r="O987" s="3038"/>
      <c r="P987" s="3038"/>
      <c r="Q987" s="3038"/>
      <c r="R987" s="3038"/>
      <c r="S987" s="3038"/>
      <c r="T987" s="3038"/>
      <c r="W987" s="3038"/>
      <c r="X987" s="3038"/>
      <c r="Y987" s="3038"/>
      <c r="Z987" s="3038"/>
      <c r="AA987" s="3113"/>
      <c r="AB987" s="3038"/>
      <c r="AC987" s="3038"/>
      <c r="AD987" s="3038"/>
      <c r="AE987" s="3132"/>
      <c r="AF987" s="3038"/>
      <c r="AG987" s="3038"/>
      <c r="AH987" s="3038"/>
      <c r="AK987" s="3038"/>
      <c r="AL987" s="3038"/>
      <c r="AM987" s="3038"/>
      <c r="AN987" s="3038"/>
      <c r="AO987" s="3038"/>
      <c r="AP987" s="3038"/>
      <c r="AQ987" s="3038"/>
      <c r="AR987" s="3038"/>
      <c r="AS987" s="3038"/>
      <c r="AT987" s="3038"/>
      <c r="AU987" s="3038"/>
      <c r="AV987" s="3038"/>
      <c r="AW987" s="3038"/>
      <c r="AX987" s="3038"/>
      <c r="AY987" s="3038"/>
      <c r="AZ987" s="3038"/>
      <c r="BA987" s="3038"/>
      <c r="BB987" s="3038"/>
      <c r="BC987" s="3038"/>
      <c r="BD987" s="3038"/>
      <c r="BE987" s="3038"/>
      <c r="BF987" s="3038"/>
      <c r="BG987" s="3038"/>
      <c r="BH987" s="3038"/>
      <c r="BI987" s="3038"/>
      <c r="BJ987" s="3038"/>
      <c r="BK987" s="3038"/>
      <c r="BL987" s="3038"/>
      <c r="BM987" s="3038"/>
      <c r="BN987" s="3038"/>
      <c r="BO987" s="3038"/>
      <c r="BP987" s="3038"/>
      <c r="BQ987" s="3038"/>
      <c r="BR987" s="3038"/>
      <c r="BS987" s="3038"/>
      <c r="BT987" s="3038"/>
      <c r="BU987" s="3038"/>
    </row>
    <row r="988" spans="3:73">
      <c r="C988" s="3038"/>
      <c r="D988" s="3038"/>
      <c r="E988" s="3038"/>
      <c r="H988" s="3038"/>
      <c r="I988" s="3038"/>
      <c r="J988" s="3038"/>
      <c r="K988" s="3038"/>
      <c r="M988" s="3038"/>
      <c r="N988" s="3038"/>
      <c r="O988" s="3038"/>
      <c r="P988" s="3038"/>
      <c r="Q988" s="3038"/>
      <c r="R988" s="3038"/>
      <c r="S988" s="3038"/>
      <c r="T988" s="3038"/>
      <c r="W988" s="3038"/>
      <c r="X988" s="3038"/>
      <c r="Y988" s="3038"/>
      <c r="Z988" s="3038"/>
      <c r="AA988" s="3113"/>
      <c r="AB988" s="3038"/>
      <c r="AC988" s="3038"/>
      <c r="AD988" s="3038"/>
      <c r="AE988" s="3132"/>
      <c r="AF988" s="3038"/>
      <c r="AG988" s="3038"/>
      <c r="AH988" s="3038"/>
      <c r="AK988" s="3038"/>
      <c r="AL988" s="3038"/>
      <c r="AM988" s="3038"/>
      <c r="AN988" s="3038"/>
      <c r="AO988" s="3038"/>
      <c r="AP988" s="3038"/>
      <c r="AQ988" s="3038"/>
      <c r="AR988" s="3038"/>
      <c r="AS988" s="3038"/>
      <c r="AT988" s="3038"/>
      <c r="AU988" s="3038"/>
      <c r="AV988" s="3038"/>
      <c r="AW988" s="3038"/>
      <c r="AX988" s="3038"/>
      <c r="AY988" s="3038"/>
      <c r="AZ988" s="3038"/>
      <c r="BA988" s="3038"/>
      <c r="BB988" s="3038"/>
      <c r="BC988" s="3038"/>
      <c r="BD988" s="3038"/>
      <c r="BE988" s="3038"/>
      <c r="BF988" s="3038"/>
      <c r="BG988" s="3038"/>
      <c r="BH988" s="3038"/>
      <c r="BI988" s="3038"/>
      <c r="BJ988" s="3038"/>
      <c r="BK988" s="3038"/>
      <c r="BL988" s="3038"/>
      <c r="BM988" s="3038"/>
      <c r="BN988" s="3038"/>
      <c r="BO988" s="3038"/>
      <c r="BP988" s="3038"/>
      <c r="BQ988" s="3038"/>
      <c r="BR988" s="3038"/>
      <c r="BS988" s="3038"/>
      <c r="BT988" s="3038"/>
      <c r="BU988" s="3038"/>
    </row>
    <row r="989" spans="3:73">
      <c r="C989" s="3038"/>
      <c r="D989" s="3038"/>
      <c r="E989" s="3038"/>
      <c r="H989" s="3038"/>
      <c r="I989" s="3038"/>
      <c r="J989" s="3038"/>
      <c r="K989" s="3038"/>
      <c r="M989" s="3038"/>
      <c r="N989" s="3038"/>
      <c r="O989" s="3038"/>
      <c r="P989" s="3038"/>
      <c r="Q989" s="3038"/>
      <c r="R989" s="3038"/>
      <c r="S989" s="3038"/>
      <c r="T989" s="3038"/>
      <c r="W989" s="3038"/>
      <c r="X989" s="3038"/>
      <c r="Y989" s="3038"/>
      <c r="Z989" s="3038"/>
      <c r="AA989" s="3113"/>
      <c r="AB989" s="3038"/>
      <c r="AC989" s="3038"/>
      <c r="AD989" s="3038"/>
      <c r="AE989" s="3132"/>
      <c r="AF989" s="3038"/>
      <c r="AG989" s="3038"/>
      <c r="AH989" s="3038"/>
      <c r="AK989" s="3038"/>
      <c r="AL989" s="3038"/>
      <c r="AM989" s="3038"/>
      <c r="AN989" s="3038"/>
      <c r="AO989" s="3038"/>
      <c r="AP989" s="3038"/>
      <c r="AQ989" s="3038"/>
      <c r="AR989" s="3038"/>
      <c r="AS989" s="3038"/>
      <c r="AT989" s="3038"/>
      <c r="AU989" s="3038"/>
      <c r="AV989" s="3038"/>
      <c r="AW989" s="3038"/>
      <c r="AX989" s="3038"/>
      <c r="AY989" s="3038"/>
      <c r="AZ989" s="3038"/>
      <c r="BA989" s="3038"/>
      <c r="BB989" s="3038"/>
      <c r="BC989" s="3038"/>
      <c r="BD989" s="3038"/>
      <c r="BE989" s="3038"/>
      <c r="BF989" s="3038"/>
      <c r="BG989" s="3038"/>
      <c r="BH989" s="3038"/>
      <c r="BI989" s="3038"/>
      <c r="BJ989" s="3038"/>
      <c r="BK989" s="3038"/>
      <c r="BL989" s="3038"/>
      <c r="BM989" s="3038"/>
      <c r="BN989" s="3038"/>
      <c r="BO989" s="3038"/>
      <c r="BP989" s="3038"/>
      <c r="BQ989" s="3038"/>
      <c r="BR989" s="3038"/>
      <c r="BS989" s="3038"/>
      <c r="BT989" s="3038"/>
      <c r="BU989" s="3038"/>
    </row>
    <row r="990" spans="3:73">
      <c r="C990" s="3038"/>
      <c r="D990" s="3038"/>
      <c r="E990" s="3038"/>
      <c r="H990" s="3038"/>
      <c r="I990" s="3038"/>
      <c r="J990" s="3038"/>
      <c r="K990" s="3038"/>
      <c r="M990" s="3038"/>
      <c r="N990" s="3038"/>
      <c r="O990" s="3038"/>
      <c r="P990" s="3038"/>
      <c r="Q990" s="3038"/>
      <c r="R990" s="3038"/>
      <c r="S990" s="3038"/>
      <c r="T990" s="3038"/>
      <c r="W990" s="3038"/>
      <c r="X990" s="3038"/>
      <c r="Y990" s="3038"/>
      <c r="Z990" s="3038"/>
      <c r="AA990" s="3113"/>
      <c r="AB990" s="3038"/>
      <c r="AC990" s="3038"/>
      <c r="AD990" s="3038"/>
      <c r="AE990" s="3132"/>
      <c r="AF990" s="3038"/>
      <c r="AG990" s="3038"/>
      <c r="AH990" s="3038"/>
      <c r="AK990" s="3038"/>
      <c r="AL990" s="3038"/>
      <c r="AM990" s="3038"/>
      <c r="AN990" s="3038"/>
      <c r="AO990" s="3038"/>
      <c r="AP990" s="3038"/>
      <c r="AQ990" s="3038"/>
      <c r="AR990" s="3038"/>
      <c r="AS990" s="3038"/>
      <c r="AT990" s="3038"/>
      <c r="AU990" s="3038"/>
      <c r="AV990" s="3038"/>
      <c r="AW990" s="3038"/>
      <c r="AX990" s="3038"/>
      <c r="AY990" s="3038"/>
      <c r="AZ990" s="3038"/>
      <c r="BA990" s="3038"/>
      <c r="BB990" s="3038"/>
      <c r="BC990" s="3038"/>
      <c r="BD990" s="3038"/>
      <c r="BE990" s="3038"/>
      <c r="BF990" s="3038"/>
      <c r="BG990" s="3038"/>
      <c r="BH990" s="3038"/>
      <c r="BI990" s="3038"/>
      <c r="BJ990" s="3038"/>
      <c r="BK990" s="3038"/>
      <c r="BL990" s="3038"/>
      <c r="BM990" s="3038"/>
      <c r="BN990" s="3038"/>
      <c r="BO990" s="3038"/>
      <c r="BP990" s="3038"/>
      <c r="BQ990" s="3038"/>
      <c r="BR990" s="3038"/>
      <c r="BS990" s="3038"/>
      <c r="BT990" s="3038"/>
      <c r="BU990" s="3038"/>
    </row>
    <row r="991" spans="3:73">
      <c r="C991" s="3038"/>
      <c r="D991" s="3038"/>
      <c r="E991" s="3038"/>
      <c r="H991" s="3038"/>
      <c r="I991" s="3038"/>
      <c r="J991" s="3038"/>
      <c r="K991" s="3038"/>
      <c r="M991" s="3038"/>
      <c r="N991" s="3038"/>
      <c r="O991" s="3038"/>
      <c r="P991" s="3038"/>
      <c r="Q991" s="3038"/>
      <c r="R991" s="3038"/>
      <c r="S991" s="3038"/>
      <c r="T991" s="3038"/>
      <c r="W991" s="3038"/>
      <c r="X991" s="3038"/>
      <c r="Y991" s="3038"/>
      <c r="Z991" s="3038"/>
      <c r="AA991" s="3113"/>
      <c r="AB991" s="3038"/>
      <c r="AC991" s="3038"/>
      <c r="AD991" s="3038"/>
      <c r="AE991" s="3132"/>
      <c r="AF991" s="3038"/>
      <c r="AG991" s="3038"/>
      <c r="AH991" s="3038"/>
      <c r="AK991" s="3038"/>
      <c r="AL991" s="3038"/>
      <c r="AM991" s="3038"/>
      <c r="AN991" s="3038"/>
      <c r="AO991" s="3038"/>
      <c r="AP991" s="3038"/>
      <c r="AQ991" s="3038"/>
      <c r="AR991" s="3038"/>
      <c r="AS991" s="3038"/>
      <c r="AT991" s="3038"/>
      <c r="AU991" s="3038"/>
      <c r="AV991" s="3038"/>
      <c r="AW991" s="3038"/>
      <c r="AX991" s="3038"/>
      <c r="AY991" s="3038"/>
      <c r="AZ991" s="3038"/>
      <c r="BA991" s="3038"/>
      <c r="BB991" s="3038"/>
      <c r="BC991" s="3038"/>
      <c r="BD991" s="3038"/>
      <c r="BE991" s="3038"/>
      <c r="BF991" s="3038"/>
      <c r="BG991" s="3038"/>
      <c r="BH991" s="3038"/>
      <c r="BI991" s="3038"/>
      <c r="BJ991" s="3038"/>
      <c r="BK991" s="3038"/>
      <c r="BL991" s="3038"/>
      <c r="BM991" s="3038"/>
      <c r="BN991" s="3038"/>
      <c r="BO991" s="3038"/>
      <c r="BP991" s="3038"/>
      <c r="BQ991" s="3038"/>
      <c r="BR991" s="3038"/>
      <c r="BS991" s="3038"/>
      <c r="BT991" s="3038"/>
      <c r="BU991" s="3038"/>
    </row>
    <row r="992" spans="3:73">
      <c r="C992" s="3038"/>
      <c r="D992" s="3038"/>
      <c r="E992" s="3038"/>
      <c r="H992" s="3038"/>
      <c r="I992" s="3038"/>
      <c r="J992" s="3038"/>
      <c r="K992" s="3038"/>
      <c r="M992" s="3038"/>
      <c r="N992" s="3038"/>
      <c r="O992" s="3038"/>
      <c r="P992" s="3038"/>
      <c r="Q992" s="3038"/>
      <c r="R992" s="3038"/>
      <c r="S992" s="3038"/>
      <c r="T992" s="3038"/>
      <c r="W992" s="3038"/>
      <c r="X992" s="3038"/>
      <c r="Y992" s="3038"/>
      <c r="Z992" s="3038"/>
      <c r="AA992" s="3113"/>
      <c r="AB992" s="3038"/>
      <c r="AC992" s="3038"/>
      <c r="AD992" s="3038"/>
      <c r="AE992" s="3132"/>
      <c r="AF992" s="3038"/>
      <c r="AG992" s="3038"/>
      <c r="AH992" s="3038"/>
      <c r="AK992" s="3038"/>
      <c r="AL992" s="3038"/>
      <c r="AM992" s="3038"/>
      <c r="AN992" s="3038"/>
      <c r="AO992" s="3038"/>
      <c r="AP992" s="3038"/>
      <c r="AQ992" s="3038"/>
      <c r="AR992" s="3038"/>
      <c r="AS992" s="3038"/>
      <c r="AT992" s="3038"/>
      <c r="AU992" s="3038"/>
      <c r="AV992" s="3038"/>
      <c r="AW992" s="3038"/>
      <c r="AX992" s="3038"/>
      <c r="AY992" s="3038"/>
      <c r="AZ992" s="3038"/>
      <c r="BA992" s="3038"/>
      <c r="BB992" s="3038"/>
      <c r="BC992" s="3038"/>
      <c r="BD992" s="3038"/>
      <c r="BE992" s="3038"/>
      <c r="BF992" s="3038"/>
      <c r="BG992" s="3038"/>
      <c r="BH992" s="3038"/>
      <c r="BI992" s="3038"/>
      <c r="BJ992" s="3038"/>
      <c r="BK992" s="3038"/>
      <c r="BL992" s="3038"/>
      <c r="BM992" s="3038"/>
      <c r="BN992" s="3038"/>
      <c r="BO992" s="3038"/>
      <c r="BP992" s="3038"/>
      <c r="BQ992" s="3038"/>
      <c r="BR992" s="3038"/>
      <c r="BS992" s="3038"/>
      <c r="BT992" s="3038"/>
      <c r="BU992" s="3038"/>
    </row>
    <row r="993" spans="3:73">
      <c r="C993" s="3038"/>
      <c r="D993" s="3038"/>
      <c r="E993" s="3038"/>
      <c r="H993" s="3038"/>
      <c r="I993" s="3038"/>
      <c r="J993" s="3038"/>
      <c r="K993" s="3038"/>
      <c r="M993" s="3038"/>
      <c r="N993" s="3038"/>
      <c r="O993" s="3038"/>
      <c r="P993" s="3038"/>
      <c r="Q993" s="3038"/>
      <c r="R993" s="3038"/>
      <c r="S993" s="3038"/>
      <c r="T993" s="3038"/>
      <c r="W993" s="3038"/>
      <c r="X993" s="3038"/>
      <c r="Y993" s="3038"/>
      <c r="Z993" s="3038"/>
      <c r="AA993" s="3113"/>
      <c r="AB993" s="3038"/>
      <c r="AC993" s="3038"/>
      <c r="AD993" s="3038"/>
      <c r="AE993" s="3132"/>
      <c r="AF993" s="3038"/>
      <c r="AG993" s="3038"/>
      <c r="AH993" s="3038"/>
      <c r="AK993" s="3038"/>
      <c r="AL993" s="3038"/>
      <c r="AM993" s="3038"/>
      <c r="AN993" s="3038"/>
      <c r="AO993" s="3038"/>
      <c r="AP993" s="3038"/>
      <c r="AQ993" s="3038"/>
      <c r="AR993" s="3038"/>
      <c r="AS993" s="3038"/>
      <c r="AT993" s="3038"/>
      <c r="AU993" s="3038"/>
      <c r="AV993" s="3038"/>
      <c r="AW993" s="3038"/>
      <c r="AX993" s="3038"/>
      <c r="AY993" s="3038"/>
      <c r="AZ993" s="3038"/>
      <c r="BA993" s="3038"/>
      <c r="BB993" s="3038"/>
      <c r="BC993" s="3038"/>
      <c r="BD993" s="3038"/>
      <c r="BE993" s="3038"/>
      <c r="BF993" s="3038"/>
      <c r="BG993" s="3038"/>
      <c r="BH993" s="3038"/>
      <c r="BI993" s="3038"/>
      <c r="BJ993" s="3038"/>
      <c r="BK993" s="3038"/>
      <c r="BL993" s="3038"/>
      <c r="BM993" s="3038"/>
      <c r="BN993" s="3038"/>
      <c r="BO993" s="3038"/>
      <c r="BP993" s="3038"/>
      <c r="BQ993" s="3038"/>
      <c r="BR993" s="3038"/>
      <c r="BS993" s="3038"/>
      <c r="BT993" s="3038"/>
      <c r="BU993" s="3038"/>
    </row>
    <row r="994" spans="3:73">
      <c r="C994" s="3038"/>
      <c r="D994" s="3038"/>
      <c r="E994" s="3038"/>
      <c r="H994" s="3038"/>
      <c r="I994" s="3038"/>
      <c r="J994" s="3038"/>
      <c r="K994" s="3038"/>
      <c r="M994" s="3038"/>
      <c r="N994" s="3038"/>
      <c r="O994" s="3038"/>
      <c r="P994" s="3038"/>
      <c r="Q994" s="3038"/>
      <c r="R994" s="3038"/>
      <c r="S994" s="3038"/>
      <c r="T994" s="3038"/>
      <c r="W994" s="3038"/>
      <c r="X994" s="3038"/>
      <c r="Y994" s="3038"/>
      <c r="Z994" s="3038"/>
      <c r="AA994" s="3113"/>
      <c r="AB994" s="3038"/>
      <c r="AC994" s="3038"/>
      <c r="AD994" s="3038"/>
      <c r="AE994" s="3132"/>
      <c r="AF994" s="3038"/>
      <c r="AG994" s="3038"/>
      <c r="AH994" s="3038"/>
      <c r="AK994" s="3038"/>
      <c r="AL994" s="3038"/>
      <c r="AM994" s="3038"/>
      <c r="AN994" s="3038"/>
      <c r="AO994" s="3038"/>
      <c r="AP994" s="3038"/>
      <c r="AQ994" s="3038"/>
      <c r="AR994" s="3038"/>
      <c r="AS994" s="3038"/>
      <c r="AT994" s="3038"/>
      <c r="AU994" s="3038"/>
      <c r="AV994" s="3038"/>
      <c r="AW994" s="3038"/>
      <c r="AX994" s="3038"/>
      <c r="AY994" s="3038"/>
      <c r="AZ994" s="3038"/>
      <c r="BA994" s="3038"/>
      <c r="BB994" s="3038"/>
      <c r="BC994" s="3038"/>
      <c r="BD994" s="3038"/>
      <c r="BE994" s="3038"/>
      <c r="BF994" s="3038"/>
      <c r="BG994" s="3038"/>
      <c r="BH994" s="3038"/>
      <c r="BI994" s="3038"/>
      <c r="BJ994" s="3038"/>
      <c r="BK994" s="3038"/>
      <c r="BL994" s="3038"/>
      <c r="BM994" s="3038"/>
      <c r="BN994" s="3038"/>
      <c r="BO994" s="3038"/>
      <c r="BP994" s="3038"/>
      <c r="BQ994" s="3038"/>
      <c r="BR994" s="3038"/>
      <c r="BS994" s="3038"/>
      <c r="BT994" s="3038"/>
      <c r="BU994" s="3038"/>
    </row>
    <row r="995" spans="3:73">
      <c r="C995" s="3038"/>
      <c r="D995" s="3038"/>
      <c r="E995" s="3038"/>
      <c r="H995" s="3038"/>
      <c r="I995" s="3038"/>
      <c r="J995" s="3038"/>
      <c r="K995" s="3038"/>
      <c r="M995" s="3038"/>
      <c r="N995" s="3038"/>
      <c r="O995" s="3038"/>
      <c r="P995" s="3038"/>
      <c r="Q995" s="3038"/>
      <c r="R995" s="3038"/>
      <c r="S995" s="3038"/>
      <c r="T995" s="3038"/>
      <c r="W995" s="3038"/>
      <c r="X995" s="3038"/>
      <c r="Y995" s="3038"/>
      <c r="Z995" s="3038"/>
      <c r="AA995" s="3113"/>
      <c r="AB995" s="3038"/>
      <c r="AC995" s="3038"/>
      <c r="AD995" s="3038"/>
      <c r="AE995" s="3132"/>
      <c r="AF995" s="3038"/>
      <c r="AG995" s="3038"/>
      <c r="AH995" s="3038"/>
      <c r="AK995" s="3038"/>
      <c r="AL995" s="3038"/>
      <c r="AM995" s="3038"/>
      <c r="AN995" s="3038"/>
      <c r="AO995" s="3038"/>
      <c r="AP995" s="3038"/>
      <c r="AQ995" s="3038"/>
      <c r="AR995" s="3038"/>
      <c r="AS995" s="3038"/>
      <c r="AT995" s="3038"/>
      <c r="AU995" s="3038"/>
      <c r="AV995" s="3038"/>
      <c r="AW995" s="3038"/>
      <c r="AX995" s="3038"/>
      <c r="AY995" s="3038"/>
      <c r="AZ995" s="3038"/>
      <c r="BA995" s="3038"/>
      <c r="BB995" s="3038"/>
      <c r="BC995" s="3038"/>
      <c r="BD995" s="3038"/>
      <c r="BE995" s="3038"/>
      <c r="BF995" s="3038"/>
      <c r="BG995" s="3038"/>
      <c r="BH995" s="3038"/>
      <c r="BI995" s="3038"/>
      <c r="BJ995" s="3038"/>
      <c r="BK995" s="3038"/>
      <c r="BL995" s="3038"/>
      <c r="BM995" s="3038"/>
      <c r="BN995" s="3038"/>
      <c r="BO995" s="3038"/>
      <c r="BP995" s="3038"/>
      <c r="BQ995" s="3038"/>
      <c r="BR995" s="3038"/>
      <c r="BS995" s="3038"/>
      <c r="BT995" s="3038"/>
      <c r="BU995" s="3038"/>
    </row>
    <row r="996" spans="3:73">
      <c r="C996" s="3038"/>
      <c r="D996" s="3038"/>
      <c r="E996" s="3038"/>
      <c r="H996" s="3038"/>
      <c r="I996" s="3038"/>
      <c r="J996" s="3038"/>
      <c r="K996" s="3038"/>
      <c r="M996" s="3038"/>
      <c r="N996" s="3038"/>
      <c r="O996" s="3038"/>
      <c r="P996" s="3038"/>
      <c r="Q996" s="3038"/>
      <c r="R996" s="3038"/>
      <c r="S996" s="3038"/>
      <c r="T996" s="3038"/>
      <c r="W996" s="3038"/>
      <c r="X996" s="3038"/>
      <c r="Y996" s="3038"/>
      <c r="Z996" s="3038"/>
      <c r="AA996" s="3113"/>
      <c r="AB996" s="3038"/>
      <c r="AC996" s="3038"/>
      <c r="AD996" s="3038"/>
      <c r="AE996" s="3132"/>
      <c r="AF996" s="3038"/>
      <c r="AG996" s="3038"/>
      <c r="AH996" s="3038"/>
      <c r="AK996" s="3038"/>
      <c r="AL996" s="3038"/>
      <c r="AM996" s="3038"/>
      <c r="AN996" s="3038"/>
      <c r="AO996" s="3038"/>
      <c r="AP996" s="3038"/>
      <c r="AQ996" s="3038"/>
      <c r="AR996" s="3038"/>
      <c r="AS996" s="3038"/>
      <c r="AT996" s="3038"/>
      <c r="AU996" s="3038"/>
      <c r="AV996" s="3038"/>
      <c r="AW996" s="3038"/>
      <c r="AX996" s="3038"/>
      <c r="AY996" s="3038"/>
      <c r="AZ996" s="3038"/>
      <c r="BA996" s="3038"/>
      <c r="BB996" s="3038"/>
      <c r="BC996" s="3038"/>
      <c r="BD996" s="3038"/>
      <c r="BE996" s="3038"/>
      <c r="BF996" s="3038"/>
      <c r="BG996" s="3038"/>
      <c r="BH996" s="3038"/>
      <c r="BI996" s="3038"/>
      <c r="BJ996" s="3038"/>
      <c r="BK996" s="3038"/>
      <c r="BL996" s="3038"/>
      <c r="BM996" s="3038"/>
      <c r="BN996" s="3038"/>
      <c r="BO996" s="3038"/>
      <c r="BP996" s="3038"/>
      <c r="BQ996" s="3038"/>
      <c r="BR996" s="3038"/>
      <c r="BS996" s="3038"/>
      <c r="BT996" s="3038"/>
      <c r="BU996" s="3038"/>
    </row>
    <row r="997" spans="3:73">
      <c r="C997" s="3038"/>
      <c r="D997" s="3038"/>
      <c r="E997" s="3038"/>
      <c r="H997" s="3038"/>
      <c r="I997" s="3038"/>
      <c r="J997" s="3038"/>
      <c r="K997" s="3038"/>
      <c r="M997" s="3038"/>
      <c r="N997" s="3038"/>
      <c r="O997" s="3038"/>
      <c r="P997" s="3038"/>
      <c r="Q997" s="3038"/>
      <c r="R997" s="3038"/>
      <c r="S997" s="3038"/>
      <c r="T997" s="3038"/>
      <c r="W997" s="3038"/>
      <c r="X997" s="3038"/>
      <c r="Y997" s="3038"/>
      <c r="Z997" s="3038"/>
      <c r="AA997" s="3113"/>
      <c r="AB997" s="3038"/>
      <c r="AC997" s="3038"/>
      <c r="AD997" s="3038"/>
      <c r="AE997" s="3132"/>
      <c r="AF997" s="3038"/>
      <c r="AG997" s="3038"/>
      <c r="AH997" s="3038"/>
      <c r="AK997" s="3038"/>
      <c r="AL997" s="3038"/>
      <c r="AM997" s="3038"/>
      <c r="AN997" s="3038"/>
      <c r="AO997" s="3038"/>
      <c r="AP997" s="3038"/>
      <c r="AQ997" s="3038"/>
      <c r="AR997" s="3038"/>
      <c r="AS997" s="3038"/>
      <c r="AT997" s="3038"/>
      <c r="AU997" s="3038"/>
      <c r="AV997" s="3038"/>
      <c r="AW997" s="3038"/>
      <c r="AX997" s="3038"/>
      <c r="AY997" s="3038"/>
      <c r="AZ997" s="3038"/>
      <c r="BA997" s="3038"/>
      <c r="BB997" s="3038"/>
      <c r="BC997" s="3038"/>
      <c r="BD997" s="3038"/>
      <c r="BE997" s="3038"/>
      <c r="BF997" s="3038"/>
      <c r="BG997" s="3038"/>
      <c r="BH997" s="3038"/>
      <c r="BI997" s="3038"/>
      <c r="BJ997" s="3038"/>
      <c r="BK997" s="3038"/>
      <c r="BL997" s="3038"/>
      <c r="BM997" s="3038"/>
      <c r="BN997" s="3038"/>
      <c r="BO997" s="3038"/>
      <c r="BP997" s="3038"/>
      <c r="BQ997" s="3038"/>
      <c r="BR997" s="3038"/>
      <c r="BS997" s="3038"/>
      <c r="BT997" s="3038"/>
      <c r="BU997" s="3038"/>
    </row>
    <row r="998" spans="3:73">
      <c r="C998" s="3038"/>
      <c r="D998" s="3038"/>
      <c r="E998" s="3038"/>
      <c r="H998" s="3038"/>
      <c r="I998" s="3038"/>
      <c r="J998" s="3038"/>
      <c r="K998" s="3038"/>
      <c r="M998" s="3038"/>
      <c r="N998" s="3038"/>
      <c r="O998" s="3038"/>
      <c r="P998" s="3038"/>
      <c r="Q998" s="3038"/>
      <c r="R998" s="3038"/>
      <c r="S998" s="3038"/>
      <c r="T998" s="3038"/>
      <c r="W998" s="3038"/>
      <c r="X998" s="3038"/>
      <c r="Y998" s="3038"/>
      <c r="Z998" s="3038"/>
      <c r="AA998" s="3113"/>
      <c r="AB998" s="3038"/>
      <c r="AC998" s="3038"/>
      <c r="AD998" s="3038"/>
      <c r="AE998" s="3132"/>
      <c r="AF998" s="3038"/>
      <c r="AG998" s="3038"/>
      <c r="AH998" s="3038"/>
      <c r="AK998" s="3038"/>
      <c r="AL998" s="3038"/>
      <c r="AM998" s="3038"/>
      <c r="AN998" s="3038"/>
      <c r="AO998" s="3038"/>
      <c r="AP998" s="3038"/>
      <c r="AQ998" s="3038"/>
      <c r="AR998" s="3038"/>
      <c r="AS998" s="3038"/>
      <c r="AT998" s="3038"/>
      <c r="AU998" s="3038"/>
      <c r="AV998" s="3038"/>
      <c r="AW998" s="3038"/>
      <c r="AX998" s="3038"/>
      <c r="AY998" s="3038"/>
      <c r="AZ998" s="3038"/>
      <c r="BA998" s="3038"/>
      <c r="BB998" s="3038"/>
      <c r="BC998" s="3038"/>
      <c r="BD998" s="3038"/>
      <c r="BE998" s="3038"/>
      <c r="BF998" s="3038"/>
      <c r="BG998" s="3038"/>
      <c r="BH998" s="3038"/>
      <c r="BI998" s="3038"/>
      <c r="BJ998" s="3038"/>
      <c r="BK998" s="3038"/>
      <c r="BL998" s="3038"/>
      <c r="BM998" s="3038"/>
      <c r="BN998" s="3038"/>
      <c r="BO998" s="3038"/>
      <c r="BP998" s="3038"/>
      <c r="BQ998" s="3038"/>
      <c r="BR998" s="3038"/>
      <c r="BS998" s="3038"/>
      <c r="BT998" s="3038"/>
      <c r="BU998" s="3038"/>
    </row>
    <row r="999" spans="3:73">
      <c r="C999" s="3038"/>
      <c r="D999" s="3038"/>
      <c r="E999" s="3038"/>
      <c r="H999" s="3038"/>
      <c r="I999" s="3038"/>
      <c r="J999" s="3038"/>
      <c r="K999" s="3038"/>
      <c r="M999" s="3038"/>
      <c r="N999" s="3038"/>
      <c r="O999" s="3038"/>
      <c r="P999" s="3038"/>
      <c r="Q999" s="3038"/>
      <c r="R999" s="3038"/>
      <c r="S999" s="3038"/>
      <c r="T999" s="3038"/>
      <c r="W999" s="3038"/>
      <c r="X999" s="3038"/>
      <c r="Y999" s="3038"/>
      <c r="Z999" s="3038"/>
      <c r="AA999" s="3113"/>
      <c r="AB999" s="3038"/>
      <c r="AC999" s="3038"/>
      <c r="AD999" s="3038"/>
      <c r="AE999" s="3132"/>
      <c r="AF999" s="3038"/>
      <c r="AG999" s="3038"/>
      <c r="AH999" s="3038"/>
      <c r="AK999" s="3038"/>
      <c r="AL999" s="3038"/>
      <c r="AM999" s="3038"/>
      <c r="AN999" s="3038"/>
      <c r="AO999" s="3038"/>
      <c r="AP999" s="3038"/>
      <c r="AQ999" s="3038"/>
      <c r="AR999" s="3038"/>
      <c r="AS999" s="3038"/>
      <c r="AT999" s="3038"/>
      <c r="AU999" s="3038"/>
      <c r="AV999" s="3038"/>
      <c r="AW999" s="3038"/>
      <c r="AX999" s="3038"/>
      <c r="AY999" s="3038"/>
      <c r="AZ999" s="3038"/>
      <c r="BA999" s="3038"/>
      <c r="BB999" s="3038"/>
      <c r="BC999" s="3038"/>
      <c r="BD999" s="3038"/>
      <c r="BE999" s="3038"/>
      <c r="BF999" s="3038"/>
      <c r="BG999" s="3038"/>
      <c r="BH999" s="3038"/>
      <c r="BI999" s="3038"/>
      <c r="BJ999" s="3038"/>
      <c r="BK999" s="3038"/>
      <c r="BL999" s="3038"/>
      <c r="BM999" s="3038"/>
      <c r="BN999" s="3038"/>
      <c r="BO999" s="3038"/>
      <c r="BP999" s="3038"/>
      <c r="BQ999" s="3038"/>
      <c r="BR999" s="3038"/>
      <c r="BS999" s="3038"/>
      <c r="BT999" s="3038"/>
      <c r="BU999" s="3038"/>
    </row>
    <row r="1000" spans="3:73">
      <c r="C1000" s="3038"/>
      <c r="D1000" s="3038"/>
      <c r="E1000" s="3038"/>
      <c r="H1000" s="3038"/>
      <c r="I1000" s="3038"/>
      <c r="J1000" s="3038"/>
      <c r="K1000" s="3038"/>
      <c r="M1000" s="3038"/>
      <c r="N1000" s="3038"/>
      <c r="O1000" s="3038"/>
      <c r="P1000" s="3038"/>
      <c r="Q1000" s="3038"/>
      <c r="R1000" s="3038"/>
      <c r="S1000" s="3038"/>
      <c r="T1000" s="3038"/>
      <c r="W1000" s="3038"/>
      <c r="X1000" s="3038"/>
      <c r="Y1000" s="3038"/>
      <c r="Z1000" s="3038"/>
      <c r="AA1000" s="3113"/>
      <c r="AB1000" s="3038"/>
      <c r="AC1000" s="3038"/>
      <c r="AD1000" s="3038"/>
      <c r="AE1000" s="3132"/>
      <c r="AF1000" s="3038"/>
      <c r="AG1000" s="3038"/>
      <c r="AH1000" s="3038"/>
      <c r="AK1000" s="3038"/>
      <c r="AL1000" s="3038"/>
      <c r="AM1000" s="3038"/>
      <c r="AN1000" s="3038"/>
      <c r="AO1000" s="3038"/>
      <c r="AP1000" s="3038"/>
      <c r="AQ1000" s="3038"/>
      <c r="AR1000" s="3038"/>
      <c r="AS1000" s="3038"/>
      <c r="AT1000" s="3038"/>
      <c r="AU1000" s="3038"/>
      <c r="AV1000" s="3038"/>
      <c r="AW1000" s="3038"/>
      <c r="AX1000" s="3038"/>
      <c r="AY1000" s="3038"/>
      <c r="AZ1000" s="3038"/>
      <c r="BA1000" s="3038"/>
      <c r="BB1000" s="3038"/>
      <c r="BC1000" s="3038"/>
      <c r="BD1000" s="3038"/>
      <c r="BE1000" s="3038"/>
      <c r="BF1000" s="3038"/>
      <c r="BG1000" s="3038"/>
      <c r="BH1000" s="3038"/>
      <c r="BI1000" s="3038"/>
      <c r="BJ1000" s="3038"/>
      <c r="BK1000" s="3038"/>
      <c r="BL1000" s="3038"/>
      <c r="BM1000" s="3038"/>
      <c r="BN1000" s="3038"/>
      <c r="BO1000" s="3038"/>
      <c r="BP1000" s="3038"/>
      <c r="BQ1000" s="3038"/>
      <c r="BR1000" s="3038"/>
      <c r="BS1000" s="3038"/>
      <c r="BT1000" s="3038"/>
      <c r="BU1000" s="3038"/>
    </row>
    <row r="1001" spans="3:73">
      <c r="C1001" s="3038"/>
      <c r="D1001" s="3038"/>
      <c r="E1001" s="3038"/>
      <c r="H1001" s="3038"/>
      <c r="I1001" s="3038"/>
      <c r="J1001" s="3038"/>
      <c r="K1001" s="3038"/>
      <c r="M1001" s="3038"/>
      <c r="N1001" s="3038"/>
      <c r="O1001" s="3038"/>
      <c r="P1001" s="3038"/>
      <c r="Q1001" s="3038"/>
      <c r="R1001" s="3038"/>
      <c r="S1001" s="3038"/>
      <c r="T1001" s="3038"/>
      <c r="W1001" s="3038"/>
      <c r="X1001" s="3038"/>
      <c r="Y1001" s="3038"/>
      <c r="Z1001" s="3038"/>
      <c r="AA1001" s="3113"/>
      <c r="AB1001" s="3038"/>
      <c r="AC1001" s="3038"/>
      <c r="AD1001" s="3038"/>
      <c r="AE1001" s="3132"/>
      <c r="AF1001" s="3038"/>
      <c r="AG1001" s="3038"/>
      <c r="AH1001" s="3038"/>
      <c r="AK1001" s="3038"/>
      <c r="AL1001" s="3038"/>
      <c r="AM1001" s="3038"/>
      <c r="AN1001" s="3038"/>
      <c r="AO1001" s="3038"/>
      <c r="AP1001" s="3038"/>
      <c r="AQ1001" s="3038"/>
      <c r="AR1001" s="3038"/>
      <c r="AS1001" s="3038"/>
      <c r="AT1001" s="3038"/>
      <c r="AU1001" s="3038"/>
      <c r="AV1001" s="3038"/>
      <c r="AW1001" s="3038"/>
      <c r="AX1001" s="3038"/>
      <c r="AY1001" s="3038"/>
      <c r="AZ1001" s="3038"/>
      <c r="BA1001" s="3038"/>
      <c r="BB1001" s="3038"/>
      <c r="BC1001" s="3038"/>
      <c r="BD1001" s="3038"/>
      <c r="BE1001" s="3038"/>
      <c r="BF1001" s="3038"/>
      <c r="BG1001" s="3038"/>
      <c r="BH1001" s="3038"/>
      <c r="BI1001" s="3038"/>
      <c r="BJ1001" s="3038"/>
      <c r="BK1001" s="3038"/>
      <c r="BL1001" s="3038"/>
      <c r="BM1001" s="3038"/>
      <c r="BN1001" s="3038"/>
      <c r="BO1001" s="3038"/>
      <c r="BP1001" s="3038"/>
      <c r="BQ1001" s="3038"/>
      <c r="BR1001" s="3038"/>
      <c r="BS1001" s="3038"/>
      <c r="BT1001" s="3038"/>
      <c r="BU1001" s="3038"/>
    </row>
    <row r="1002" spans="3:73">
      <c r="C1002" s="3038"/>
      <c r="D1002" s="3038"/>
      <c r="E1002" s="3038"/>
      <c r="H1002" s="3038"/>
      <c r="I1002" s="3038"/>
      <c r="J1002" s="3038"/>
      <c r="K1002" s="3038"/>
      <c r="M1002" s="3038"/>
      <c r="N1002" s="3038"/>
      <c r="O1002" s="3038"/>
      <c r="P1002" s="3038"/>
      <c r="Q1002" s="3038"/>
      <c r="R1002" s="3038"/>
      <c r="S1002" s="3038"/>
      <c r="T1002" s="3038"/>
      <c r="W1002" s="3038"/>
      <c r="X1002" s="3038"/>
      <c r="Y1002" s="3038"/>
      <c r="Z1002" s="3038"/>
      <c r="AA1002" s="3113"/>
      <c r="AB1002" s="3038"/>
      <c r="AC1002" s="3038"/>
      <c r="AD1002" s="3038"/>
      <c r="AE1002" s="3132"/>
      <c r="AF1002" s="3038"/>
      <c r="AG1002" s="3038"/>
      <c r="AH1002" s="3038"/>
      <c r="AK1002" s="3038"/>
      <c r="AL1002" s="3038"/>
      <c r="AM1002" s="3038"/>
      <c r="AN1002" s="3038"/>
      <c r="AO1002" s="3038"/>
      <c r="AP1002" s="3038"/>
      <c r="AQ1002" s="3038"/>
      <c r="AR1002" s="3038"/>
      <c r="AS1002" s="3038"/>
      <c r="AT1002" s="3038"/>
      <c r="AU1002" s="3038"/>
      <c r="AV1002" s="3038"/>
      <c r="AW1002" s="3038"/>
      <c r="AX1002" s="3038"/>
      <c r="AY1002" s="3038"/>
      <c r="AZ1002" s="3038"/>
      <c r="BA1002" s="3038"/>
      <c r="BB1002" s="3038"/>
      <c r="BC1002" s="3038"/>
      <c r="BD1002" s="3038"/>
      <c r="BE1002" s="3038"/>
      <c r="BF1002" s="3038"/>
      <c r="BG1002" s="3038"/>
      <c r="BH1002" s="3038"/>
      <c r="BI1002" s="3038"/>
      <c r="BJ1002" s="3038"/>
      <c r="BK1002" s="3038"/>
      <c r="BL1002" s="3038"/>
      <c r="BM1002" s="3038"/>
      <c r="BN1002" s="3038"/>
      <c r="BO1002" s="3038"/>
      <c r="BP1002" s="3038"/>
      <c r="BQ1002" s="3038"/>
      <c r="BR1002" s="3038"/>
      <c r="BS1002" s="3038"/>
      <c r="BT1002" s="3038"/>
      <c r="BU1002" s="3038"/>
    </row>
    <row r="1003" spans="3:73">
      <c r="C1003" s="3038"/>
      <c r="D1003" s="3038"/>
      <c r="E1003" s="3038"/>
      <c r="H1003" s="3038"/>
      <c r="I1003" s="3038"/>
      <c r="J1003" s="3038"/>
      <c r="K1003" s="3038"/>
      <c r="M1003" s="3038"/>
      <c r="N1003" s="3038"/>
      <c r="O1003" s="3038"/>
      <c r="P1003" s="3038"/>
      <c r="Q1003" s="3038"/>
      <c r="R1003" s="3038"/>
      <c r="S1003" s="3038"/>
      <c r="T1003" s="3038"/>
      <c r="W1003" s="3038"/>
      <c r="X1003" s="3038"/>
      <c r="Y1003" s="3038"/>
      <c r="Z1003" s="3038"/>
      <c r="AA1003" s="3113"/>
      <c r="AB1003" s="3038"/>
      <c r="AC1003" s="3038"/>
      <c r="AD1003" s="3038"/>
      <c r="AE1003" s="3132"/>
      <c r="AF1003" s="3038"/>
      <c r="AG1003" s="3038"/>
      <c r="AH1003" s="3038"/>
      <c r="AK1003" s="3038"/>
      <c r="AL1003" s="3038"/>
      <c r="AM1003" s="3038"/>
      <c r="AN1003" s="3038"/>
      <c r="AO1003" s="3038"/>
      <c r="AP1003" s="3038"/>
      <c r="AQ1003" s="3038"/>
      <c r="AR1003" s="3038"/>
      <c r="AS1003" s="3038"/>
      <c r="AT1003" s="3038"/>
      <c r="AU1003" s="3038"/>
      <c r="AV1003" s="3038"/>
      <c r="AW1003" s="3038"/>
      <c r="AX1003" s="3038"/>
      <c r="AY1003" s="3038"/>
      <c r="AZ1003" s="3038"/>
      <c r="BA1003" s="3038"/>
      <c r="BB1003" s="3038"/>
      <c r="BC1003" s="3038"/>
      <c r="BD1003" s="3038"/>
      <c r="BE1003" s="3038"/>
      <c r="BF1003" s="3038"/>
      <c r="BG1003" s="3038"/>
      <c r="BH1003" s="3038"/>
      <c r="BI1003" s="3038"/>
      <c r="BJ1003" s="3038"/>
      <c r="BK1003" s="3038"/>
      <c r="BL1003" s="3038"/>
      <c r="BM1003" s="3038"/>
      <c r="BN1003" s="3038"/>
      <c r="BO1003" s="3038"/>
      <c r="BP1003" s="3038"/>
      <c r="BQ1003" s="3038"/>
      <c r="BR1003" s="3038"/>
      <c r="BS1003" s="3038"/>
      <c r="BT1003" s="3038"/>
      <c r="BU1003" s="3038"/>
    </row>
    <row r="1004" spans="3:73">
      <c r="C1004" s="3038"/>
      <c r="D1004" s="3038"/>
      <c r="E1004" s="3038"/>
      <c r="H1004" s="3038"/>
      <c r="I1004" s="3038"/>
      <c r="J1004" s="3038"/>
      <c r="K1004" s="3038"/>
      <c r="M1004" s="3038"/>
      <c r="N1004" s="3038"/>
      <c r="O1004" s="3038"/>
      <c r="P1004" s="3038"/>
      <c r="Q1004" s="3038"/>
      <c r="R1004" s="3038"/>
      <c r="S1004" s="3038"/>
      <c r="T1004" s="3038"/>
      <c r="W1004" s="3038"/>
      <c r="X1004" s="3038"/>
      <c r="Y1004" s="3038"/>
      <c r="Z1004" s="3038"/>
      <c r="AA1004" s="3113"/>
      <c r="AB1004" s="3038"/>
      <c r="AC1004" s="3038"/>
      <c r="AD1004" s="3038"/>
      <c r="AE1004" s="3132"/>
      <c r="AF1004" s="3038"/>
      <c r="AG1004" s="3038"/>
      <c r="AH1004" s="3038"/>
      <c r="AK1004" s="3038"/>
      <c r="AL1004" s="3038"/>
      <c r="AM1004" s="3038"/>
      <c r="AN1004" s="3038"/>
      <c r="AO1004" s="3038"/>
      <c r="AP1004" s="3038"/>
      <c r="AQ1004" s="3038"/>
      <c r="AR1004" s="3038"/>
      <c r="AS1004" s="3038"/>
      <c r="AT1004" s="3038"/>
      <c r="AU1004" s="3038"/>
      <c r="AV1004" s="3038"/>
      <c r="AW1004" s="3038"/>
      <c r="AX1004" s="3038"/>
      <c r="AY1004" s="3038"/>
      <c r="AZ1004" s="3038"/>
      <c r="BA1004" s="3038"/>
      <c r="BB1004" s="3038"/>
      <c r="BC1004" s="3038"/>
      <c r="BD1004" s="3038"/>
      <c r="BE1004" s="3038"/>
      <c r="BF1004" s="3038"/>
      <c r="BG1004" s="3038"/>
      <c r="BH1004" s="3038"/>
      <c r="BI1004" s="3038"/>
      <c r="BJ1004" s="3038"/>
      <c r="BK1004" s="3038"/>
      <c r="BL1004" s="3038"/>
      <c r="BM1004" s="3038"/>
      <c r="BN1004" s="3038"/>
      <c r="BO1004" s="3038"/>
      <c r="BP1004" s="3038"/>
      <c r="BQ1004" s="3038"/>
      <c r="BR1004" s="3038"/>
      <c r="BS1004" s="3038"/>
      <c r="BT1004" s="3038"/>
      <c r="BU1004" s="3038"/>
    </row>
    <row r="1005" spans="3:73">
      <c r="C1005" s="3038"/>
      <c r="D1005" s="3038"/>
      <c r="E1005" s="3038"/>
      <c r="H1005" s="3038"/>
      <c r="I1005" s="3038"/>
      <c r="J1005" s="3038"/>
      <c r="K1005" s="3038"/>
      <c r="M1005" s="3038"/>
      <c r="N1005" s="3038"/>
      <c r="O1005" s="3038"/>
      <c r="P1005" s="3038"/>
      <c r="Q1005" s="3038"/>
      <c r="R1005" s="3038"/>
      <c r="S1005" s="3038"/>
      <c r="T1005" s="3038"/>
      <c r="W1005" s="3038"/>
      <c r="X1005" s="3038"/>
      <c r="Y1005" s="3038"/>
      <c r="Z1005" s="3038"/>
      <c r="AA1005" s="3113"/>
      <c r="AB1005" s="3038"/>
      <c r="AC1005" s="3038"/>
      <c r="AD1005" s="3038"/>
      <c r="AE1005" s="3132"/>
      <c r="AF1005" s="3038"/>
      <c r="AG1005" s="3038"/>
      <c r="AH1005" s="3038"/>
      <c r="AK1005" s="3038"/>
      <c r="AL1005" s="3038"/>
      <c r="AM1005" s="3038"/>
      <c r="AN1005" s="3038"/>
      <c r="AO1005" s="3038"/>
      <c r="AP1005" s="3038"/>
      <c r="AQ1005" s="3038"/>
      <c r="AR1005" s="3038"/>
      <c r="AS1005" s="3038"/>
      <c r="AT1005" s="3038"/>
      <c r="AU1005" s="3038"/>
      <c r="AV1005" s="3038"/>
      <c r="AW1005" s="3038"/>
      <c r="AX1005" s="3038"/>
      <c r="AY1005" s="3038"/>
      <c r="AZ1005" s="3038"/>
      <c r="BA1005" s="3038"/>
      <c r="BB1005" s="3038"/>
      <c r="BC1005" s="3038"/>
      <c r="BD1005" s="3038"/>
      <c r="BE1005" s="3038"/>
      <c r="BF1005" s="3038"/>
      <c r="BG1005" s="3038"/>
      <c r="BH1005" s="3038"/>
      <c r="BI1005" s="3038"/>
      <c r="BJ1005" s="3038"/>
      <c r="BK1005" s="3038"/>
      <c r="BL1005" s="3038"/>
      <c r="BM1005" s="3038"/>
      <c r="BN1005" s="3038"/>
      <c r="BO1005" s="3038"/>
      <c r="BP1005" s="3038"/>
      <c r="BQ1005" s="3038"/>
      <c r="BR1005" s="3038"/>
      <c r="BS1005" s="3038"/>
      <c r="BT1005" s="3038"/>
      <c r="BU1005" s="3038"/>
    </row>
    <row r="1006" spans="3:73">
      <c r="C1006" s="3038"/>
      <c r="D1006" s="3038"/>
      <c r="E1006" s="3038"/>
      <c r="H1006" s="3038"/>
      <c r="I1006" s="3038"/>
      <c r="J1006" s="3038"/>
      <c r="K1006" s="3038"/>
      <c r="M1006" s="3038"/>
      <c r="N1006" s="3038"/>
      <c r="O1006" s="3038"/>
      <c r="P1006" s="3038"/>
      <c r="Q1006" s="3038"/>
      <c r="R1006" s="3038"/>
      <c r="S1006" s="3038"/>
      <c r="T1006" s="3038"/>
      <c r="W1006" s="3038"/>
      <c r="X1006" s="3038"/>
      <c r="Y1006" s="3038"/>
      <c r="Z1006" s="3038"/>
      <c r="AA1006" s="3113"/>
      <c r="AB1006" s="3038"/>
      <c r="AC1006" s="3038"/>
      <c r="AD1006" s="3038"/>
      <c r="AE1006" s="3132"/>
      <c r="AF1006" s="3038"/>
      <c r="AG1006" s="3038"/>
      <c r="AH1006" s="3038"/>
      <c r="AK1006" s="3038"/>
      <c r="AL1006" s="3038"/>
      <c r="AM1006" s="3038"/>
      <c r="AN1006" s="3038"/>
      <c r="AO1006" s="3038"/>
      <c r="AP1006" s="3038"/>
      <c r="AQ1006" s="3038"/>
      <c r="AR1006" s="3038"/>
      <c r="AS1006" s="3038"/>
      <c r="AT1006" s="3038"/>
      <c r="AU1006" s="3038"/>
      <c r="AV1006" s="3038"/>
      <c r="AW1006" s="3038"/>
      <c r="AX1006" s="3038"/>
      <c r="AY1006" s="3038"/>
      <c r="AZ1006" s="3038"/>
      <c r="BA1006" s="3038"/>
      <c r="BB1006" s="3038"/>
      <c r="BC1006" s="3038"/>
      <c r="BD1006" s="3038"/>
      <c r="BE1006" s="3038"/>
      <c r="BF1006" s="3038"/>
      <c r="BG1006" s="3038"/>
      <c r="BH1006" s="3038"/>
      <c r="BI1006" s="3038"/>
      <c r="BJ1006" s="3038"/>
      <c r="BK1006" s="3038"/>
      <c r="BL1006" s="3038"/>
      <c r="BM1006" s="3038"/>
      <c r="BN1006" s="3038"/>
      <c r="BO1006" s="3038"/>
      <c r="BP1006" s="3038"/>
      <c r="BQ1006" s="3038"/>
      <c r="BR1006" s="3038"/>
      <c r="BS1006" s="3038"/>
      <c r="BT1006" s="3038"/>
      <c r="BU1006" s="3038"/>
    </row>
    <row r="1007" spans="3:73">
      <c r="C1007" s="3038"/>
      <c r="D1007" s="3038"/>
      <c r="E1007" s="3038"/>
      <c r="H1007" s="3038"/>
      <c r="I1007" s="3038"/>
      <c r="J1007" s="3038"/>
      <c r="K1007" s="3038"/>
      <c r="M1007" s="3038"/>
      <c r="N1007" s="3038"/>
      <c r="O1007" s="3038"/>
      <c r="P1007" s="3038"/>
      <c r="Q1007" s="3038"/>
      <c r="R1007" s="3038"/>
      <c r="S1007" s="3038"/>
      <c r="T1007" s="3038"/>
      <c r="W1007" s="3038"/>
      <c r="X1007" s="3038"/>
      <c r="Y1007" s="3038"/>
      <c r="Z1007" s="3038"/>
      <c r="AA1007" s="3113"/>
      <c r="AB1007" s="3038"/>
      <c r="AC1007" s="3038"/>
      <c r="AD1007" s="3038"/>
      <c r="AE1007" s="3132"/>
      <c r="AF1007" s="3038"/>
      <c r="AG1007" s="3038"/>
      <c r="AH1007" s="3038"/>
      <c r="AK1007" s="3038"/>
      <c r="AL1007" s="3038"/>
      <c r="AM1007" s="3038"/>
      <c r="AN1007" s="3038"/>
      <c r="AO1007" s="3038"/>
      <c r="AP1007" s="3038"/>
      <c r="AQ1007" s="3038"/>
      <c r="AR1007" s="3038"/>
      <c r="AS1007" s="3038"/>
      <c r="AT1007" s="3038"/>
      <c r="AU1007" s="3038"/>
      <c r="AV1007" s="3038"/>
      <c r="AW1007" s="3038"/>
      <c r="AX1007" s="3038"/>
      <c r="AY1007" s="3038"/>
      <c r="AZ1007" s="3038"/>
      <c r="BA1007" s="3038"/>
      <c r="BB1007" s="3038"/>
      <c r="BC1007" s="3038"/>
      <c r="BD1007" s="3038"/>
      <c r="BE1007" s="3038"/>
      <c r="BF1007" s="3038"/>
      <c r="BG1007" s="3038"/>
      <c r="BH1007" s="3038"/>
      <c r="BI1007" s="3038"/>
      <c r="BJ1007" s="3038"/>
      <c r="BK1007" s="3038"/>
      <c r="BL1007" s="3038"/>
      <c r="BM1007" s="3038"/>
      <c r="BN1007" s="3038"/>
      <c r="BO1007" s="3038"/>
      <c r="BP1007" s="3038"/>
      <c r="BQ1007" s="3038"/>
      <c r="BR1007" s="3038"/>
      <c r="BS1007" s="3038"/>
      <c r="BT1007" s="3038"/>
      <c r="BU1007" s="3038"/>
    </row>
    <row r="1008" spans="3:73">
      <c r="C1008" s="3038"/>
      <c r="D1008" s="3038"/>
      <c r="E1008" s="3038"/>
      <c r="H1008" s="3038"/>
      <c r="I1008" s="3038"/>
      <c r="J1008" s="3038"/>
      <c r="K1008" s="3038"/>
      <c r="M1008" s="3038"/>
      <c r="N1008" s="3038"/>
      <c r="O1008" s="3038"/>
      <c r="P1008" s="3038"/>
      <c r="Q1008" s="3038"/>
      <c r="R1008" s="3038"/>
      <c r="S1008" s="3038"/>
      <c r="T1008" s="3038"/>
      <c r="W1008" s="3038"/>
      <c r="X1008" s="3038"/>
      <c r="Y1008" s="3038"/>
      <c r="Z1008" s="3038"/>
      <c r="AA1008" s="3113"/>
      <c r="AB1008" s="3038"/>
      <c r="AC1008" s="3038"/>
      <c r="AD1008" s="3038"/>
      <c r="AE1008" s="3132"/>
      <c r="AF1008" s="3038"/>
      <c r="AG1008" s="3038"/>
      <c r="AH1008" s="3038"/>
      <c r="AK1008" s="3038"/>
      <c r="AL1008" s="3038"/>
      <c r="AM1008" s="3038"/>
      <c r="AN1008" s="3038"/>
      <c r="AO1008" s="3038"/>
      <c r="AP1008" s="3038"/>
      <c r="AQ1008" s="3038"/>
      <c r="AR1008" s="3038"/>
      <c r="AS1008" s="3038"/>
      <c r="AT1008" s="3038"/>
      <c r="AU1008" s="3038"/>
      <c r="AV1008" s="3038"/>
      <c r="AW1008" s="3038"/>
      <c r="AX1008" s="3038"/>
      <c r="AY1008" s="3038"/>
      <c r="AZ1008" s="3038"/>
      <c r="BA1008" s="3038"/>
      <c r="BB1008" s="3038"/>
      <c r="BC1008" s="3038"/>
      <c r="BD1008" s="3038"/>
      <c r="BE1008" s="3038"/>
      <c r="BF1008" s="3038"/>
      <c r="BG1008" s="3038"/>
      <c r="BH1008" s="3038"/>
      <c r="BI1008" s="3038"/>
      <c r="BJ1008" s="3038"/>
      <c r="BK1008" s="3038"/>
      <c r="BL1008" s="3038"/>
      <c r="BM1008" s="3038"/>
      <c r="BN1008" s="3038"/>
      <c r="BO1008" s="3038"/>
      <c r="BP1008" s="3038"/>
      <c r="BQ1008" s="3038"/>
      <c r="BR1008" s="3038"/>
      <c r="BS1008" s="3038"/>
      <c r="BT1008" s="3038"/>
      <c r="BU1008" s="3038"/>
    </row>
    <row r="1009" spans="3:73">
      <c r="C1009" s="3038"/>
      <c r="D1009" s="3038"/>
      <c r="E1009" s="3038"/>
      <c r="H1009" s="3038"/>
      <c r="I1009" s="3038"/>
      <c r="J1009" s="3038"/>
      <c r="K1009" s="3038"/>
      <c r="M1009" s="3038"/>
      <c r="N1009" s="3038"/>
      <c r="O1009" s="3038"/>
      <c r="P1009" s="3038"/>
      <c r="Q1009" s="3038"/>
      <c r="R1009" s="3038"/>
      <c r="S1009" s="3038"/>
      <c r="T1009" s="3038"/>
      <c r="W1009" s="3038"/>
      <c r="X1009" s="3038"/>
      <c r="Y1009" s="3038"/>
      <c r="Z1009" s="3038"/>
      <c r="AA1009" s="3113"/>
      <c r="AB1009" s="3038"/>
      <c r="AC1009" s="3038"/>
      <c r="AD1009" s="3038"/>
      <c r="AE1009" s="3132"/>
      <c r="AF1009" s="3038"/>
      <c r="AG1009" s="3038"/>
      <c r="AH1009" s="3038"/>
      <c r="AK1009" s="3038"/>
      <c r="AL1009" s="3038"/>
      <c r="AM1009" s="3038"/>
      <c r="AN1009" s="3038"/>
      <c r="AO1009" s="3038"/>
      <c r="AP1009" s="3038"/>
      <c r="AQ1009" s="3038"/>
      <c r="AR1009" s="3038"/>
      <c r="AS1009" s="3038"/>
      <c r="AT1009" s="3038"/>
      <c r="AU1009" s="3038"/>
      <c r="AV1009" s="3038"/>
      <c r="AW1009" s="3038"/>
      <c r="AX1009" s="3038"/>
      <c r="AY1009" s="3038"/>
      <c r="AZ1009" s="3038"/>
      <c r="BA1009" s="3038"/>
      <c r="BB1009" s="3038"/>
      <c r="BC1009" s="3038"/>
      <c r="BD1009" s="3038"/>
      <c r="BE1009" s="3038"/>
      <c r="BF1009" s="3038"/>
      <c r="BG1009" s="3038"/>
      <c r="BH1009" s="3038"/>
      <c r="BI1009" s="3038"/>
      <c r="BJ1009" s="3038"/>
      <c r="BK1009" s="3038"/>
      <c r="BL1009" s="3038"/>
      <c r="BM1009" s="3038"/>
      <c r="BN1009" s="3038"/>
      <c r="BO1009" s="3038"/>
      <c r="BP1009" s="3038"/>
      <c r="BQ1009" s="3038"/>
      <c r="BR1009" s="3038"/>
      <c r="BS1009" s="3038"/>
      <c r="BT1009" s="3038"/>
      <c r="BU1009" s="3038"/>
    </row>
    <row r="1010" spans="3:73">
      <c r="C1010" s="3038"/>
      <c r="D1010" s="3038"/>
      <c r="E1010" s="3038"/>
      <c r="H1010" s="3038"/>
      <c r="I1010" s="3038"/>
      <c r="J1010" s="3038"/>
      <c r="K1010" s="3038"/>
      <c r="M1010" s="3038"/>
      <c r="N1010" s="3038"/>
      <c r="O1010" s="3038"/>
      <c r="P1010" s="3038"/>
      <c r="Q1010" s="3038"/>
      <c r="R1010" s="3038"/>
      <c r="S1010" s="3038"/>
      <c r="T1010" s="3038"/>
      <c r="W1010" s="3038"/>
      <c r="X1010" s="3038"/>
      <c r="Y1010" s="3038"/>
      <c r="Z1010" s="3038"/>
      <c r="AA1010" s="3113"/>
      <c r="AB1010" s="3038"/>
      <c r="AC1010" s="3038"/>
      <c r="AD1010" s="3038"/>
      <c r="AE1010" s="3132"/>
      <c r="AF1010" s="3038"/>
      <c r="AG1010" s="3038"/>
      <c r="AH1010" s="3038"/>
      <c r="AK1010" s="3038"/>
      <c r="AL1010" s="3038"/>
      <c r="AM1010" s="3038"/>
      <c r="AN1010" s="3038"/>
      <c r="AO1010" s="3038"/>
      <c r="AP1010" s="3038"/>
      <c r="AQ1010" s="3038"/>
      <c r="AR1010" s="3038"/>
      <c r="AS1010" s="3038"/>
      <c r="AT1010" s="3038"/>
      <c r="AU1010" s="3038"/>
      <c r="AV1010" s="3038"/>
      <c r="AW1010" s="3038"/>
      <c r="AX1010" s="3038"/>
      <c r="AY1010" s="3038"/>
      <c r="AZ1010" s="3038"/>
      <c r="BA1010" s="3038"/>
      <c r="BB1010" s="3038"/>
      <c r="BC1010" s="3038"/>
      <c r="BD1010" s="3038"/>
      <c r="BE1010" s="3038"/>
      <c r="BF1010" s="3038"/>
      <c r="BG1010" s="3038"/>
      <c r="BH1010" s="3038"/>
      <c r="BI1010" s="3038"/>
      <c r="BJ1010" s="3038"/>
      <c r="BK1010" s="3038"/>
      <c r="BL1010" s="3038"/>
      <c r="BM1010" s="3038"/>
      <c r="BN1010" s="3038"/>
      <c r="BO1010" s="3038"/>
      <c r="BP1010" s="3038"/>
      <c r="BQ1010" s="3038"/>
      <c r="BR1010" s="3038"/>
      <c r="BS1010" s="3038"/>
      <c r="BT1010" s="3038"/>
      <c r="BU1010" s="3038"/>
    </row>
    <row r="1011" spans="3:73">
      <c r="C1011" s="3038"/>
      <c r="D1011" s="3038"/>
      <c r="E1011" s="3038"/>
      <c r="H1011" s="3038"/>
      <c r="I1011" s="3038"/>
      <c r="J1011" s="3038"/>
      <c r="K1011" s="3038"/>
      <c r="M1011" s="3038"/>
      <c r="N1011" s="3038"/>
      <c r="O1011" s="3038"/>
      <c r="P1011" s="3038"/>
      <c r="Q1011" s="3038"/>
      <c r="R1011" s="3038"/>
      <c r="S1011" s="3038"/>
      <c r="T1011" s="3038"/>
      <c r="W1011" s="3038"/>
      <c r="X1011" s="3038"/>
      <c r="Y1011" s="3038"/>
      <c r="Z1011" s="3038"/>
      <c r="AA1011" s="3113"/>
      <c r="AB1011" s="3038"/>
      <c r="AC1011" s="3038"/>
      <c r="AD1011" s="3038"/>
      <c r="AE1011" s="3132"/>
      <c r="AF1011" s="3038"/>
      <c r="AG1011" s="3038"/>
      <c r="AH1011" s="3038"/>
      <c r="AK1011" s="3038"/>
      <c r="AL1011" s="3038"/>
      <c r="AM1011" s="3038"/>
      <c r="AN1011" s="3038"/>
      <c r="AO1011" s="3038"/>
      <c r="AP1011" s="3038"/>
      <c r="AQ1011" s="3038"/>
      <c r="AR1011" s="3038"/>
      <c r="AS1011" s="3038"/>
      <c r="AT1011" s="3038"/>
      <c r="AU1011" s="3038"/>
      <c r="AV1011" s="3038"/>
      <c r="AW1011" s="3038"/>
      <c r="AX1011" s="3038"/>
      <c r="AY1011" s="3038"/>
      <c r="AZ1011" s="3038"/>
      <c r="BA1011" s="3038"/>
      <c r="BB1011" s="3038"/>
      <c r="BC1011" s="3038"/>
      <c r="BD1011" s="3038"/>
      <c r="BE1011" s="3038"/>
      <c r="BF1011" s="3038"/>
      <c r="BG1011" s="3038"/>
      <c r="BH1011" s="3038"/>
      <c r="BI1011" s="3038"/>
      <c r="BJ1011" s="3038"/>
      <c r="BK1011" s="3038"/>
      <c r="BL1011" s="3038"/>
      <c r="BM1011" s="3038"/>
      <c r="BN1011" s="3038"/>
      <c r="BO1011" s="3038"/>
      <c r="BP1011" s="3038"/>
      <c r="BQ1011" s="3038"/>
      <c r="BR1011" s="3038"/>
      <c r="BS1011" s="3038"/>
      <c r="BT1011" s="3038"/>
      <c r="BU1011" s="3038"/>
    </row>
    <row r="1012" spans="3:73">
      <c r="C1012" s="3038"/>
      <c r="D1012" s="3038"/>
      <c r="E1012" s="3038"/>
      <c r="H1012" s="3038"/>
      <c r="I1012" s="3038"/>
      <c r="J1012" s="3038"/>
      <c r="K1012" s="3038"/>
      <c r="M1012" s="3038"/>
      <c r="N1012" s="3038"/>
      <c r="O1012" s="3038"/>
      <c r="P1012" s="3038"/>
      <c r="Q1012" s="3038"/>
      <c r="R1012" s="3038"/>
      <c r="S1012" s="3038"/>
      <c r="T1012" s="3038"/>
      <c r="W1012" s="3038"/>
      <c r="X1012" s="3038"/>
      <c r="Y1012" s="3038"/>
      <c r="Z1012" s="3038"/>
      <c r="AA1012" s="3113"/>
      <c r="AB1012" s="3038"/>
      <c r="AC1012" s="3038"/>
      <c r="AD1012" s="3038"/>
      <c r="AE1012" s="3132"/>
      <c r="AF1012" s="3038"/>
      <c r="AG1012" s="3038"/>
      <c r="AH1012" s="3038"/>
      <c r="AK1012" s="3038"/>
      <c r="AL1012" s="3038"/>
      <c r="AM1012" s="3038"/>
      <c r="AN1012" s="3038"/>
      <c r="AO1012" s="3038"/>
      <c r="AP1012" s="3038"/>
      <c r="AQ1012" s="3038"/>
      <c r="AR1012" s="3038"/>
      <c r="AS1012" s="3038"/>
      <c r="AT1012" s="3038"/>
      <c r="AU1012" s="3038"/>
      <c r="AV1012" s="3038"/>
      <c r="AW1012" s="3038"/>
      <c r="AX1012" s="3038"/>
      <c r="AY1012" s="3038"/>
      <c r="AZ1012" s="3038"/>
      <c r="BA1012" s="3038"/>
      <c r="BB1012" s="3038"/>
      <c r="BC1012" s="3038"/>
      <c r="BD1012" s="3038"/>
      <c r="BE1012" s="3038"/>
      <c r="BF1012" s="3038"/>
      <c r="BG1012" s="3038"/>
      <c r="BH1012" s="3038"/>
      <c r="BI1012" s="3038"/>
      <c r="BJ1012" s="3038"/>
      <c r="BK1012" s="3038"/>
      <c r="BL1012" s="3038"/>
      <c r="BM1012" s="3038"/>
      <c r="BN1012" s="3038"/>
      <c r="BO1012" s="3038"/>
      <c r="BP1012" s="3038"/>
      <c r="BQ1012" s="3038"/>
      <c r="BR1012" s="3038"/>
      <c r="BS1012" s="3038"/>
      <c r="BT1012" s="3038"/>
      <c r="BU1012" s="3038"/>
    </row>
    <row r="1013" spans="3:73">
      <c r="C1013" s="3038"/>
      <c r="D1013" s="3038"/>
      <c r="E1013" s="3038"/>
      <c r="H1013" s="3038"/>
      <c r="I1013" s="3038"/>
      <c r="J1013" s="3038"/>
      <c r="K1013" s="3038"/>
      <c r="M1013" s="3038"/>
      <c r="N1013" s="3038"/>
      <c r="O1013" s="3038"/>
      <c r="P1013" s="3038"/>
      <c r="Q1013" s="3038"/>
      <c r="R1013" s="3038"/>
      <c r="S1013" s="3038"/>
      <c r="T1013" s="3038"/>
      <c r="W1013" s="3038"/>
      <c r="X1013" s="3038"/>
      <c r="Y1013" s="3038"/>
      <c r="Z1013" s="3038"/>
      <c r="AA1013" s="3113"/>
      <c r="AB1013" s="3038"/>
      <c r="AC1013" s="3038"/>
      <c r="AD1013" s="3038"/>
      <c r="AE1013" s="3132"/>
      <c r="AF1013" s="3038"/>
      <c r="AG1013" s="3038"/>
      <c r="AH1013" s="3038"/>
      <c r="AK1013" s="3038"/>
      <c r="AL1013" s="3038"/>
      <c r="AM1013" s="3038"/>
      <c r="AN1013" s="3038"/>
      <c r="AO1013" s="3038"/>
      <c r="AP1013" s="3038"/>
      <c r="AQ1013" s="3038"/>
      <c r="AR1013" s="3038"/>
      <c r="AS1013" s="3038"/>
      <c r="AT1013" s="3038"/>
      <c r="AU1013" s="3038"/>
      <c r="AV1013" s="3038"/>
      <c r="AW1013" s="3038"/>
      <c r="AX1013" s="3038"/>
      <c r="AY1013" s="3038"/>
      <c r="AZ1013" s="3038"/>
      <c r="BA1013" s="3038"/>
      <c r="BB1013" s="3038"/>
      <c r="BC1013" s="3038"/>
      <c r="BD1013" s="3038"/>
      <c r="BE1013" s="3038"/>
      <c r="BF1013" s="3038"/>
      <c r="BG1013" s="3038"/>
      <c r="BH1013" s="3038"/>
      <c r="BI1013" s="3038"/>
      <c r="BJ1013" s="3038"/>
      <c r="BK1013" s="3038"/>
      <c r="BL1013" s="3038"/>
      <c r="BM1013" s="3038"/>
      <c r="BN1013" s="3038"/>
      <c r="BO1013" s="3038"/>
      <c r="BP1013" s="3038"/>
      <c r="BQ1013" s="3038"/>
      <c r="BR1013" s="3038"/>
      <c r="BS1013" s="3038"/>
      <c r="BT1013" s="3038"/>
      <c r="BU1013" s="3038"/>
    </row>
    <row r="1014" spans="3:73">
      <c r="C1014" s="3038"/>
      <c r="D1014" s="3038"/>
      <c r="E1014" s="3038"/>
      <c r="H1014" s="3038"/>
      <c r="I1014" s="3038"/>
      <c r="J1014" s="3038"/>
      <c r="K1014" s="3038"/>
      <c r="M1014" s="3038"/>
      <c r="N1014" s="3038"/>
      <c r="O1014" s="3038"/>
      <c r="P1014" s="3038"/>
      <c r="Q1014" s="3038"/>
      <c r="R1014" s="3038"/>
      <c r="S1014" s="3038"/>
      <c r="T1014" s="3038"/>
      <c r="W1014" s="3038"/>
      <c r="X1014" s="3038"/>
      <c r="Y1014" s="3038"/>
      <c r="Z1014" s="3038"/>
      <c r="AA1014" s="3113"/>
      <c r="AB1014" s="3038"/>
      <c r="AC1014" s="3038"/>
      <c r="AD1014" s="3038"/>
      <c r="AE1014" s="3132"/>
      <c r="AF1014" s="3038"/>
      <c r="AG1014" s="3038"/>
      <c r="AH1014" s="3038"/>
      <c r="AK1014" s="3038"/>
      <c r="AL1014" s="3038"/>
      <c r="AM1014" s="3038"/>
      <c r="AN1014" s="3038"/>
      <c r="AO1014" s="3038"/>
      <c r="AP1014" s="3038"/>
      <c r="AQ1014" s="3038"/>
      <c r="AR1014" s="3038"/>
      <c r="AS1014" s="3038"/>
      <c r="AT1014" s="3038"/>
      <c r="AU1014" s="3038"/>
      <c r="AV1014" s="3038"/>
      <c r="AW1014" s="3038"/>
      <c r="AX1014" s="3038"/>
      <c r="AY1014" s="3038"/>
      <c r="AZ1014" s="3038"/>
      <c r="BA1014" s="3038"/>
      <c r="BB1014" s="3038"/>
      <c r="BC1014" s="3038"/>
      <c r="BD1014" s="3038"/>
      <c r="BE1014" s="3038"/>
      <c r="BF1014" s="3038"/>
      <c r="BG1014" s="3038"/>
      <c r="BH1014" s="3038"/>
      <c r="BI1014" s="3038"/>
      <c r="BJ1014" s="3038"/>
      <c r="BK1014" s="3038"/>
      <c r="BL1014" s="3038"/>
      <c r="BM1014" s="3038"/>
      <c r="BN1014" s="3038"/>
      <c r="BO1014" s="3038"/>
      <c r="BP1014" s="3038"/>
      <c r="BQ1014" s="3038"/>
      <c r="BR1014" s="3038"/>
      <c r="BS1014" s="3038"/>
      <c r="BT1014" s="3038"/>
      <c r="BU1014" s="3038"/>
    </row>
    <row r="1015" spans="3:73">
      <c r="C1015" s="3038"/>
      <c r="D1015" s="3038"/>
      <c r="E1015" s="3038"/>
      <c r="H1015" s="3038"/>
      <c r="I1015" s="3038"/>
      <c r="J1015" s="3038"/>
      <c r="K1015" s="3038"/>
      <c r="M1015" s="3038"/>
      <c r="N1015" s="3038"/>
      <c r="O1015" s="3038"/>
      <c r="P1015" s="3038"/>
      <c r="Q1015" s="3038"/>
      <c r="R1015" s="3038"/>
      <c r="S1015" s="3038"/>
      <c r="T1015" s="3038"/>
      <c r="W1015" s="3038"/>
      <c r="X1015" s="3038"/>
      <c r="Y1015" s="3038"/>
      <c r="Z1015" s="3038"/>
      <c r="AA1015" s="3113"/>
      <c r="AB1015" s="3038"/>
      <c r="AC1015" s="3038"/>
      <c r="AD1015" s="3038"/>
      <c r="AE1015" s="3132"/>
      <c r="AF1015" s="3038"/>
      <c r="AG1015" s="3038"/>
      <c r="AH1015" s="3038"/>
      <c r="AK1015" s="3038"/>
      <c r="AL1015" s="3038"/>
      <c r="AM1015" s="3038"/>
      <c r="AN1015" s="3038"/>
      <c r="AO1015" s="3038"/>
      <c r="AP1015" s="3038"/>
      <c r="AQ1015" s="3038"/>
      <c r="AR1015" s="3038"/>
      <c r="AS1015" s="3038"/>
      <c r="AT1015" s="3038"/>
      <c r="AU1015" s="3038"/>
      <c r="AV1015" s="3038"/>
      <c r="AW1015" s="3038"/>
      <c r="AX1015" s="3038"/>
      <c r="AY1015" s="3038"/>
      <c r="AZ1015" s="3038"/>
      <c r="BA1015" s="3038"/>
      <c r="BB1015" s="3038"/>
      <c r="BC1015" s="3038"/>
      <c r="BD1015" s="3038"/>
      <c r="BE1015" s="3038"/>
      <c r="BF1015" s="3038"/>
      <c r="BG1015" s="3038"/>
      <c r="BH1015" s="3038"/>
      <c r="BI1015" s="3038"/>
      <c r="BJ1015" s="3038"/>
      <c r="BK1015" s="3038"/>
      <c r="BL1015" s="3038"/>
      <c r="BM1015" s="3038"/>
      <c r="BN1015" s="3038"/>
      <c r="BO1015" s="3038"/>
      <c r="BP1015" s="3038"/>
      <c r="BQ1015" s="3038"/>
      <c r="BR1015" s="3038"/>
      <c r="BS1015" s="3038"/>
      <c r="BT1015" s="3038"/>
      <c r="BU1015" s="3038"/>
    </row>
    <row r="1016" spans="3:73">
      <c r="C1016" s="3038"/>
      <c r="D1016" s="3038"/>
      <c r="E1016" s="3038"/>
      <c r="H1016" s="3038"/>
      <c r="I1016" s="3038"/>
      <c r="J1016" s="3038"/>
      <c r="K1016" s="3038"/>
      <c r="M1016" s="3038"/>
      <c r="N1016" s="3038"/>
      <c r="O1016" s="3038"/>
      <c r="P1016" s="3038"/>
      <c r="Q1016" s="3038"/>
      <c r="R1016" s="3038"/>
      <c r="S1016" s="3038"/>
      <c r="T1016" s="3038"/>
      <c r="W1016" s="3038"/>
      <c r="X1016" s="3038"/>
      <c r="Y1016" s="3038"/>
      <c r="Z1016" s="3038"/>
      <c r="AA1016" s="3113"/>
      <c r="AB1016" s="3038"/>
      <c r="AC1016" s="3038"/>
      <c r="AD1016" s="3038"/>
      <c r="AE1016" s="3132"/>
      <c r="AF1016" s="3038"/>
      <c r="AG1016" s="3038"/>
      <c r="AH1016" s="3038"/>
      <c r="AK1016" s="3038"/>
      <c r="AL1016" s="3038"/>
      <c r="AM1016" s="3038"/>
      <c r="AN1016" s="3038"/>
      <c r="AO1016" s="3038"/>
      <c r="AP1016" s="3038"/>
      <c r="AQ1016" s="3038"/>
      <c r="AR1016" s="3038"/>
      <c r="AS1016" s="3038"/>
      <c r="AT1016" s="3038"/>
      <c r="AU1016" s="3038"/>
      <c r="AV1016" s="3038"/>
      <c r="AW1016" s="3038"/>
      <c r="AX1016" s="3038"/>
      <c r="AY1016" s="3038"/>
      <c r="AZ1016" s="3038"/>
      <c r="BA1016" s="3038"/>
      <c r="BB1016" s="3038"/>
      <c r="BC1016" s="3038"/>
      <c r="BD1016" s="3038"/>
      <c r="BE1016" s="3038"/>
      <c r="BF1016" s="3038"/>
      <c r="BG1016" s="3038"/>
      <c r="BH1016" s="3038"/>
      <c r="BI1016" s="3038"/>
      <c r="BJ1016" s="3038"/>
      <c r="BK1016" s="3038"/>
      <c r="BL1016" s="3038"/>
      <c r="BM1016" s="3038"/>
      <c r="BN1016" s="3038"/>
      <c r="BO1016" s="3038"/>
      <c r="BP1016" s="3038"/>
      <c r="BQ1016" s="3038"/>
      <c r="BR1016" s="3038"/>
      <c r="BS1016" s="3038"/>
      <c r="BT1016" s="3038"/>
      <c r="BU1016" s="3038"/>
    </row>
    <row r="1017" spans="3:73">
      <c r="C1017" s="3038"/>
      <c r="D1017" s="3038"/>
      <c r="E1017" s="3038"/>
      <c r="H1017" s="3038"/>
      <c r="I1017" s="3038"/>
      <c r="J1017" s="3038"/>
      <c r="K1017" s="3038"/>
      <c r="M1017" s="3038"/>
      <c r="N1017" s="3038"/>
      <c r="O1017" s="3038"/>
      <c r="P1017" s="3038"/>
      <c r="Q1017" s="3038"/>
      <c r="R1017" s="3038"/>
      <c r="S1017" s="3038"/>
      <c r="T1017" s="3038"/>
      <c r="W1017" s="3038"/>
      <c r="X1017" s="3038"/>
      <c r="Y1017" s="3038"/>
      <c r="Z1017" s="3038"/>
      <c r="AA1017" s="3113"/>
      <c r="AB1017" s="3038"/>
      <c r="AC1017" s="3038"/>
      <c r="AD1017" s="3038"/>
      <c r="AE1017" s="3132"/>
      <c r="AF1017" s="3038"/>
      <c r="AG1017" s="3038"/>
      <c r="AH1017" s="3038"/>
      <c r="AK1017" s="3038"/>
      <c r="AL1017" s="3038"/>
      <c r="AM1017" s="3038"/>
      <c r="AN1017" s="3038"/>
      <c r="AO1017" s="3038"/>
      <c r="AP1017" s="3038"/>
      <c r="AQ1017" s="3038"/>
      <c r="AR1017" s="3038"/>
      <c r="AS1017" s="3038"/>
      <c r="AT1017" s="3038"/>
      <c r="AU1017" s="3038"/>
      <c r="AV1017" s="3038"/>
      <c r="AW1017" s="3038"/>
      <c r="AX1017" s="3038"/>
      <c r="AY1017" s="3038"/>
      <c r="AZ1017" s="3038"/>
      <c r="BA1017" s="3038"/>
      <c r="BB1017" s="3038"/>
      <c r="BC1017" s="3038"/>
      <c r="BD1017" s="3038"/>
      <c r="BE1017" s="3038"/>
      <c r="BF1017" s="3038"/>
      <c r="BG1017" s="3038"/>
      <c r="BH1017" s="3038"/>
      <c r="BI1017" s="3038"/>
      <c r="BJ1017" s="3038"/>
      <c r="BK1017" s="3038"/>
      <c r="BL1017" s="3038"/>
      <c r="BM1017" s="3038"/>
      <c r="BN1017" s="3038"/>
      <c r="BO1017" s="3038"/>
      <c r="BP1017" s="3038"/>
      <c r="BQ1017" s="3038"/>
      <c r="BR1017" s="3038"/>
      <c r="BS1017" s="3038"/>
      <c r="BT1017" s="3038"/>
      <c r="BU1017" s="3038"/>
    </row>
    <row r="1018" spans="3:73">
      <c r="C1018" s="3038"/>
      <c r="D1018" s="3038"/>
      <c r="E1018" s="3038"/>
      <c r="H1018" s="3038"/>
      <c r="I1018" s="3038"/>
      <c r="J1018" s="3038"/>
      <c r="K1018" s="3038"/>
      <c r="M1018" s="3038"/>
      <c r="N1018" s="3038"/>
      <c r="O1018" s="3038"/>
      <c r="P1018" s="3038"/>
      <c r="Q1018" s="3038"/>
      <c r="R1018" s="3038"/>
      <c r="S1018" s="3038"/>
      <c r="T1018" s="3038"/>
      <c r="W1018" s="3038"/>
      <c r="X1018" s="3038"/>
      <c r="Y1018" s="3038"/>
      <c r="Z1018" s="3038"/>
      <c r="AA1018" s="3113"/>
      <c r="AB1018" s="3038"/>
      <c r="AC1018" s="3038"/>
      <c r="AD1018" s="3038"/>
      <c r="AE1018" s="3132"/>
      <c r="AF1018" s="3038"/>
      <c r="AG1018" s="3038"/>
      <c r="AH1018" s="3038"/>
      <c r="AK1018" s="3038"/>
      <c r="AL1018" s="3038"/>
      <c r="AM1018" s="3038"/>
      <c r="AN1018" s="3038"/>
      <c r="AO1018" s="3038"/>
      <c r="AP1018" s="3038"/>
      <c r="AQ1018" s="3038"/>
      <c r="AR1018" s="3038"/>
      <c r="AS1018" s="3038"/>
      <c r="AT1018" s="3038"/>
      <c r="AU1018" s="3038"/>
      <c r="AV1018" s="3038"/>
      <c r="AW1018" s="3038"/>
      <c r="AX1018" s="3038"/>
      <c r="AY1018" s="3038"/>
      <c r="AZ1018" s="3038"/>
      <c r="BA1018" s="3038"/>
      <c r="BB1018" s="3038"/>
      <c r="BC1018" s="3038"/>
      <c r="BD1018" s="3038"/>
      <c r="BE1018" s="3038"/>
      <c r="BF1018" s="3038"/>
      <c r="BG1018" s="3038"/>
      <c r="BH1018" s="3038"/>
      <c r="BI1018" s="3038"/>
      <c r="BJ1018" s="3038"/>
      <c r="BK1018" s="3038"/>
      <c r="BL1018" s="3038"/>
      <c r="BM1018" s="3038"/>
      <c r="BN1018" s="3038"/>
      <c r="BO1018" s="3038"/>
      <c r="BP1018" s="3038"/>
      <c r="BQ1018" s="3038"/>
      <c r="BR1018" s="3038"/>
      <c r="BS1018" s="3038"/>
      <c r="BT1018" s="3038"/>
      <c r="BU1018" s="3038"/>
    </row>
    <row r="1019" spans="3:73">
      <c r="C1019" s="3038"/>
      <c r="D1019" s="3038"/>
      <c r="E1019" s="3038"/>
      <c r="H1019" s="3038"/>
      <c r="I1019" s="3038"/>
      <c r="J1019" s="3038"/>
      <c r="K1019" s="3038"/>
      <c r="M1019" s="3038"/>
      <c r="N1019" s="3038"/>
      <c r="O1019" s="3038"/>
      <c r="P1019" s="3038"/>
      <c r="Q1019" s="3038"/>
      <c r="R1019" s="3038"/>
      <c r="S1019" s="3038"/>
      <c r="T1019" s="3038"/>
      <c r="W1019" s="3038"/>
      <c r="X1019" s="3038"/>
      <c r="Y1019" s="3038"/>
      <c r="Z1019" s="3038"/>
      <c r="AA1019" s="3113"/>
      <c r="AB1019" s="3038"/>
      <c r="AC1019" s="3038"/>
      <c r="AD1019" s="3038"/>
      <c r="AE1019" s="3132"/>
      <c r="AF1019" s="3038"/>
      <c r="AG1019" s="3038"/>
      <c r="AH1019" s="3038"/>
      <c r="AK1019" s="3038"/>
      <c r="AL1019" s="3038"/>
      <c r="AM1019" s="3038"/>
      <c r="AN1019" s="3038"/>
      <c r="AO1019" s="3038"/>
      <c r="AP1019" s="3038"/>
      <c r="AQ1019" s="3038"/>
      <c r="AR1019" s="3038"/>
      <c r="AS1019" s="3038"/>
      <c r="AT1019" s="3038"/>
      <c r="AU1019" s="3038"/>
      <c r="AV1019" s="3038"/>
      <c r="AW1019" s="3038"/>
      <c r="AX1019" s="3038"/>
      <c r="AY1019" s="3038"/>
      <c r="AZ1019" s="3038"/>
      <c r="BA1019" s="3038"/>
      <c r="BB1019" s="3038"/>
      <c r="BC1019" s="3038"/>
      <c r="BD1019" s="3038"/>
      <c r="BE1019" s="3038"/>
      <c r="BF1019" s="3038"/>
      <c r="BG1019" s="3038"/>
      <c r="BH1019" s="3038"/>
      <c r="BI1019" s="3038"/>
      <c r="BJ1019" s="3038"/>
      <c r="BK1019" s="3038"/>
      <c r="BL1019" s="3038"/>
      <c r="BM1019" s="3038"/>
      <c r="BN1019" s="3038"/>
      <c r="BO1019" s="3038"/>
      <c r="BP1019" s="3038"/>
      <c r="BQ1019" s="3038"/>
      <c r="BR1019" s="3038"/>
      <c r="BS1019" s="3038"/>
      <c r="BT1019" s="3038"/>
      <c r="BU1019" s="3038"/>
    </row>
    <row r="1020" spans="3:73">
      <c r="C1020" s="3038"/>
      <c r="D1020" s="3038"/>
      <c r="E1020" s="3038"/>
      <c r="H1020" s="3038"/>
      <c r="I1020" s="3038"/>
      <c r="J1020" s="3038"/>
      <c r="K1020" s="3038"/>
      <c r="M1020" s="3038"/>
      <c r="N1020" s="3038"/>
      <c r="O1020" s="3038"/>
      <c r="P1020" s="3038"/>
      <c r="Q1020" s="3038"/>
      <c r="R1020" s="3038"/>
      <c r="S1020" s="3038"/>
      <c r="T1020" s="3038"/>
      <c r="W1020" s="3038"/>
      <c r="X1020" s="3038"/>
      <c r="Y1020" s="3038"/>
      <c r="Z1020" s="3038"/>
      <c r="AA1020" s="3113"/>
      <c r="AB1020" s="3038"/>
      <c r="AC1020" s="3038"/>
      <c r="AD1020" s="3038"/>
      <c r="AE1020" s="3132"/>
      <c r="AF1020" s="3038"/>
      <c r="AG1020" s="3038"/>
      <c r="AH1020" s="3038"/>
      <c r="AK1020" s="3038"/>
      <c r="AL1020" s="3038"/>
      <c r="AM1020" s="3038"/>
      <c r="AN1020" s="3038"/>
      <c r="AO1020" s="3038"/>
      <c r="AP1020" s="3038"/>
      <c r="AQ1020" s="3038"/>
      <c r="AR1020" s="3038"/>
      <c r="AS1020" s="3038"/>
      <c r="AT1020" s="3038"/>
      <c r="AU1020" s="3038"/>
      <c r="AV1020" s="3038"/>
      <c r="AW1020" s="3038"/>
      <c r="AX1020" s="3038"/>
      <c r="AY1020" s="3038"/>
      <c r="AZ1020" s="3038"/>
      <c r="BA1020" s="3038"/>
      <c r="BB1020" s="3038"/>
      <c r="BC1020" s="3038"/>
      <c r="BD1020" s="3038"/>
      <c r="BE1020" s="3038"/>
      <c r="BF1020" s="3038"/>
      <c r="BG1020" s="3038"/>
      <c r="BH1020" s="3038"/>
      <c r="BI1020" s="3038"/>
      <c r="BJ1020" s="3038"/>
      <c r="BK1020" s="3038"/>
      <c r="BL1020" s="3038"/>
      <c r="BM1020" s="3038"/>
      <c r="BN1020" s="3038"/>
      <c r="BO1020" s="3038"/>
      <c r="BP1020" s="3038"/>
      <c r="BQ1020" s="3038"/>
      <c r="BR1020" s="3038"/>
      <c r="BS1020" s="3038"/>
      <c r="BT1020" s="3038"/>
      <c r="BU1020" s="3038"/>
    </row>
    <row r="1021" spans="3:73">
      <c r="C1021" s="3038"/>
      <c r="D1021" s="3038"/>
      <c r="E1021" s="3038"/>
      <c r="H1021" s="3038"/>
      <c r="I1021" s="3038"/>
      <c r="J1021" s="3038"/>
      <c r="K1021" s="3038"/>
      <c r="M1021" s="3038"/>
      <c r="N1021" s="3038"/>
      <c r="O1021" s="3038"/>
      <c r="P1021" s="3038"/>
      <c r="Q1021" s="3038"/>
      <c r="R1021" s="3038"/>
      <c r="S1021" s="3038"/>
      <c r="T1021" s="3038"/>
      <c r="W1021" s="3038"/>
      <c r="X1021" s="3038"/>
      <c r="Y1021" s="3038"/>
      <c r="Z1021" s="3038"/>
      <c r="AA1021" s="3113"/>
      <c r="AB1021" s="3038"/>
      <c r="AC1021" s="3038"/>
      <c r="AD1021" s="3038"/>
      <c r="AE1021" s="3132"/>
      <c r="AF1021" s="3038"/>
      <c r="AG1021" s="3038"/>
      <c r="AH1021" s="3038"/>
      <c r="AK1021" s="3038"/>
      <c r="AL1021" s="3038"/>
      <c r="AM1021" s="3038"/>
      <c r="AN1021" s="3038"/>
      <c r="AO1021" s="3038"/>
      <c r="AP1021" s="3038"/>
      <c r="AQ1021" s="3038"/>
      <c r="AR1021" s="3038"/>
      <c r="AS1021" s="3038"/>
      <c r="AT1021" s="3038"/>
      <c r="AU1021" s="3038"/>
      <c r="AV1021" s="3038"/>
      <c r="AW1021" s="3038"/>
      <c r="AX1021" s="3038"/>
      <c r="AY1021" s="3038"/>
      <c r="AZ1021" s="3038"/>
      <c r="BA1021" s="3038"/>
      <c r="BB1021" s="3038"/>
      <c r="BC1021" s="3038"/>
      <c r="BD1021" s="3038"/>
      <c r="BE1021" s="3038"/>
      <c r="BF1021" s="3038"/>
      <c r="BG1021" s="3038"/>
      <c r="BH1021" s="3038"/>
      <c r="BI1021" s="3038"/>
      <c r="BJ1021" s="3038"/>
      <c r="BK1021" s="3038"/>
      <c r="BL1021" s="3038"/>
      <c r="BM1021" s="3038"/>
      <c r="BN1021" s="3038"/>
      <c r="BO1021" s="3038"/>
      <c r="BP1021" s="3038"/>
      <c r="BQ1021" s="3038"/>
      <c r="BR1021" s="3038"/>
      <c r="BS1021" s="3038"/>
      <c r="BT1021" s="3038"/>
      <c r="BU1021" s="3038"/>
    </row>
    <row r="1022" spans="3:73">
      <c r="C1022" s="3038"/>
      <c r="D1022" s="3038"/>
      <c r="E1022" s="3038"/>
      <c r="H1022" s="3038"/>
      <c r="I1022" s="3038"/>
      <c r="J1022" s="3038"/>
      <c r="K1022" s="3038"/>
      <c r="M1022" s="3038"/>
      <c r="N1022" s="3038"/>
      <c r="O1022" s="3038"/>
      <c r="P1022" s="3038"/>
      <c r="Q1022" s="3038"/>
      <c r="R1022" s="3038"/>
      <c r="S1022" s="3038"/>
      <c r="T1022" s="3038"/>
      <c r="W1022" s="3038"/>
      <c r="X1022" s="3038"/>
      <c r="Y1022" s="3038"/>
      <c r="Z1022" s="3038"/>
      <c r="AA1022" s="3113"/>
      <c r="AB1022" s="3038"/>
      <c r="AC1022" s="3038"/>
      <c r="AD1022" s="3038"/>
      <c r="AE1022" s="3132"/>
      <c r="AF1022" s="3038"/>
      <c r="AG1022" s="3038"/>
      <c r="AH1022" s="3038"/>
      <c r="AK1022" s="3038"/>
      <c r="AL1022" s="3038"/>
      <c r="AM1022" s="3038"/>
      <c r="AN1022" s="3038"/>
      <c r="AO1022" s="3038"/>
      <c r="AP1022" s="3038"/>
      <c r="AQ1022" s="3038"/>
      <c r="AR1022" s="3038"/>
      <c r="AS1022" s="3038"/>
      <c r="AT1022" s="3038"/>
      <c r="AU1022" s="3038"/>
      <c r="AV1022" s="3038"/>
      <c r="AW1022" s="3038"/>
      <c r="AX1022" s="3038"/>
      <c r="AY1022" s="3038"/>
      <c r="AZ1022" s="3038"/>
      <c r="BA1022" s="3038"/>
      <c r="BB1022" s="3038"/>
      <c r="BC1022" s="3038"/>
      <c r="BD1022" s="3038"/>
      <c r="BE1022" s="3038"/>
      <c r="BF1022" s="3038"/>
      <c r="BG1022" s="3038"/>
      <c r="BH1022" s="3038"/>
      <c r="BI1022" s="3038"/>
      <c r="BJ1022" s="3038"/>
      <c r="BK1022" s="3038"/>
      <c r="BL1022" s="3038"/>
      <c r="BM1022" s="3038"/>
      <c r="BN1022" s="3038"/>
      <c r="BO1022" s="3038"/>
      <c r="BP1022" s="3038"/>
      <c r="BQ1022" s="3038"/>
      <c r="BR1022" s="3038"/>
      <c r="BS1022" s="3038"/>
      <c r="BT1022" s="3038"/>
      <c r="BU1022" s="3038"/>
    </row>
    <row r="1023" spans="3:73">
      <c r="C1023" s="3038"/>
      <c r="D1023" s="3038"/>
      <c r="E1023" s="3038"/>
      <c r="H1023" s="3038"/>
      <c r="I1023" s="3038"/>
      <c r="J1023" s="3038"/>
      <c r="K1023" s="3038"/>
      <c r="M1023" s="3038"/>
      <c r="N1023" s="3038"/>
      <c r="O1023" s="3038"/>
      <c r="P1023" s="3038"/>
      <c r="Q1023" s="3038"/>
      <c r="R1023" s="3038"/>
      <c r="S1023" s="3038"/>
      <c r="T1023" s="3038"/>
      <c r="W1023" s="3038"/>
      <c r="X1023" s="3038"/>
      <c r="Y1023" s="3038"/>
      <c r="Z1023" s="3038"/>
      <c r="AA1023" s="3113"/>
      <c r="AB1023" s="3038"/>
      <c r="AC1023" s="3038"/>
      <c r="AD1023" s="3038"/>
      <c r="AE1023" s="3132"/>
      <c r="AF1023" s="3038"/>
      <c r="AG1023" s="3038"/>
      <c r="AH1023" s="3038"/>
      <c r="AK1023" s="3038"/>
      <c r="AL1023" s="3038"/>
      <c r="AM1023" s="3038"/>
      <c r="AN1023" s="3038"/>
      <c r="AO1023" s="3038"/>
      <c r="AP1023" s="3038"/>
      <c r="AQ1023" s="3038"/>
      <c r="AR1023" s="3038"/>
      <c r="AS1023" s="3038"/>
      <c r="AT1023" s="3038"/>
      <c r="AU1023" s="3038"/>
      <c r="AV1023" s="3038"/>
      <c r="AW1023" s="3038"/>
      <c r="AX1023" s="3038"/>
      <c r="AY1023" s="3038"/>
      <c r="AZ1023" s="3038"/>
      <c r="BA1023" s="3038"/>
      <c r="BB1023" s="3038"/>
      <c r="BC1023" s="3038"/>
      <c r="BD1023" s="3038"/>
      <c r="BE1023" s="3038"/>
      <c r="BF1023" s="3038"/>
      <c r="BG1023" s="3038"/>
      <c r="BH1023" s="3038"/>
      <c r="BI1023" s="3038"/>
      <c r="BJ1023" s="3038"/>
      <c r="BK1023" s="3038"/>
      <c r="BL1023" s="3038"/>
      <c r="BM1023" s="3038"/>
      <c r="BN1023" s="3038"/>
      <c r="BO1023" s="3038"/>
      <c r="BP1023" s="3038"/>
      <c r="BQ1023" s="3038"/>
      <c r="BR1023" s="3038"/>
      <c r="BS1023" s="3038"/>
      <c r="BT1023" s="3038"/>
      <c r="BU1023" s="3038"/>
    </row>
    <row r="1024" spans="3:73">
      <c r="C1024" s="3038"/>
      <c r="D1024" s="3038"/>
      <c r="E1024" s="3038"/>
      <c r="H1024" s="3038"/>
      <c r="I1024" s="3038"/>
      <c r="J1024" s="3038"/>
      <c r="K1024" s="3038"/>
      <c r="M1024" s="3038"/>
      <c r="N1024" s="3038"/>
      <c r="O1024" s="3038"/>
      <c r="P1024" s="3038"/>
      <c r="Q1024" s="3038"/>
      <c r="R1024" s="3038"/>
      <c r="S1024" s="3038"/>
      <c r="T1024" s="3038"/>
      <c r="W1024" s="3038"/>
      <c r="X1024" s="3038"/>
      <c r="Y1024" s="3038"/>
      <c r="Z1024" s="3038"/>
      <c r="AA1024" s="3113"/>
      <c r="AB1024" s="3038"/>
      <c r="AC1024" s="3038"/>
      <c r="AD1024" s="3038"/>
      <c r="AE1024" s="3132"/>
      <c r="AF1024" s="3038"/>
      <c r="AG1024" s="3038"/>
      <c r="AH1024" s="3038"/>
      <c r="AK1024" s="3038"/>
      <c r="AL1024" s="3038"/>
      <c r="AM1024" s="3038"/>
      <c r="AN1024" s="3038"/>
      <c r="AO1024" s="3038"/>
      <c r="AP1024" s="3038"/>
      <c r="AQ1024" s="3038"/>
      <c r="AR1024" s="3038"/>
      <c r="AS1024" s="3038"/>
      <c r="AT1024" s="3038"/>
      <c r="AU1024" s="3038"/>
      <c r="AV1024" s="3038"/>
      <c r="AW1024" s="3038"/>
      <c r="AX1024" s="3038"/>
      <c r="AY1024" s="3038"/>
      <c r="AZ1024" s="3038"/>
      <c r="BA1024" s="3038"/>
      <c r="BB1024" s="3038"/>
      <c r="BC1024" s="3038"/>
      <c r="BD1024" s="3038"/>
      <c r="BE1024" s="3038"/>
      <c r="BF1024" s="3038"/>
      <c r="BG1024" s="3038"/>
      <c r="BH1024" s="3038"/>
      <c r="BI1024" s="3038"/>
      <c r="BJ1024" s="3038"/>
      <c r="BK1024" s="3038"/>
      <c r="BL1024" s="3038"/>
      <c r="BM1024" s="3038"/>
      <c r="BN1024" s="3038"/>
      <c r="BO1024" s="3038"/>
      <c r="BP1024" s="3038"/>
      <c r="BQ1024" s="3038"/>
      <c r="BR1024" s="3038"/>
      <c r="BS1024" s="3038"/>
      <c r="BT1024" s="3038"/>
      <c r="BU1024" s="3038"/>
    </row>
    <row r="1025" spans="3:73">
      <c r="C1025" s="3038"/>
      <c r="D1025" s="3038"/>
      <c r="E1025" s="3038"/>
      <c r="H1025" s="3038"/>
      <c r="I1025" s="3038"/>
      <c r="J1025" s="3038"/>
      <c r="K1025" s="3038"/>
      <c r="M1025" s="3038"/>
      <c r="N1025" s="3038"/>
      <c r="O1025" s="3038"/>
      <c r="P1025" s="3038"/>
      <c r="Q1025" s="3038"/>
      <c r="R1025" s="3038"/>
      <c r="S1025" s="3038"/>
      <c r="T1025" s="3038"/>
      <c r="W1025" s="3038"/>
      <c r="X1025" s="3038"/>
      <c r="Y1025" s="3038"/>
      <c r="Z1025" s="3038"/>
      <c r="AA1025" s="3113"/>
      <c r="AB1025" s="3038"/>
      <c r="AC1025" s="3038"/>
      <c r="AD1025" s="3038"/>
      <c r="AE1025" s="3132"/>
      <c r="AF1025" s="3038"/>
      <c r="AG1025" s="3038"/>
      <c r="AH1025" s="3038"/>
      <c r="AK1025" s="3038"/>
      <c r="AL1025" s="3038"/>
      <c r="AM1025" s="3038"/>
      <c r="AN1025" s="3038"/>
      <c r="AO1025" s="3038"/>
      <c r="AP1025" s="3038"/>
      <c r="AQ1025" s="3038"/>
      <c r="AR1025" s="3038"/>
      <c r="AS1025" s="3038"/>
      <c r="AT1025" s="3038"/>
      <c r="AU1025" s="3038"/>
      <c r="AV1025" s="3038"/>
      <c r="AW1025" s="3038"/>
      <c r="AX1025" s="3038"/>
      <c r="AY1025" s="3038"/>
      <c r="AZ1025" s="3038"/>
      <c r="BA1025" s="3038"/>
      <c r="BB1025" s="3038"/>
      <c r="BC1025" s="3038"/>
      <c r="BD1025" s="3038"/>
      <c r="BE1025" s="3038"/>
      <c r="BF1025" s="3038"/>
      <c r="BG1025" s="3038"/>
      <c r="BH1025" s="3038"/>
      <c r="BI1025" s="3038"/>
      <c r="BJ1025" s="3038"/>
      <c r="BK1025" s="3038"/>
      <c r="BL1025" s="3038"/>
      <c r="BM1025" s="3038"/>
      <c r="BN1025" s="3038"/>
      <c r="BO1025" s="3038"/>
      <c r="BP1025" s="3038"/>
      <c r="BQ1025" s="3038"/>
      <c r="BR1025" s="3038"/>
      <c r="BS1025" s="3038"/>
      <c r="BT1025" s="3038"/>
      <c r="BU1025" s="3038"/>
    </row>
    <row r="1026" spans="3:73">
      <c r="C1026" s="3038"/>
      <c r="D1026" s="3038"/>
      <c r="E1026" s="3038"/>
      <c r="H1026" s="3038"/>
      <c r="I1026" s="3038"/>
      <c r="J1026" s="3038"/>
      <c r="K1026" s="3038"/>
      <c r="M1026" s="3038"/>
      <c r="N1026" s="3038"/>
      <c r="O1026" s="3038"/>
      <c r="P1026" s="3038"/>
      <c r="Q1026" s="3038"/>
      <c r="R1026" s="3038"/>
      <c r="S1026" s="3038"/>
      <c r="T1026" s="3038"/>
      <c r="W1026" s="3038"/>
      <c r="X1026" s="3038"/>
      <c r="Y1026" s="3038"/>
      <c r="Z1026" s="3038"/>
      <c r="AA1026" s="3113"/>
      <c r="AB1026" s="3038"/>
      <c r="AC1026" s="3038"/>
      <c r="AD1026" s="3038"/>
      <c r="AE1026" s="3132"/>
      <c r="AF1026" s="3038"/>
      <c r="AG1026" s="3038"/>
      <c r="AH1026" s="3038"/>
      <c r="AK1026" s="3038"/>
      <c r="AL1026" s="3038"/>
      <c r="AM1026" s="3038"/>
      <c r="AN1026" s="3038"/>
      <c r="AO1026" s="3038"/>
      <c r="AP1026" s="3038"/>
      <c r="AQ1026" s="3038"/>
      <c r="AR1026" s="3038"/>
      <c r="AS1026" s="3038"/>
      <c r="AT1026" s="3038"/>
      <c r="AU1026" s="3038"/>
      <c r="AV1026" s="3038"/>
      <c r="AW1026" s="3038"/>
      <c r="AX1026" s="3038"/>
      <c r="AY1026" s="3038"/>
      <c r="AZ1026" s="3038"/>
      <c r="BA1026" s="3038"/>
      <c r="BB1026" s="3038"/>
      <c r="BC1026" s="3038"/>
      <c r="BD1026" s="3038"/>
      <c r="BE1026" s="3038"/>
      <c r="BF1026" s="3038"/>
      <c r="BG1026" s="3038"/>
      <c r="BH1026" s="3038"/>
      <c r="BI1026" s="3038"/>
      <c r="BJ1026" s="3038"/>
      <c r="BK1026" s="3038"/>
      <c r="BL1026" s="3038"/>
      <c r="BM1026" s="3038"/>
      <c r="BN1026" s="3038"/>
      <c r="BO1026" s="3038"/>
      <c r="BP1026" s="3038"/>
      <c r="BQ1026" s="3038"/>
      <c r="BR1026" s="3038"/>
      <c r="BS1026" s="3038"/>
      <c r="BT1026" s="3038"/>
      <c r="BU1026" s="3038"/>
    </row>
    <row r="1027" spans="3:73">
      <c r="C1027" s="3038"/>
      <c r="D1027" s="3038"/>
      <c r="E1027" s="3038"/>
      <c r="H1027" s="3038"/>
      <c r="I1027" s="3038"/>
      <c r="J1027" s="3038"/>
      <c r="K1027" s="3038"/>
      <c r="M1027" s="3038"/>
      <c r="N1027" s="3038"/>
      <c r="O1027" s="3038"/>
      <c r="P1027" s="3038"/>
      <c r="Q1027" s="3038"/>
      <c r="R1027" s="3038"/>
      <c r="S1027" s="3038"/>
      <c r="T1027" s="3038"/>
      <c r="W1027" s="3038"/>
      <c r="X1027" s="3038"/>
      <c r="Y1027" s="3038"/>
      <c r="Z1027" s="3038"/>
      <c r="AA1027" s="3113"/>
      <c r="AB1027" s="3038"/>
      <c r="AC1027" s="3038"/>
      <c r="AD1027" s="3038"/>
      <c r="AE1027" s="3132"/>
      <c r="AF1027" s="3038"/>
      <c r="AG1027" s="3038"/>
      <c r="AH1027" s="3038"/>
      <c r="AK1027" s="3038"/>
      <c r="AL1027" s="3038"/>
      <c r="AM1027" s="3038"/>
      <c r="AN1027" s="3038"/>
      <c r="AO1027" s="3038"/>
      <c r="AP1027" s="3038"/>
      <c r="AQ1027" s="3038"/>
      <c r="AR1027" s="3038"/>
      <c r="AS1027" s="3038"/>
      <c r="AT1027" s="3038"/>
      <c r="AU1027" s="3038"/>
      <c r="AV1027" s="3038"/>
      <c r="AW1027" s="3038"/>
      <c r="AX1027" s="3038"/>
      <c r="AY1027" s="3038"/>
      <c r="AZ1027" s="3038"/>
      <c r="BA1027" s="3038"/>
      <c r="BB1027" s="3038"/>
      <c r="BC1027" s="3038"/>
      <c r="BD1027" s="3038"/>
      <c r="BE1027" s="3038"/>
      <c r="BF1027" s="3038"/>
      <c r="BG1027" s="3038"/>
      <c r="BH1027" s="3038"/>
      <c r="BI1027" s="3038"/>
      <c r="BJ1027" s="3038"/>
      <c r="BK1027" s="3038"/>
      <c r="BL1027" s="3038"/>
      <c r="BM1027" s="3038"/>
      <c r="BN1027" s="3038"/>
      <c r="BO1027" s="3038"/>
      <c r="BP1027" s="3038"/>
      <c r="BQ1027" s="3038"/>
      <c r="BR1027" s="3038"/>
      <c r="BS1027" s="3038"/>
      <c r="BT1027" s="3038"/>
      <c r="BU1027" s="3038"/>
    </row>
    <row r="1028" spans="3:73">
      <c r="C1028" s="3038"/>
      <c r="D1028" s="3038"/>
      <c r="E1028" s="3038"/>
      <c r="H1028" s="3038"/>
      <c r="I1028" s="3038"/>
      <c r="J1028" s="3038"/>
      <c r="K1028" s="3038"/>
      <c r="M1028" s="3038"/>
      <c r="N1028" s="3038"/>
      <c r="O1028" s="3038"/>
      <c r="P1028" s="3038"/>
      <c r="Q1028" s="3038"/>
      <c r="R1028" s="3038"/>
      <c r="S1028" s="3038"/>
      <c r="T1028" s="3038"/>
      <c r="W1028" s="3038"/>
      <c r="X1028" s="3038"/>
      <c r="Y1028" s="3038"/>
      <c r="Z1028" s="3038"/>
      <c r="AA1028" s="3113"/>
      <c r="AB1028" s="3038"/>
      <c r="AC1028" s="3038"/>
      <c r="AD1028" s="3038"/>
      <c r="AE1028" s="3132"/>
      <c r="AF1028" s="3038"/>
      <c r="AG1028" s="3038"/>
      <c r="AH1028" s="3038"/>
      <c r="AK1028" s="3038"/>
      <c r="AL1028" s="3038"/>
      <c r="AM1028" s="3038"/>
      <c r="AN1028" s="3038"/>
      <c r="AO1028" s="3038"/>
      <c r="AP1028" s="3038"/>
      <c r="AQ1028" s="3038"/>
      <c r="AR1028" s="3038"/>
      <c r="AS1028" s="3038"/>
      <c r="AT1028" s="3038"/>
      <c r="AU1028" s="3038"/>
      <c r="AV1028" s="3038"/>
      <c r="AW1028" s="3038"/>
      <c r="AX1028" s="3038"/>
      <c r="AY1028" s="3038"/>
      <c r="AZ1028" s="3038"/>
      <c r="BA1028" s="3038"/>
      <c r="BB1028" s="3038"/>
      <c r="BC1028" s="3038"/>
      <c r="BD1028" s="3038"/>
      <c r="BE1028" s="3038"/>
      <c r="BF1028" s="3038"/>
      <c r="BG1028" s="3038"/>
      <c r="BH1028" s="3038"/>
      <c r="BI1028" s="3038"/>
      <c r="BJ1028" s="3038"/>
      <c r="BK1028" s="3038"/>
      <c r="BL1028" s="3038"/>
      <c r="BM1028" s="3038"/>
      <c r="BN1028" s="3038"/>
      <c r="BO1028" s="3038"/>
      <c r="BP1028" s="3038"/>
      <c r="BQ1028" s="3038"/>
      <c r="BR1028" s="3038"/>
      <c r="BS1028" s="3038"/>
      <c r="BT1028" s="3038"/>
      <c r="BU1028" s="3038"/>
    </row>
    <row r="1029" spans="3:73">
      <c r="C1029" s="3038"/>
      <c r="D1029" s="3038"/>
      <c r="E1029" s="3038"/>
      <c r="H1029" s="3038"/>
      <c r="I1029" s="3038"/>
      <c r="J1029" s="3038"/>
      <c r="K1029" s="3038"/>
      <c r="M1029" s="3038"/>
      <c r="N1029" s="3038"/>
      <c r="O1029" s="3038"/>
      <c r="P1029" s="3038"/>
      <c r="Q1029" s="3038"/>
      <c r="R1029" s="3038"/>
      <c r="S1029" s="3038"/>
      <c r="T1029" s="3038"/>
      <c r="W1029" s="3038"/>
      <c r="X1029" s="3038"/>
      <c r="Y1029" s="3038"/>
      <c r="Z1029" s="3038"/>
      <c r="AA1029" s="3113"/>
      <c r="AB1029" s="3038"/>
      <c r="AC1029" s="3038"/>
      <c r="AD1029" s="3038"/>
      <c r="AE1029" s="3132"/>
      <c r="AF1029" s="3038"/>
      <c r="AG1029" s="3038"/>
      <c r="AH1029" s="3038"/>
      <c r="AK1029" s="3038"/>
      <c r="AL1029" s="3038"/>
      <c r="AM1029" s="3038"/>
      <c r="AN1029" s="3038"/>
      <c r="AO1029" s="3038"/>
      <c r="AP1029" s="3038"/>
      <c r="AQ1029" s="3038"/>
      <c r="AR1029" s="3038"/>
      <c r="AS1029" s="3038"/>
      <c r="AT1029" s="3038"/>
      <c r="AU1029" s="3038"/>
      <c r="AV1029" s="3038"/>
      <c r="AW1029" s="3038"/>
      <c r="AX1029" s="3038"/>
      <c r="AY1029" s="3038"/>
      <c r="AZ1029" s="3038"/>
      <c r="BA1029" s="3038"/>
      <c r="BB1029" s="3038"/>
      <c r="BC1029" s="3038"/>
      <c r="BD1029" s="3038"/>
      <c r="BE1029" s="3038"/>
      <c r="BF1029" s="3038"/>
      <c r="BG1029" s="3038"/>
      <c r="BH1029" s="3038"/>
      <c r="BI1029" s="3038"/>
      <c r="BJ1029" s="3038"/>
      <c r="BK1029" s="3038"/>
      <c r="BL1029" s="3038"/>
      <c r="BM1029" s="3038"/>
      <c r="BN1029" s="3038"/>
      <c r="BO1029" s="3038"/>
      <c r="BP1029" s="3038"/>
      <c r="BQ1029" s="3038"/>
      <c r="BR1029" s="3038"/>
      <c r="BS1029" s="3038"/>
      <c r="BT1029" s="3038"/>
      <c r="BU1029" s="3038"/>
    </row>
    <row r="1030" spans="3:73">
      <c r="C1030" s="3038"/>
      <c r="D1030" s="3038"/>
      <c r="E1030" s="3038"/>
      <c r="H1030" s="3038"/>
      <c r="I1030" s="3038"/>
      <c r="J1030" s="3038"/>
      <c r="K1030" s="3038"/>
      <c r="M1030" s="3038"/>
      <c r="N1030" s="3038"/>
      <c r="O1030" s="3038"/>
      <c r="P1030" s="3038"/>
      <c r="Q1030" s="3038"/>
      <c r="R1030" s="3038"/>
      <c r="S1030" s="3038"/>
      <c r="T1030" s="3038"/>
      <c r="W1030" s="3038"/>
      <c r="X1030" s="3038"/>
      <c r="Y1030" s="3038"/>
      <c r="Z1030" s="3038"/>
      <c r="AA1030" s="3113"/>
      <c r="AB1030" s="3038"/>
      <c r="AC1030" s="3038"/>
      <c r="AD1030" s="3038"/>
      <c r="AE1030" s="3132"/>
      <c r="AF1030" s="3038"/>
      <c r="AG1030" s="3038"/>
      <c r="AH1030" s="3038"/>
      <c r="AK1030" s="3038"/>
      <c r="AL1030" s="3038"/>
      <c r="AM1030" s="3038"/>
      <c r="AN1030" s="3038"/>
      <c r="AO1030" s="3038"/>
      <c r="AP1030" s="3038"/>
      <c r="AQ1030" s="3038"/>
      <c r="AR1030" s="3038"/>
      <c r="AS1030" s="3038"/>
      <c r="AT1030" s="3038"/>
      <c r="AU1030" s="3038"/>
      <c r="AV1030" s="3038"/>
      <c r="AW1030" s="3038"/>
      <c r="AX1030" s="3038"/>
      <c r="AY1030" s="3038"/>
      <c r="AZ1030" s="3038"/>
      <c r="BA1030" s="3038"/>
      <c r="BB1030" s="3038"/>
      <c r="BC1030" s="3038"/>
      <c r="BD1030" s="3038"/>
      <c r="BE1030" s="3038"/>
      <c r="BF1030" s="3038"/>
      <c r="BG1030" s="3038"/>
      <c r="BH1030" s="3038"/>
      <c r="BI1030" s="3038"/>
      <c r="BJ1030" s="3038"/>
      <c r="BK1030" s="3038"/>
      <c r="BL1030" s="3038"/>
      <c r="BM1030" s="3038"/>
      <c r="BN1030" s="3038"/>
      <c r="BO1030" s="3038"/>
      <c r="BP1030" s="3038"/>
      <c r="BQ1030" s="3038"/>
      <c r="BR1030" s="3038"/>
      <c r="BS1030" s="3038"/>
      <c r="BT1030" s="3038"/>
      <c r="BU1030" s="3038"/>
    </row>
    <row r="1031" spans="3:73">
      <c r="C1031" s="3038"/>
      <c r="D1031" s="3038"/>
      <c r="E1031" s="3038"/>
      <c r="H1031" s="3038"/>
      <c r="I1031" s="3038"/>
      <c r="J1031" s="3038"/>
      <c r="K1031" s="3038"/>
      <c r="M1031" s="3038"/>
      <c r="N1031" s="3038"/>
      <c r="O1031" s="3038"/>
      <c r="P1031" s="3038"/>
      <c r="Q1031" s="3038"/>
      <c r="R1031" s="3038"/>
      <c r="S1031" s="3038"/>
      <c r="T1031" s="3038"/>
      <c r="W1031" s="3038"/>
      <c r="X1031" s="3038"/>
      <c r="Y1031" s="3038"/>
      <c r="Z1031" s="3038"/>
      <c r="AA1031" s="3113"/>
      <c r="AB1031" s="3038"/>
      <c r="AC1031" s="3038"/>
      <c r="AD1031" s="3038"/>
      <c r="AE1031" s="3132"/>
      <c r="AF1031" s="3038"/>
      <c r="AG1031" s="3038"/>
      <c r="AH1031" s="3038"/>
      <c r="AK1031" s="3038"/>
      <c r="AL1031" s="3038"/>
      <c r="AM1031" s="3038"/>
      <c r="AN1031" s="3038"/>
      <c r="AO1031" s="3038"/>
      <c r="AP1031" s="3038"/>
      <c r="AQ1031" s="3038"/>
      <c r="AR1031" s="3038"/>
      <c r="AS1031" s="3038"/>
      <c r="AT1031" s="3038"/>
      <c r="AU1031" s="3038"/>
      <c r="AV1031" s="3038"/>
      <c r="AW1031" s="3038"/>
      <c r="AX1031" s="3038"/>
      <c r="AY1031" s="3038"/>
      <c r="AZ1031" s="3038"/>
      <c r="BA1031" s="3038"/>
      <c r="BB1031" s="3038"/>
      <c r="BC1031" s="3038"/>
      <c r="BD1031" s="3038"/>
      <c r="BE1031" s="3038"/>
      <c r="BF1031" s="3038"/>
      <c r="BG1031" s="3038"/>
      <c r="BH1031" s="3038"/>
      <c r="BI1031" s="3038"/>
      <c r="BJ1031" s="3038"/>
      <c r="BK1031" s="3038"/>
      <c r="BL1031" s="3038"/>
      <c r="BM1031" s="3038"/>
      <c r="BN1031" s="3038"/>
      <c r="BO1031" s="3038"/>
      <c r="BP1031" s="3038"/>
      <c r="BQ1031" s="3038"/>
      <c r="BR1031" s="3038"/>
      <c r="BS1031" s="3038"/>
      <c r="BT1031" s="3038"/>
      <c r="BU1031" s="3038"/>
    </row>
    <row r="1032" spans="3:73">
      <c r="C1032" s="3038"/>
      <c r="D1032" s="3038"/>
      <c r="E1032" s="3038"/>
      <c r="H1032" s="3038"/>
      <c r="I1032" s="3038"/>
      <c r="J1032" s="3038"/>
      <c r="K1032" s="3038"/>
      <c r="M1032" s="3038"/>
      <c r="N1032" s="3038"/>
      <c r="O1032" s="3038"/>
      <c r="P1032" s="3038"/>
      <c r="Q1032" s="3038"/>
      <c r="R1032" s="3038"/>
      <c r="S1032" s="3038"/>
      <c r="T1032" s="3038"/>
      <c r="W1032" s="3038"/>
      <c r="X1032" s="3038"/>
      <c r="Y1032" s="3038"/>
      <c r="Z1032" s="3038"/>
      <c r="AA1032" s="3113"/>
      <c r="AB1032" s="3038"/>
      <c r="AC1032" s="3038"/>
      <c r="AD1032" s="3038"/>
      <c r="AE1032" s="3132"/>
      <c r="AF1032" s="3038"/>
      <c r="AG1032" s="3038"/>
      <c r="AH1032" s="3038"/>
      <c r="AK1032" s="3038"/>
      <c r="AL1032" s="3038"/>
      <c r="AM1032" s="3038"/>
      <c r="AN1032" s="3038"/>
      <c r="AO1032" s="3038"/>
      <c r="AP1032" s="3038"/>
      <c r="AQ1032" s="3038"/>
      <c r="AR1032" s="3038"/>
      <c r="AS1032" s="3038"/>
      <c r="AT1032" s="3038"/>
      <c r="AU1032" s="3038"/>
      <c r="AV1032" s="3038"/>
      <c r="AW1032" s="3038"/>
      <c r="AX1032" s="3038"/>
      <c r="AY1032" s="3038"/>
      <c r="AZ1032" s="3038"/>
      <c r="BA1032" s="3038"/>
      <c r="BB1032" s="3038"/>
      <c r="BC1032" s="3038"/>
      <c r="BD1032" s="3038"/>
      <c r="BE1032" s="3038"/>
      <c r="BF1032" s="3038"/>
      <c r="BG1032" s="3038"/>
      <c r="BH1032" s="3038"/>
      <c r="BI1032" s="3038"/>
      <c r="BJ1032" s="3038"/>
      <c r="BK1032" s="3038"/>
      <c r="BL1032" s="3038"/>
      <c r="BM1032" s="3038"/>
      <c r="BN1032" s="3038"/>
      <c r="BO1032" s="3038"/>
      <c r="BP1032" s="3038"/>
      <c r="BQ1032" s="3038"/>
      <c r="BR1032" s="3038"/>
      <c r="BS1032" s="3038"/>
      <c r="BT1032" s="3038"/>
      <c r="BU1032" s="3038"/>
    </row>
    <row r="1033" spans="3:73">
      <c r="C1033" s="3038"/>
      <c r="D1033" s="3038"/>
      <c r="E1033" s="3038"/>
      <c r="H1033" s="3038"/>
      <c r="I1033" s="3038"/>
      <c r="J1033" s="3038"/>
      <c r="K1033" s="3038"/>
      <c r="M1033" s="3038"/>
      <c r="N1033" s="3038"/>
      <c r="O1033" s="3038"/>
      <c r="P1033" s="3038"/>
      <c r="Q1033" s="3038"/>
      <c r="R1033" s="3038"/>
      <c r="S1033" s="3038"/>
      <c r="T1033" s="3038"/>
      <c r="W1033" s="3038"/>
      <c r="X1033" s="3038"/>
      <c r="Y1033" s="3038"/>
      <c r="Z1033" s="3038"/>
      <c r="AA1033" s="3113"/>
      <c r="AB1033" s="3038"/>
      <c r="AC1033" s="3038"/>
      <c r="AD1033" s="3038"/>
      <c r="AE1033" s="3132"/>
      <c r="AF1033" s="3038"/>
      <c r="AG1033" s="3038"/>
      <c r="AH1033" s="3038"/>
      <c r="AK1033" s="3038"/>
      <c r="AL1033" s="3038"/>
      <c r="AM1033" s="3038"/>
      <c r="AN1033" s="3038"/>
      <c r="AO1033" s="3038"/>
      <c r="AP1033" s="3038"/>
      <c r="AQ1033" s="3038"/>
      <c r="AR1033" s="3038"/>
      <c r="AS1033" s="3038"/>
      <c r="AT1033" s="3038"/>
      <c r="AU1033" s="3038"/>
      <c r="AV1033" s="3038"/>
      <c r="AW1033" s="3038"/>
      <c r="AX1033" s="3038"/>
      <c r="AY1033" s="3038"/>
      <c r="AZ1033" s="3038"/>
      <c r="BA1033" s="3038"/>
      <c r="BB1033" s="3038"/>
      <c r="BC1033" s="3038"/>
      <c r="BD1033" s="3038"/>
      <c r="BE1033" s="3038"/>
      <c r="BF1033" s="3038"/>
      <c r="BG1033" s="3038"/>
      <c r="BH1033" s="3038"/>
      <c r="BI1033" s="3038"/>
      <c r="BJ1033" s="3038"/>
      <c r="BK1033" s="3038"/>
      <c r="BL1033" s="3038"/>
      <c r="BM1033" s="3038"/>
      <c r="BN1033" s="3038"/>
      <c r="BO1033" s="3038"/>
      <c r="BP1033" s="3038"/>
      <c r="BQ1033" s="3038"/>
      <c r="BR1033" s="3038"/>
      <c r="BS1033" s="3038"/>
      <c r="BT1033" s="3038"/>
      <c r="BU1033" s="3038"/>
    </row>
    <row r="1034" spans="3:73">
      <c r="C1034" s="3038"/>
      <c r="D1034" s="3038"/>
      <c r="E1034" s="3038"/>
      <c r="H1034" s="3038"/>
      <c r="I1034" s="3038"/>
      <c r="J1034" s="3038"/>
      <c r="K1034" s="3038"/>
      <c r="M1034" s="3038"/>
      <c r="N1034" s="3038"/>
      <c r="O1034" s="3038"/>
      <c r="P1034" s="3038"/>
      <c r="Q1034" s="3038"/>
      <c r="R1034" s="3038"/>
      <c r="S1034" s="3038"/>
      <c r="T1034" s="3038"/>
      <c r="W1034" s="3038"/>
      <c r="X1034" s="3038"/>
      <c r="Y1034" s="3038"/>
      <c r="Z1034" s="3038"/>
      <c r="AA1034" s="3113"/>
      <c r="AB1034" s="3038"/>
      <c r="AC1034" s="3038"/>
      <c r="AD1034" s="3038"/>
      <c r="AE1034" s="3132"/>
      <c r="AF1034" s="3038"/>
      <c r="AG1034" s="3038"/>
      <c r="AH1034" s="3038"/>
      <c r="AK1034" s="3038"/>
      <c r="AL1034" s="3038"/>
      <c r="AM1034" s="3038"/>
      <c r="AN1034" s="3038"/>
      <c r="AO1034" s="3038"/>
      <c r="AP1034" s="3038"/>
      <c r="AQ1034" s="3038"/>
      <c r="AR1034" s="3038"/>
      <c r="AS1034" s="3038"/>
      <c r="AT1034" s="3038"/>
      <c r="AU1034" s="3038"/>
      <c r="AV1034" s="3038"/>
      <c r="AW1034" s="3038"/>
      <c r="AX1034" s="3038"/>
      <c r="AY1034" s="3038"/>
      <c r="AZ1034" s="3038"/>
      <c r="BA1034" s="3038"/>
      <c r="BB1034" s="3038"/>
      <c r="BC1034" s="3038"/>
      <c r="BD1034" s="3038"/>
      <c r="BE1034" s="3038"/>
      <c r="BF1034" s="3038"/>
      <c r="BG1034" s="3038"/>
      <c r="BH1034" s="3038"/>
      <c r="BI1034" s="3038"/>
      <c r="BJ1034" s="3038"/>
      <c r="BK1034" s="3038"/>
      <c r="BL1034" s="3038"/>
      <c r="BM1034" s="3038"/>
      <c r="BN1034" s="3038"/>
      <c r="BO1034" s="3038"/>
      <c r="BP1034" s="3038"/>
      <c r="BQ1034" s="3038"/>
      <c r="BR1034" s="3038"/>
      <c r="BS1034" s="3038"/>
      <c r="BT1034" s="3038"/>
      <c r="BU1034" s="3038"/>
    </row>
    <row r="1035" spans="3:73">
      <c r="C1035" s="3038"/>
      <c r="D1035" s="3038"/>
      <c r="E1035" s="3038"/>
      <c r="H1035" s="3038"/>
      <c r="I1035" s="3038"/>
      <c r="J1035" s="3038"/>
      <c r="K1035" s="3038"/>
      <c r="M1035" s="3038"/>
      <c r="N1035" s="3038"/>
      <c r="O1035" s="3038"/>
      <c r="P1035" s="3038"/>
      <c r="Q1035" s="3038"/>
      <c r="R1035" s="3038"/>
      <c r="S1035" s="3038"/>
      <c r="T1035" s="3038"/>
      <c r="W1035" s="3038"/>
      <c r="X1035" s="3038"/>
      <c r="Y1035" s="3038"/>
      <c r="Z1035" s="3038"/>
      <c r="AA1035" s="3113"/>
      <c r="AB1035" s="3038"/>
      <c r="AC1035" s="3038"/>
      <c r="AD1035" s="3038"/>
      <c r="AE1035" s="3132"/>
      <c r="AF1035" s="3038"/>
      <c r="AG1035" s="3038"/>
      <c r="AH1035" s="3038"/>
      <c r="AK1035" s="3038"/>
      <c r="AL1035" s="3038"/>
      <c r="AM1035" s="3038"/>
      <c r="AN1035" s="3038"/>
      <c r="AO1035" s="3038"/>
      <c r="AP1035" s="3038"/>
      <c r="AQ1035" s="3038"/>
      <c r="AR1035" s="3038"/>
      <c r="AS1035" s="3038"/>
      <c r="AT1035" s="3038"/>
      <c r="AU1035" s="3038"/>
      <c r="AV1035" s="3038"/>
      <c r="AW1035" s="3038"/>
      <c r="AX1035" s="3038"/>
      <c r="AY1035" s="3038"/>
      <c r="AZ1035" s="3038"/>
      <c r="BA1035" s="3038"/>
      <c r="BB1035" s="3038"/>
      <c r="BC1035" s="3038"/>
      <c r="BD1035" s="3038"/>
      <c r="BE1035" s="3038"/>
      <c r="BF1035" s="3038"/>
      <c r="BG1035" s="3038"/>
      <c r="BH1035" s="3038"/>
      <c r="BI1035" s="3038"/>
      <c r="BJ1035" s="3038"/>
      <c r="BK1035" s="3038"/>
      <c r="BL1035" s="3038"/>
      <c r="BM1035" s="3038"/>
      <c r="BN1035" s="3038"/>
      <c r="BO1035" s="3038"/>
      <c r="BP1035" s="3038"/>
      <c r="BQ1035" s="3038"/>
      <c r="BR1035" s="3038"/>
      <c r="BS1035" s="3038"/>
      <c r="BT1035" s="3038"/>
      <c r="BU1035" s="3038"/>
    </row>
    <row r="1036" spans="3:73">
      <c r="C1036" s="3038"/>
      <c r="D1036" s="3038"/>
      <c r="E1036" s="3038"/>
      <c r="H1036" s="3038"/>
      <c r="I1036" s="3038"/>
      <c r="J1036" s="3038"/>
      <c r="K1036" s="3038"/>
      <c r="M1036" s="3038"/>
      <c r="N1036" s="3038"/>
      <c r="O1036" s="3038"/>
      <c r="P1036" s="3038"/>
      <c r="Q1036" s="3038"/>
      <c r="R1036" s="3038"/>
      <c r="S1036" s="3038"/>
      <c r="T1036" s="3038"/>
      <c r="W1036" s="3038"/>
      <c r="X1036" s="3038"/>
      <c r="Y1036" s="3038"/>
      <c r="Z1036" s="3038"/>
      <c r="AA1036" s="3113"/>
      <c r="AB1036" s="3038"/>
      <c r="AC1036" s="3038"/>
      <c r="AD1036" s="3038"/>
      <c r="AE1036" s="3132"/>
      <c r="AF1036" s="3038"/>
      <c r="AG1036" s="3038"/>
      <c r="AH1036" s="3038"/>
      <c r="AK1036" s="3038"/>
      <c r="AL1036" s="3038"/>
      <c r="AM1036" s="3038"/>
      <c r="AN1036" s="3038"/>
      <c r="AO1036" s="3038"/>
      <c r="AP1036" s="3038"/>
      <c r="AQ1036" s="3038"/>
      <c r="AR1036" s="3038"/>
      <c r="AS1036" s="3038"/>
      <c r="AT1036" s="3038"/>
      <c r="AU1036" s="3038"/>
      <c r="AV1036" s="3038"/>
      <c r="AW1036" s="3038"/>
      <c r="AX1036" s="3038"/>
      <c r="AY1036" s="3038"/>
      <c r="AZ1036" s="3038"/>
      <c r="BA1036" s="3038"/>
      <c r="BB1036" s="3038"/>
      <c r="BC1036" s="3038"/>
      <c r="BD1036" s="3038"/>
      <c r="BE1036" s="3038"/>
      <c r="BF1036" s="3038"/>
      <c r="BG1036" s="3038"/>
      <c r="BH1036" s="3038"/>
      <c r="BI1036" s="3038"/>
      <c r="BJ1036" s="3038"/>
      <c r="BK1036" s="3038"/>
      <c r="BL1036" s="3038"/>
      <c r="BM1036" s="3038"/>
      <c r="BN1036" s="3038"/>
      <c r="BO1036" s="3038"/>
      <c r="BP1036" s="3038"/>
      <c r="BQ1036" s="3038"/>
      <c r="BR1036" s="3038"/>
      <c r="BS1036" s="3038"/>
      <c r="BT1036" s="3038"/>
      <c r="BU1036" s="3038"/>
    </row>
    <row r="1037" spans="3:73">
      <c r="C1037" s="3038"/>
      <c r="D1037" s="3038"/>
      <c r="E1037" s="3038"/>
      <c r="H1037" s="3038"/>
      <c r="I1037" s="3038"/>
      <c r="J1037" s="3038"/>
      <c r="K1037" s="3038"/>
      <c r="M1037" s="3038"/>
      <c r="N1037" s="3038"/>
      <c r="O1037" s="3038"/>
      <c r="P1037" s="3038"/>
      <c r="Q1037" s="3038"/>
      <c r="R1037" s="3038"/>
      <c r="S1037" s="3038"/>
      <c r="T1037" s="3038"/>
      <c r="W1037" s="3038"/>
      <c r="X1037" s="3038"/>
      <c r="Y1037" s="3038"/>
      <c r="Z1037" s="3038"/>
      <c r="AA1037" s="3113"/>
      <c r="AB1037" s="3038"/>
      <c r="AC1037" s="3038"/>
      <c r="AD1037" s="3038"/>
      <c r="AE1037" s="3132"/>
      <c r="AF1037" s="3038"/>
      <c r="AG1037" s="3038"/>
      <c r="AH1037" s="3038"/>
      <c r="AK1037" s="3038"/>
      <c r="AL1037" s="3038"/>
      <c r="AM1037" s="3038"/>
      <c r="AN1037" s="3038"/>
      <c r="AO1037" s="3038"/>
      <c r="AP1037" s="3038"/>
      <c r="AQ1037" s="3038"/>
      <c r="AR1037" s="3038"/>
      <c r="AS1037" s="3038"/>
      <c r="AT1037" s="3038"/>
      <c r="AU1037" s="3038"/>
      <c r="AV1037" s="3038"/>
      <c r="AW1037" s="3038"/>
      <c r="AX1037" s="3038"/>
      <c r="AY1037" s="3038"/>
      <c r="AZ1037" s="3038"/>
      <c r="BA1037" s="3038"/>
      <c r="BB1037" s="3038"/>
      <c r="BC1037" s="3038"/>
      <c r="BD1037" s="3038"/>
      <c r="BE1037" s="3038"/>
      <c r="BF1037" s="3038"/>
      <c r="BG1037" s="3038"/>
      <c r="BH1037" s="3038"/>
      <c r="BI1037" s="3038"/>
      <c r="BJ1037" s="3038"/>
      <c r="BK1037" s="3038"/>
      <c r="BL1037" s="3038"/>
      <c r="BM1037" s="3038"/>
      <c r="BN1037" s="3038"/>
      <c r="BO1037" s="3038"/>
      <c r="BP1037" s="3038"/>
      <c r="BQ1037" s="3038"/>
      <c r="BR1037" s="3038"/>
      <c r="BS1037" s="3038"/>
      <c r="BT1037" s="3038"/>
      <c r="BU1037" s="3038"/>
    </row>
    <row r="1038" spans="3:73">
      <c r="C1038" s="3038"/>
      <c r="D1038" s="3038"/>
      <c r="E1038" s="3038"/>
      <c r="H1038" s="3038"/>
      <c r="I1038" s="3038"/>
      <c r="J1038" s="3038"/>
      <c r="K1038" s="3038"/>
      <c r="M1038" s="3038"/>
      <c r="N1038" s="3038"/>
      <c r="O1038" s="3038"/>
      <c r="P1038" s="3038"/>
      <c r="Q1038" s="3038"/>
      <c r="R1038" s="3038"/>
      <c r="S1038" s="3038"/>
      <c r="T1038" s="3038"/>
      <c r="W1038" s="3038"/>
      <c r="X1038" s="3038"/>
      <c r="Y1038" s="3038"/>
      <c r="Z1038" s="3038"/>
      <c r="AA1038" s="3113"/>
      <c r="AB1038" s="3038"/>
      <c r="AC1038" s="3038"/>
      <c r="AD1038" s="3038"/>
      <c r="AE1038" s="3132"/>
      <c r="AF1038" s="3038"/>
      <c r="AG1038" s="3038"/>
      <c r="AH1038" s="3038"/>
      <c r="AK1038" s="3038"/>
      <c r="AL1038" s="3038"/>
      <c r="AM1038" s="3038"/>
      <c r="AN1038" s="3038"/>
      <c r="AO1038" s="3038"/>
      <c r="AP1038" s="3038"/>
      <c r="AQ1038" s="3038"/>
      <c r="AR1038" s="3038"/>
      <c r="AS1038" s="3038"/>
      <c r="AT1038" s="3038"/>
      <c r="AU1038" s="3038"/>
      <c r="AV1038" s="3038"/>
      <c r="AW1038" s="3038"/>
      <c r="AX1038" s="3038"/>
      <c r="AY1038" s="3038"/>
      <c r="AZ1038" s="3038"/>
      <c r="BA1038" s="3038"/>
      <c r="BB1038" s="3038"/>
      <c r="BC1038" s="3038"/>
      <c r="BD1038" s="3038"/>
      <c r="BE1038" s="3038"/>
      <c r="BF1038" s="3038"/>
      <c r="BG1038" s="3038"/>
      <c r="BH1038" s="3038"/>
      <c r="BI1038" s="3038"/>
      <c r="BJ1038" s="3038"/>
      <c r="BK1038" s="3038"/>
      <c r="BL1038" s="3038"/>
      <c r="BM1038" s="3038"/>
      <c r="BN1038" s="3038"/>
      <c r="BO1038" s="3038"/>
      <c r="BP1038" s="3038"/>
      <c r="BQ1038" s="3038"/>
      <c r="BR1038" s="3038"/>
      <c r="BS1038" s="3038"/>
      <c r="BT1038" s="3038"/>
      <c r="BU1038" s="3038"/>
    </row>
    <row r="1039" spans="3:73">
      <c r="C1039" s="3038"/>
      <c r="D1039" s="3038"/>
      <c r="E1039" s="3038"/>
      <c r="H1039" s="3038"/>
      <c r="I1039" s="3038"/>
      <c r="J1039" s="3038"/>
      <c r="K1039" s="3038"/>
      <c r="M1039" s="3038"/>
      <c r="N1039" s="3038"/>
      <c r="O1039" s="3038"/>
      <c r="P1039" s="3038"/>
      <c r="Q1039" s="3038"/>
      <c r="R1039" s="3038"/>
      <c r="S1039" s="3038"/>
      <c r="T1039" s="3038"/>
      <c r="W1039" s="3038"/>
      <c r="X1039" s="3038"/>
      <c r="Y1039" s="3038"/>
      <c r="Z1039" s="3038"/>
      <c r="AA1039" s="3113"/>
      <c r="AB1039" s="3038"/>
      <c r="AC1039" s="3038"/>
      <c r="AD1039" s="3038"/>
      <c r="AE1039" s="3132"/>
      <c r="AF1039" s="3038"/>
      <c r="AG1039" s="3038"/>
      <c r="AH1039" s="3038"/>
      <c r="AK1039" s="3038"/>
      <c r="AL1039" s="3038"/>
      <c r="AM1039" s="3038"/>
      <c r="AN1039" s="3038"/>
      <c r="AO1039" s="3038"/>
      <c r="AP1039" s="3038"/>
      <c r="AQ1039" s="3038"/>
      <c r="AR1039" s="3038"/>
      <c r="AS1039" s="3038"/>
      <c r="AT1039" s="3038"/>
      <c r="AU1039" s="3038"/>
      <c r="AV1039" s="3038"/>
      <c r="AW1039" s="3038"/>
      <c r="AX1039" s="3038"/>
      <c r="AY1039" s="3038"/>
      <c r="AZ1039" s="3038"/>
      <c r="BA1039" s="3038"/>
      <c r="BB1039" s="3038"/>
      <c r="BC1039" s="3038"/>
      <c r="BD1039" s="3038"/>
      <c r="BE1039" s="3038"/>
      <c r="BF1039" s="3038"/>
      <c r="BG1039" s="3038"/>
      <c r="BH1039" s="3038"/>
      <c r="BI1039" s="3038"/>
      <c r="BJ1039" s="3038"/>
      <c r="BK1039" s="3038"/>
      <c r="BL1039" s="3038"/>
      <c r="BM1039" s="3038"/>
      <c r="BN1039" s="3038"/>
      <c r="BO1039" s="3038"/>
      <c r="BP1039" s="3038"/>
      <c r="BQ1039" s="3038"/>
      <c r="BR1039" s="3038"/>
      <c r="BS1039" s="3038"/>
      <c r="BT1039" s="3038"/>
      <c r="BU1039" s="3038"/>
    </row>
    <row r="1040" spans="3:73">
      <c r="C1040" s="3038"/>
      <c r="D1040" s="3038"/>
      <c r="E1040" s="3038"/>
      <c r="H1040" s="3038"/>
      <c r="I1040" s="3038"/>
      <c r="J1040" s="3038"/>
      <c r="K1040" s="3038"/>
      <c r="M1040" s="3038"/>
      <c r="N1040" s="3038"/>
      <c r="O1040" s="3038"/>
      <c r="P1040" s="3038"/>
      <c r="Q1040" s="3038"/>
      <c r="R1040" s="3038"/>
      <c r="S1040" s="3038"/>
      <c r="T1040" s="3038"/>
      <c r="W1040" s="3038"/>
      <c r="X1040" s="3038"/>
      <c r="Y1040" s="3038"/>
      <c r="Z1040" s="3038"/>
      <c r="AA1040" s="3113"/>
      <c r="AB1040" s="3038"/>
      <c r="AC1040" s="3038"/>
      <c r="AD1040" s="3038"/>
      <c r="AE1040" s="3132"/>
      <c r="AF1040" s="3038"/>
      <c r="AG1040" s="3038"/>
      <c r="AH1040" s="3038"/>
      <c r="AK1040" s="3038"/>
      <c r="AL1040" s="3038"/>
      <c r="AM1040" s="3038"/>
      <c r="AN1040" s="3038"/>
      <c r="AO1040" s="3038"/>
      <c r="AP1040" s="3038"/>
      <c r="AQ1040" s="3038"/>
      <c r="AR1040" s="3038"/>
      <c r="AS1040" s="3038"/>
      <c r="AT1040" s="3038"/>
      <c r="AU1040" s="3038"/>
      <c r="AV1040" s="3038"/>
      <c r="AW1040" s="3038"/>
      <c r="AX1040" s="3038"/>
      <c r="AY1040" s="3038"/>
      <c r="AZ1040" s="3038"/>
      <c r="BA1040" s="3038"/>
      <c r="BB1040" s="3038"/>
      <c r="BC1040" s="3038"/>
      <c r="BD1040" s="3038"/>
      <c r="BE1040" s="3038"/>
      <c r="BF1040" s="3038"/>
      <c r="BG1040" s="3038"/>
      <c r="BH1040" s="3038"/>
      <c r="BI1040" s="3038"/>
      <c r="BJ1040" s="3038"/>
      <c r="BK1040" s="3038"/>
      <c r="BL1040" s="3038"/>
      <c r="BM1040" s="3038"/>
      <c r="BN1040" s="3038"/>
      <c r="BO1040" s="3038"/>
      <c r="BP1040" s="3038"/>
      <c r="BQ1040" s="3038"/>
      <c r="BR1040" s="3038"/>
      <c r="BS1040" s="3038"/>
      <c r="BT1040" s="3038"/>
      <c r="BU1040" s="3038"/>
    </row>
    <row r="1041" spans="3:73">
      <c r="C1041" s="3038"/>
      <c r="D1041" s="3038"/>
      <c r="E1041" s="3038"/>
      <c r="H1041" s="3038"/>
      <c r="I1041" s="3038"/>
      <c r="J1041" s="3038"/>
      <c r="K1041" s="3038"/>
      <c r="M1041" s="3038"/>
      <c r="N1041" s="3038"/>
      <c r="O1041" s="3038"/>
      <c r="P1041" s="3038"/>
      <c r="Q1041" s="3038"/>
      <c r="R1041" s="3038"/>
      <c r="S1041" s="3038"/>
      <c r="T1041" s="3038"/>
      <c r="W1041" s="3038"/>
      <c r="X1041" s="3038"/>
      <c r="Y1041" s="3038"/>
      <c r="Z1041" s="3038"/>
      <c r="AA1041" s="3113"/>
      <c r="AB1041" s="3038"/>
      <c r="AC1041" s="3038"/>
      <c r="AD1041" s="3038"/>
      <c r="AE1041" s="3132"/>
      <c r="AF1041" s="3038"/>
      <c r="AG1041" s="3038"/>
      <c r="AH1041" s="3038"/>
      <c r="AK1041" s="3038"/>
      <c r="AL1041" s="3038"/>
      <c r="AM1041" s="3038"/>
      <c r="AN1041" s="3038"/>
      <c r="AO1041" s="3038"/>
      <c r="AP1041" s="3038"/>
      <c r="AQ1041" s="3038"/>
      <c r="AR1041" s="3038"/>
      <c r="AS1041" s="3038"/>
      <c r="AT1041" s="3038"/>
      <c r="AU1041" s="3038"/>
      <c r="AV1041" s="3038"/>
      <c r="AW1041" s="3038"/>
      <c r="AX1041" s="3038"/>
      <c r="AY1041" s="3038"/>
      <c r="AZ1041" s="3038"/>
      <c r="BA1041" s="3038"/>
      <c r="BB1041" s="3038"/>
      <c r="BC1041" s="3038"/>
      <c r="BD1041" s="3038"/>
      <c r="BE1041" s="3038"/>
      <c r="BF1041" s="3038"/>
      <c r="BG1041" s="3038"/>
      <c r="BH1041" s="3038"/>
      <c r="BI1041" s="3038"/>
      <c r="BJ1041" s="3038"/>
      <c r="BK1041" s="3038"/>
      <c r="BL1041" s="3038"/>
      <c r="BM1041" s="3038"/>
      <c r="BN1041" s="3038"/>
      <c r="BO1041" s="3038"/>
      <c r="BP1041" s="3038"/>
      <c r="BQ1041" s="3038"/>
      <c r="BR1041" s="3038"/>
      <c r="BS1041" s="3038"/>
      <c r="BT1041" s="3038"/>
      <c r="BU1041" s="3038"/>
    </row>
    <row r="1042" spans="3:73">
      <c r="C1042" s="3038"/>
      <c r="D1042" s="3038"/>
      <c r="E1042" s="3038"/>
      <c r="H1042" s="3038"/>
      <c r="I1042" s="3038"/>
      <c r="J1042" s="3038"/>
      <c r="K1042" s="3038"/>
      <c r="M1042" s="3038"/>
      <c r="N1042" s="3038"/>
      <c r="O1042" s="3038"/>
      <c r="P1042" s="3038"/>
      <c r="Q1042" s="3038"/>
      <c r="R1042" s="3038"/>
      <c r="S1042" s="3038"/>
      <c r="T1042" s="3038"/>
      <c r="W1042" s="3038"/>
      <c r="X1042" s="3038"/>
      <c r="Y1042" s="3038"/>
      <c r="Z1042" s="3038"/>
      <c r="AA1042" s="3113"/>
      <c r="AB1042" s="3038"/>
      <c r="AC1042" s="3038"/>
      <c r="AD1042" s="3038"/>
      <c r="AE1042" s="3132"/>
      <c r="AF1042" s="3038"/>
      <c r="AG1042" s="3038"/>
      <c r="AH1042" s="3038"/>
      <c r="AK1042" s="3038"/>
      <c r="AL1042" s="3038"/>
      <c r="AM1042" s="3038"/>
      <c r="AN1042" s="3038"/>
      <c r="AO1042" s="3038"/>
      <c r="AP1042" s="3038"/>
      <c r="AQ1042" s="3038"/>
      <c r="AR1042" s="3038"/>
      <c r="AS1042" s="3038"/>
      <c r="AT1042" s="3038"/>
      <c r="AU1042" s="3038"/>
      <c r="AV1042" s="3038"/>
      <c r="AW1042" s="3038"/>
      <c r="AX1042" s="3038"/>
      <c r="AY1042" s="3038"/>
      <c r="AZ1042" s="3038"/>
      <c r="BA1042" s="3038"/>
      <c r="BB1042" s="3038"/>
      <c r="BC1042" s="3038"/>
      <c r="BD1042" s="3038"/>
      <c r="BE1042" s="3038"/>
      <c r="BF1042" s="3038"/>
      <c r="BG1042" s="3038"/>
      <c r="BH1042" s="3038"/>
      <c r="BI1042" s="3038"/>
      <c r="BJ1042" s="3038"/>
      <c r="BK1042" s="3038"/>
      <c r="BL1042" s="3038"/>
      <c r="BM1042" s="3038"/>
      <c r="BN1042" s="3038"/>
      <c r="BO1042" s="3038"/>
      <c r="BP1042" s="3038"/>
      <c r="BQ1042" s="3038"/>
      <c r="BR1042" s="3038"/>
      <c r="BS1042" s="3038"/>
      <c r="BT1042" s="3038"/>
      <c r="BU1042" s="3038"/>
    </row>
    <row r="1043" spans="3:73">
      <c r="C1043" s="3038"/>
      <c r="D1043" s="3038"/>
      <c r="E1043" s="3038"/>
      <c r="H1043" s="3038"/>
      <c r="I1043" s="3038"/>
      <c r="J1043" s="3038"/>
      <c r="K1043" s="3038"/>
      <c r="M1043" s="3038"/>
      <c r="N1043" s="3038"/>
      <c r="O1043" s="3038"/>
      <c r="P1043" s="3038"/>
      <c r="Q1043" s="3038"/>
      <c r="R1043" s="3038"/>
      <c r="S1043" s="3038"/>
      <c r="T1043" s="3038"/>
      <c r="W1043" s="3038"/>
      <c r="X1043" s="3038"/>
      <c r="Y1043" s="3038"/>
      <c r="Z1043" s="3038"/>
      <c r="AA1043" s="3113"/>
      <c r="AB1043" s="3038"/>
      <c r="AC1043" s="3038"/>
      <c r="AD1043" s="3038"/>
      <c r="AE1043" s="3132"/>
      <c r="AF1043" s="3038"/>
      <c r="AG1043" s="3038"/>
      <c r="AH1043" s="3038"/>
      <c r="AK1043" s="3038"/>
      <c r="AL1043" s="3038"/>
      <c r="AM1043" s="3038"/>
      <c r="AN1043" s="3038"/>
      <c r="AO1043" s="3038"/>
      <c r="AP1043" s="3038"/>
      <c r="AQ1043" s="3038"/>
      <c r="AR1043" s="3038"/>
      <c r="AS1043" s="3038"/>
      <c r="AT1043" s="3038"/>
      <c r="AU1043" s="3038"/>
      <c r="AV1043" s="3038"/>
      <c r="AW1043" s="3038"/>
      <c r="AX1043" s="3038"/>
      <c r="AY1043" s="3038"/>
      <c r="AZ1043" s="3038"/>
      <c r="BA1043" s="3038"/>
      <c r="BB1043" s="3038"/>
      <c r="BC1043" s="3038"/>
      <c r="BD1043" s="3038"/>
      <c r="BE1043" s="3038"/>
      <c r="BF1043" s="3038"/>
      <c r="BG1043" s="3038"/>
      <c r="BH1043" s="3038"/>
      <c r="BI1043" s="3038"/>
      <c r="BJ1043" s="3038"/>
      <c r="BK1043" s="3038"/>
      <c r="BL1043" s="3038"/>
      <c r="BM1043" s="3038"/>
      <c r="BN1043" s="3038"/>
      <c r="BO1043" s="3038"/>
      <c r="BP1043" s="3038"/>
      <c r="BQ1043" s="3038"/>
      <c r="BR1043" s="3038"/>
      <c r="BS1043" s="3038"/>
      <c r="BT1043" s="3038"/>
      <c r="BU1043" s="3038"/>
    </row>
    <row r="1044" spans="3:73">
      <c r="C1044" s="3038"/>
      <c r="D1044" s="3038"/>
      <c r="E1044" s="3038"/>
      <c r="H1044" s="3038"/>
      <c r="I1044" s="3038"/>
      <c r="J1044" s="3038"/>
      <c r="K1044" s="3038"/>
      <c r="M1044" s="3038"/>
      <c r="N1044" s="3038"/>
      <c r="O1044" s="3038"/>
      <c r="P1044" s="3038"/>
      <c r="Q1044" s="3038"/>
      <c r="R1044" s="3038"/>
      <c r="S1044" s="3038"/>
      <c r="T1044" s="3038"/>
      <c r="W1044" s="3038"/>
      <c r="X1044" s="3038"/>
      <c r="Y1044" s="3038"/>
      <c r="Z1044" s="3038"/>
      <c r="AA1044" s="3113"/>
      <c r="AB1044" s="3038"/>
      <c r="AC1044" s="3038"/>
      <c r="AD1044" s="3038"/>
      <c r="AE1044" s="3132"/>
      <c r="AF1044" s="3038"/>
      <c r="AG1044" s="3038"/>
      <c r="AH1044" s="3038"/>
      <c r="AK1044" s="3038"/>
      <c r="AL1044" s="3038"/>
      <c r="AM1044" s="3038"/>
      <c r="AN1044" s="3038"/>
      <c r="AO1044" s="3038"/>
      <c r="AP1044" s="3038"/>
      <c r="AQ1044" s="3038"/>
      <c r="AR1044" s="3038"/>
      <c r="AS1044" s="3038"/>
      <c r="AT1044" s="3038"/>
      <c r="AU1044" s="3038"/>
      <c r="AV1044" s="3038"/>
      <c r="AW1044" s="3038"/>
      <c r="AX1044" s="3038"/>
      <c r="AY1044" s="3038"/>
      <c r="AZ1044" s="3038"/>
      <c r="BA1044" s="3038"/>
      <c r="BB1044" s="3038"/>
      <c r="BC1044" s="3038"/>
      <c r="BD1044" s="3038"/>
      <c r="BE1044" s="3038"/>
      <c r="BF1044" s="3038"/>
      <c r="BG1044" s="3038"/>
      <c r="BH1044" s="3038"/>
      <c r="BI1044" s="3038"/>
      <c r="BJ1044" s="3038"/>
      <c r="BK1044" s="3038"/>
      <c r="BL1044" s="3038"/>
      <c r="BM1044" s="3038"/>
      <c r="BN1044" s="3038"/>
      <c r="BO1044" s="3038"/>
      <c r="BP1044" s="3038"/>
      <c r="BQ1044" s="3038"/>
      <c r="BR1044" s="3038"/>
      <c r="BS1044" s="3038"/>
      <c r="BT1044" s="3038"/>
      <c r="BU1044" s="3038"/>
    </row>
    <row r="1045" spans="3:73">
      <c r="C1045" s="3038"/>
      <c r="D1045" s="3038"/>
      <c r="E1045" s="3038"/>
      <c r="H1045" s="3038"/>
      <c r="I1045" s="3038"/>
      <c r="J1045" s="3038"/>
      <c r="K1045" s="3038"/>
      <c r="M1045" s="3038"/>
      <c r="N1045" s="3038"/>
      <c r="O1045" s="3038"/>
      <c r="P1045" s="3038"/>
      <c r="Q1045" s="3038"/>
      <c r="R1045" s="3038"/>
      <c r="S1045" s="3038"/>
      <c r="T1045" s="3038"/>
      <c r="W1045" s="3038"/>
      <c r="X1045" s="3038"/>
      <c r="Y1045" s="3038"/>
      <c r="Z1045" s="3038"/>
      <c r="AA1045" s="3113"/>
      <c r="AB1045" s="3038"/>
      <c r="AC1045" s="3038"/>
      <c r="AD1045" s="3038"/>
      <c r="AE1045" s="3132"/>
      <c r="AF1045" s="3038"/>
      <c r="AG1045" s="3038"/>
      <c r="AH1045" s="3038"/>
      <c r="AK1045" s="3038"/>
      <c r="AL1045" s="3038"/>
      <c r="AM1045" s="3038"/>
      <c r="AN1045" s="3038"/>
      <c r="AO1045" s="3038"/>
      <c r="AP1045" s="3038"/>
      <c r="AQ1045" s="3038"/>
      <c r="AR1045" s="3038"/>
      <c r="AS1045" s="3038"/>
      <c r="AT1045" s="3038"/>
      <c r="AU1045" s="3038"/>
      <c r="AV1045" s="3038"/>
      <c r="AW1045" s="3038"/>
      <c r="AX1045" s="3038"/>
      <c r="AY1045" s="3038"/>
      <c r="AZ1045" s="3038"/>
      <c r="BA1045" s="3038"/>
      <c r="BB1045" s="3038"/>
      <c r="BC1045" s="3038"/>
      <c r="BD1045" s="3038"/>
      <c r="BE1045" s="3038"/>
      <c r="BF1045" s="3038"/>
      <c r="BG1045" s="3038"/>
      <c r="BH1045" s="3038"/>
      <c r="BI1045" s="3038"/>
      <c r="BJ1045" s="3038"/>
      <c r="BK1045" s="3038"/>
      <c r="BL1045" s="3038"/>
      <c r="BM1045" s="3038"/>
      <c r="BN1045" s="3038"/>
      <c r="BO1045" s="3038"/>
      <c r="BP1045" s="3038"/>
      <c r="BQ1045" s="3038"/>
      <c r="BR1045" s="3038"/>
      <c r="BS1045" s="3038"/>
      <c r="BT1045" s="3038"/>
      <c r="BU1045" s="3038"/>
    </row>
    <row r="1046" spans="3:73">
      <c r="C1046" s="3038"/>
      <c r="D1046" s="3038"/>
      <c r="E1046" s="3038"/>
      <c r="H1046" s="3038"/>
      <c r="I1046" s="3038"/>
      <c r="J1046" s="3038"/>
      <c r="K1046" s="3038"/>
      <c r="M1046" s="3038"/>
      <c r="N1046" s="3038"/>
      <c r="O1046" s="3038"/>
      <c r="P1046" s="3038"/>
      <c r="Q1046" s="3038"/>
      <c r="R1046" s="3038"/>
      <c r="S1046" s="3038"/>
      <c r="T1046" s="3038"/>
      <c r="W1046" s="3038"/>
      <c r="X1046" s="3038"/>
      <c r="Y1046" s="3038"/>
      <c r="Z1046" s="3038"/>
      <c r="AA1046" s="3113"/>
      <c r="AB1046" s="3038"/>
      <c r="AC1046" s="3038"/>
      <c r="AD1046" s="3038"/>
      <c r="AE1046" s="3132"/>
      <c r="AF1046" s="3038"/>
      <c r="AG1046" s="3038"/>
      <c r="AH1046" s="3038"/>
      <c r="AK1046" s="3038"/>
      <c r="AL1046" s="3038"/>
      <c r="AM1046" s="3038"/>
      <c r="AN1046" s="3038"/>
      <c r="AO1046" s="3038"/>
      <c r="AP1046" s="3038"/>
      <c r="AQ1046" s="3038"/>
      <c r="AR1046" s="3038"/>
      <c r="AS1046" s="3038"/>
      <c r="AT1046" s="3038"/>
      <c r="AU1046" s="3038"/>
      <c r="AV1046" s="3038"/>
      <c r="AW1046" s="3038"/>
      <c r="AX1046" s="3038"/>
      <c r="AY1046" s="3038"/>
      <c r="AZ1046" s="3038"/>
      <c r="BA1046" s="3038"/>
      <c r="BB1046" s="3038"/>
      <c r="BC1046" s="3038"/>
      <c r="BD1046" s="3038"/>
      <c r="BE1046" s="3038"/>
      <c r="BF1046" s="3038"/>
      <c r="BG1046" s="3038"/>
      <c r="BH1046" s="3038"/>
      <c r="BI1046" s="3038"/>
      <c r="BJ1046" s="3038"/>
      <c r="BK1046" s="3038"/>
      <c r="BL1046" s="3038"/>
      <c r="BM1046" s="3038"/>
      <c r="BN1046" s="3038"/>
      <c r="BO1046" s="3038"/>
      <c r="BP1046" s="3038"/>
      <c r="BQ1046" s="3038"/>
      <c r="BR1046" s="3038"/>
      <c r="BS1046" s="3038"/>
      <c r="BT1046" s="3038"/>
      <c r="BU1046" s="3038"/>
    </row>
    <row r="1047" spans="3:73">
      <c r="C1047" s="3038"/>
      <c r="D1047" s="3038"/>
      <c r="E1047" s="3038"/>
      <c r="H1047" s="3038"/>
      <c r="I1047" s="3038"/>
      <c r="J1047" s="3038"/>
      <c r="K1047" s="3038"/>
      <c r="M1047" s="3038"/>
      <c r="N1047" s="3038"/>
      <c r="O1047" s="3038"/>
      <c r="P1047" s="3038"/>
      <c r="Q1047" s="3038"/>
      <c r="R1047" s="3038"/>
      <c r="S1047" s="3038"/>
      <c r="T1047" s="3038"/>
      <c r="W1047" s="3038"/>
      <c r="X1047" s="3038"/>
      <c r="Y1047" s="3038"/>
      <c r="Z1047" s="3038"/>
      <c r="AA1047" s="3113"/>
      <c r="AB1047" s="3038"/>
      <c r="AC1047" s="3038"/>
      <c r="AD1047" s="3038"/>
      <c r="AE1047" s="3132"/>
      <c r="AF1047" s="3038"/>
      <c r="AG1047" s="3038"/>
      <c r="AH1047" s="3038"/>
      <c r="AK1047" s="3038"/>
      <c r="AL1047" s="3038"/>
      <c r="AM1047" s="3038"/>
      <c r="AN1047" s="3038"/>
      <c r="AO1047" s="3038"/>
      <c r="AP1047" s="3038"/>
      <c r="AQ1047" s="3038"/>
      <c r="AR1047" s="3038"/>
      <c r="AS1047" s="3038"/>
      <c r="AT1047" s="3038"/>
      <c r="AU1047" s="3038"/>
      <c r="AV1047" s="3038"/>
      <c r="AW1047" s="3038"/>
      <c r="AX1047" s="3038"/>
      <c r="AY1047" s="3038"/>
      <c r="AZ1047" s="3038"/>
      <c r="BA1047" s="3038"/>
      <c r="BB1047" s="3038"/>
      <c r="BC1047" s="3038"/>
      <c r="BD1047" s="3038"/>
      <c r="BE1047" s="3038"/>
      <c r="BF1047" s="3038"/>
      <c r="BG1047" s="3038"/>
      <c r="BH1047" s="3038"/>
      <c r="BI1047" s="3038"/>
      <c r="BJ1047" s="3038"/>
      <c r="BK1047" s="3038"/>
      <c r="BL1047" s="3038"/>
      <c r="BM1047" s="3038"/>
      <c r="BN1047" s="3038"/>
      <c r="BO1047" s="3038"/>
      <c r="BP1047" s="3038"/>
      <c r="BQ1047" s="3038"/>
      <c r="BR1047" s="3038"/>
      <c r="BS1047" s="3038"/>
      <c r="BT1047" s="3038"/>
      <c r="BU1047" s="3038"/>
    </row>
    <row r="1048" spans="3:73">
      <c r="C1048" s="3038"/>
      <c r="D1048" s="3038"/>
      <c r="E1048" s="3038"/>
      <c r="H1048" s="3038"/>
      <c r="I1048" s="3038"/>
      <c r="J1048" s="3038"/>
      <c r="K1048" s="3038"/>
      <c r="M1048" s="3038"/>
      <c r="N1048" s="3038"/>
      <c r="O1048" s="3038"/>
      <c r="P1048" s="3038"/>
      <c r="Q1048" s="3038"/>
      <c r="R1048" s="3038"/>
      <c r="S1048" s="3038"/>
      <c r="T1048" s="3038"/>
      <c r="W1048" s="3038"/>
      <c r="X1048" s="3038"/>
      <c r="Y1048" s="3038"/>
      <c r="Z1048" s="3038"/>
      <c r="AA1048" s="3113"/>
      <c r="AB1048" s="3038"/>
      <c r="AC1048" s="3038"/>
      <c r="AD1048" s="3038"/>
      <c r="AE1048" s="3132"/>
      <c r="AF1048" s="3038"/>
      <c r="AG1048" s="3038"/>
      <c r="AH1048" s="3038"/>
      <c r="AK1048" s="3038"/>
      <c r="AL1048" s="3038"/>
      <c r="AM1048" s="3038"/>
      <c r="AN1048" s="3038"/>
      <c r="AO1048" s="3038"/>
      <c r="AP1048" s="3038"/>
      <c r="AQ1048" s="3038"/>
      <c r="AR1048" s="3038"/>
      <c r="AS1048" s="3038"/>
      <c r="AT1048" s="3038"/>
      <c r="AU1048" s="3038"/>
      <c r="AV1048" s="3038"/>
      <c r="AW1048" s="3038"/>
      <c r="AX1048" s="3038"/>
      <c r="AY1048" s="3038"/>
      <c r="AZ1048" s="3038"/>
      <c r="BA1048" s="3038"/>
      <c r="BB1048" s="3038"/>
      <c r="BC1048" s="3038"/>
      <c r="BD1048" s="3038"/>
      <c r="BE1048" s="3038"/>
      <c r="BF1048" s="3038"/>
      <c r="BG1048" s="3038"/>
      <c r="BH1048" s="3038"/>
      <c r="BI1048" s="3038"/>
      <c r="BJ1048" s="3038"/>
      <c r="BK1048" s="3038"/>
      <c r="BL1048" s="3038"/>
      <c r="BM1048" s="3038"/>
      <c r="BN1048" s="3038"/>
      <c r="BO1048" s="3038"/>
      <c r="BP1048" s="3038"/>
      <c r="BQ1048" s="3038"/>
      <c r="BR1048" s="3038"/>
      <c r="BS1048" s="3038"/>
      <c r="BT1048" s="3038"/>
      <c r="BU1048" s="3038"/>
    </row>
    <row r="1049" spans="3:73">
      <c r="C1049" s="3038"/>
      <c r="D1049" s="3038"/>
      <c r="E1049" s="3038"/>
      <c r="H1049" s="3038"/>
      <c r="I1049" s="3038"/>
      <c r="J1049" s="3038"/>
      <c r="K1049" s="3038"/>
      <c r="M1049" s="3038"/>
      <c r="N1049" s="3038"/>
      <c r="O1049" s="3038"/>
      <c r="P1049" s="3038"/>
      <c r="Q1049" s="3038"/>
      <c r="R1049" s="3038"/>
      <c r="S1049" s="3038"/>
      <c r="T1049" s="3038"/>
      <c r="W1049" s="3038"/>
      <c r="X1049" s="3038"/>
      <c r="Y1049" s="3038"/>
      <c r="Z1049" s="3038"/>
      <c r="AA1049" s="3113"/>
      <c r="AB1049" s="3038"/>
      <c r="AC1049" s="3038"/>
      <c r="AD1049" s="3038"/>
      <c r="AE1049" s="3132"/>
      <c r="AF1049" s="3038"/>
      <c r="AG1049" s="3038"/>
      <c r="AH1049" s="3038"/>
      <c r="AK1049" s="3038"/>
      <c r="AL1049" s="3038"/>
      <c r="AM1049" s="3038"/>
      <c r="AN1049" s="3038"/>
      <c r="AO1049" s="3038"/>
      <c r="AP1049" s="3038"/>
      <c r="AQ1049" s="3038"/>
      <c r="AR1049" s="3038"/>
      <c r="AS1049" s="3038"/>
      <c r="AT1049" s="3038"/>
      <c r="AU1049" s="3038"/>
      <c r="AV1049" s="3038"/>
      <c r="AW1049" s="3038"/>
      <c r="AX1049" s="3038"/>
      <c r="AY1049" s="3038"/>
      <c r="AZ1049" s="3038"/>
      <c r="BA1049" s="3038"/>
      <c r="BB1049" s="3038"/>
      <c r="BC1049" s="3038"/>
      <c r="BD1049" s="3038"/>
      <c r="BE1049" s="3038"/>
      <c r="BF1049" s="3038"/>
      <c r="BG1049" s="3038"/>
      <c r="BH1049" s="3038"/>
      <c r="BI1049" s="3038"/>
      <c r="BJ1049" s="3038"/>
      <c r="BK1049" s="3038"/>
      <c r="BL1049" s="3038"/>
      <c r="BM1049" s="3038"/>
      <c r="BN1049" s="3038"/>
      <c r="BO1049" s="3038"/>
      <c r="BP1049" s="3038"/>
      <c r="BQ1049" s="3038"/>
      <c r="BR1049" s="3038"/>
      <c r="BS1049" s="3038"/>
      <c r="BT1049" s="3038"/>
      <c r="BU1049" s="3038"/>
    </row>
    <row r="1050" spans="3:73">
      <c r="C1050" s="3038"/>
      <c r="D1050" s="3038"/>
      <c r="E1050" s="3038"/>
      <c r="H1050" s="3038"/>
      <c r="I1050" s="3038"/>
      <c r="J1050" s="3038"/>
      <c r="K1050" s="3038"/>
      <c r="M1050" s="3038"/>
      <c r="N1050" s="3038"/>
      <c r="O1050" s="3038"/>
      <c r="P1050" s="3038"/>
      <c r="Q1050" s="3038"/>
      <c r="R1050" s="3038"/>
      <c r="S1050" s="3038"/>
      <c r="T1050" s="3038"/>
      <c r="W1050" s="3038"/>
      <c r="X1050" s="3038"/>
      <c r="Y1050" s="3038"/>
      <c r="Z1050" s="3038"/>
      <c r="AA1050" s="3113"/>
      <c r="AB1050" s="3038"/>
      <c r="AC1050" s="3038"/>
      <c r="AD1050" s="3038"/>
      <c r="AE1050" s="3132"/>
      <c r="AF1050" s="3038"/>
      <c r="AG1050" s="3038"/>
      <c r="AH1050" s="3038"/>
      <c r="AK1050" s="3038"/>
      <c r="AL1050" s="3038"/>
      <c r="AM1050" s="3038"/>
      <c r="AN1050" s="3038"/>
      <c r="AO1050" s="3038"/>
      <c r="AP1050" s="3038"/>
      <c r="AQ1050" s="3038"/>
      <c r="AR1050" s="3038"/>
      <c r="AS1050" s="3038"/>
      <c r="AT1050" s="3038"/>
      <c r="AU1050" s="3038"/>
      <c r="AV1050" s="3038"/>
      <c r="AW1050" s="3038"/>
      <c r="AX1050" s="3038"/>
      <c r="AY1050" s="3038"/>
      <c r="AZ1050" s="3038"/>
      <c r="BA1050" s="3038"/>
      <c r="BB1050" s="3038"/>
      <c r="BC1050" s="3038"/>
      <c r="BD1050" s="3038"/>
      <c r="BE1050" s="3038"/>
      <c r="BF1050" s="3038"/>
      <c r="BG1050" s="3038"/>
      <c r="BH1050" s="3038"/>
      <c r="BI1050" s="3038"/>
      <c r="BJ1050" s="3038"/>
      <c r="BK1050" s="3038"/>
      <c r="BL1050" s="3038"/>
      <c r="BM1050" s="3038"/>
      <c r="BN1050" s="3038"/>
      <c r="BO1050" s="3038"/>
      <c r="BP1050" s="3038"/>
      <c r="BQ1050" s="3038"/>
      <c r="BR1050" s="3038"/>
      <c r="BS1050" s="3038"/>
      <c r="BT1050" s="3038"/>
      <c r="BU1050" s="3038"/>
    </row>
    <row r="1051" spans="3:73">
      <c r="C1051" s="3038"/>
      <c r="D1051" s="3038"/>
      <c r="E1051" s="3038"/>
      <c r="H1051" s="3038"/>
      <c r="I1051" s="3038"/>
      <c r="J1051" s="3038"/>
      <c r="K1051" s="3038"/>
      <c r="M1051" s="3038"/>
      <c r="N1051" s="3038"/>
      <c r="O1051" s="3038"/>
      <c r="P1051" s="3038"/>
      <c r="Q1051" s="3038"/>
      <c r="R1051" s="3038"/>
      <c r="S1051" s="3038"/>
      <c r="T1051" s="3038"/>
      <c r="W1051" s="3038"/>
      <c r="X1051" s="3038"/>
      <c r="Y1051" s="3038"/>
      <c r="Z1051" s="3038"/>
      <c r="AA1051" s="3113"/>
      <c r="AB1051" s="3038"/>
      <c r="AC1051" s="3038"/>
      <c r="AD1051" s="3038"/>
      <c r="AE1051" s="3132"/>
      <c r="AF1051" s="3038"/>
      <c r="AG1051" s="3038"/>
      <c r="AH1051" s="3038"/>
      <c r="AK1051" s="3038"/>
      <c r="AL1051" s="3038"/>
      <c r="AM1051" s="3038"/>
      <c r="AN1051" s="3038"/>
      <c r="AO1051" s="3038"/>
      <c r="AP1051" s="3038"/>
      <c r="AQ1051" s="3038"/>
      <c r="AR1051" s="3038"/>
      <c r="AS1051" s="3038"/>
      <c r="AT1051" s="3038"/>
      <c r="AU1051" s="3038"/>
      <c r="AV1051" s="3038"/>
      <c r="AW1051" s="3038"/>
      <c r="AX1051" s="3038"/>
      <c r="AY1051" s="3038"/>
      <c r="AZ1051" s="3038"/>
      <c r="BA1051" s="3038"/>
      <c r="BB1051" s="3038"/>
      <c r="BC1051" s="3038"/>
      <c r="BD1051" s="3038"/>
      <c r="BE1051" s="3038"/>
      <c r="BF1051" s="3038"/>
      <c r="BG1051" s="3038"/>
      <c r="BH1051" s="3038"/>
      <c r="BI1051" s="3038"/>
      <c r="BJ1051" s="3038"/>
      <c r="BK1051" s="3038"/>
      <c r="BL1051" s="3038"/>
      <c r="BM1051" s="3038"/>
      <c r="BN1051" s="3038"/>
      <c r="BO1051" s="3038"/>
      <c r="BP1051" s="3038"/>
      <c r="BQ1051" s="3038"/>
      <c r="BR1051" s="3038"/>
      <c r="BS1051" s="3038"/>
      <c r="BT1051" s="3038"/>
      <c r="BU1051" s="3038"/>
    </row>
    <row r="1052" spans="3:73">
      <c r="C1052" s="3038"/>
      <c r="D1052" s="3038"/>
      <c r="E1052" s="3038"/>
      <c r="H1052" s="3038"/>
      <c r="I1052" s="3038"/>
      <c r="J1052" s="3038"/>
      <c r="K1052" s="3038"/>
      <c r="M1052" s="3038"/>
      <c r="N1052" s="3038"/>
      <c r="O1052" s="3038"/>
      <c r="P1052" s="3038"/>
      <c r="Q1052" s="3038"/>
      <c r="R1052" s="3038"/>
      <c r="S1052" s="3038"/>
      <c r="T1052" s="3038"/>
      <c r="W1052" s="3038"/>
      <c r="X1052" s="3038"/>
      <c r="Y1052" s="3038"/>
      <c r="Z1052" s="3038"/>
      <c r="AA1052" s="3113"/>
      <c r="AB1052" s="3038"/>
      <c r="AC1052" s="3038"/>
      <c r="AD1052" s="3038"/>
      <c r="AE1052" s="3132"/>
      <c r="AF1052" s="3038"/>
      <c r="AG1052" s="3038"/>
      <c r="AH1052" s="3038"/>
      <c r="AK1052" s="3038"/>
      <c r="AL1052" s="3038"/>
      <c r="AM1052" s="3038"/>
      <c r="AN1052" s="3038"/>
      <c r="AO1052" s="3038"/>
      <c r="AP1052" s="3038"/>
      <c r="AQ1052" s="3038"/>
      <c r="AR1052" s="3038"/>
      <c r="AS1052" s="3038"/>
      <c r="AT1052" s="3038"/>
      <c r="AU1052" s="3038"/>
      <c r="AV1052" s="3038"/>
      <c r="AW1052" s="3038"/>
      <c r="AX1052" s="3038"/>
      <c r="AY1052" s="3038"/>
      <c r="AZ1052" s="3038"/>
      <c r="BA1052" s="3038"/>
      <c r="BB1052" s="3038"/>
      <c r="BC1052" s="3038"/>
      <c r="BD1052" s="3038"/>
      <c r="BE1052" s="3038"/>
      <c r="BF1052" s="3038"/>
      <c r="BG1052" s="3038"/>
      <c r="BH1052" s="3038"/>
      <c r="BI1052" s="3038"/>
      <c r="BJ1052" s="3038"/>
      <c r="BK1052" s="3038"/>
      <c r="BL1052" s="3038"/>
      <c r="BM1052" s="3038"/>
      <c r="BN1052" s="3038"/>
      <c r="BO1052" s="3038"/>
      <c r="BP1052" s="3038"/>
      <c r="BQ1052" s="3038"/>
      <c r="BR1052" s="3038"/>
      <c r="BS1052" s="3038"/>
      <c r="BT1052" s="3038"/>
      <c r="BU1052" s="3038"/>
    </row>
    <row r="1053" spans="3:73">
      <c r="C1053" s="3038"/>
      <c r="D1053" s="3038"/>
      <c r="E1053" s="3038"/>
      <c r="H1053" s="3038"/>
      <c r="I1053" s="3038"/>
      <c r="J1053" s="3038"/>
      <c r="K1053" s="3038"/>
      <c r="M1053" s="3038"/>
      <c r="N1053" s="3038"/>
      <c r="O1053" s="3038"/>
      <c r="P1053" s="3038"/>
      <c r="Q1053" s="3038"/>
      <c r="R1053" s="3038"/>
      <c r="S1053" s="3038"/>
      <c r="T1053" s="3038"/>
      <c r="W1053" s="3038"/>
      <c r="X1053" s="3038"/>
      <c r="Y1053" s="3038"/>
      <c r="Z1053" s="3038"/>
      <c r="AA1053" s="3113"/>
      <c r="AB1053" s="3038"/>
      <c r="AC1053" s="3038"/>
      <c r="AD1053" s="3038"/>
      <c r="AE1053" s="3132"/>
      <c r="AF1053" s="3038"/>
      <c r="AG1053" s="3038"/>
      <c r="AH1053" s="3038"/>
      <c r="AK1053" s="3038"/>
      <c r="AL1053" s="3038"/>
      <c r="AM1053" s="3038"/>
      <c r="AN1053" s="3038"/>
      <c r="AO1053" s="3038"/>
      <c r="AP1053" s="3038"/>
      <c r="AQ1053" s="3038"/>
      <c r="AR1053" s="3038"/>
      <c r="AS1053" s="3038"/>
      <c r="AT1053" s="3038"/>
      <c r="AU1053" s="3038"/>
      <c r="AV1053" s="3038"/>
      <c r="AW1053" s="3038"/>
      <c r="AX1053" s="3038"/>
      <c r="AY1053" s="3038"/>
      <c r="AZ1053" s="3038"/>
      <c r="BA1053" s="3038"/>
      <c r="BB1053" s="3038"/>
      <c r="BC1053" s="3038"/>
      <c r="BD1053" s="3038"/>
      <c r="BE1053" s="3038"/>
      <c r="BF1053" s="3038"/>
      <c r="BG1053" s="3038"/>
      <c r="BH1053" s="3038"/>
      <c r="BI1053" s="3038"/>
      <c r="BJ1053" s="3038"/>
      <c r="BK1053" s="3038"/>
      <c r="BL1053" s="3038"/>
      <c r="BM1053" s="3038"/>
      <c r="BN1053" s="3038"/>
      <c r="BO1053" s="3038"/>
      <c r="BP1053" s="3038"/>
      <c r="BQ1053" s="3038"/>
      <c r="BR1053" s="3038"/>
      <c r="BS1053" s="3038"/>
      <c r="BT1053" s="3038"/>
      <c r="BU1053" s="3038"/>
    </row>
    <row r="1054" spans="3:73">
      <c r="C1054" s="3038"/>
      <c r="D1054" s="3038"/>
      <c r="E1054" s="3038"/>
      <c r="H1054" s="3038"/>
      <c r="I1054" s="3038"/>
      <c r="J1054" s="3038"/>
      <c r="K1054" s="3038"/>
      <c r="M1054" s="3038"/>
      <c r="N1054" s="3038"/>
      <c r="O1054" s="3038"/>
      <c r="P1054" s="3038"/>
      <c r="Q1054" s="3038"/>
      <c r="R1054" s="3038"/>
      <c r="S1054" s="3038"/>
      <c r="T1054" s="3038"/>
      <c r="W1054" s="3038"/>
      <c r="X1054" s="3038"/>
      <c r="Y1054" s="3038"/>
      <c r="Z1054" s="3038"/>
      <c r="AA1054" s="3113"/>
      <c r="AB1054" s="3038"/>
      <c r="AC1054" s="3038"/>
      <c r="AD1054" s="3038"/>
      <c r="AE1054" s="3132"/>
      <c r="AF1054" s="3038"/>
      <c r="AG1054" s="3038"/>
      <c r="AH1054" s="3038"/>
      <c r="AK1054" s="3038"/>
      <c r="AL1054" s="3038"/>
      <c r="AM1054" s="3038"/>
      <c r="AN1054" s="3038"/>
      <c r="AO1054" s="3038"/>
      <c r="AP1054" s="3038"/>
      <c r="AQ1054" s="3038"/>
      <c r="AR1054" s="3038"/>
      <c r="AS1054" s="3038"/>
      <c r="AT1054" s="3038"/>
      <c r="AU1054" s="3038"/>
      <c r="AV1054" s="3038"/>
      <c r="AW1054" s="3038"/>
      <c r="AX1054" s="3038"/>
      <c r="AY1054" s="3038"/>
      <c r="AZ1054" s="3038"/>
      <c r="BA1054" s="3038"/>
      <c r="BB1054" s="3038"/>
      <c r="BC1054" s="3038"/>
      <c r="BD1054" s="3038"/>
      <c r="BE1054" s="3038"/>
      <c r="BF1054" s="3038"/>
      <c r="BG1054" s="3038"/>
      <c r="BH1054" s="3038"/>
      <c r="BI1054" s="3038"/>
      <c r="BJ1054" s="3038"/>
      <c r="BK1054" s="3038"/>
      <c r="BL1054" s="3038"/>
      <c r="BM1054" s="3038"/>
      <c r="BN1054" s="3038"/>
      <c r="BO1054" s="3038"/>
      <c r="BP1054" s="3038"/>
      <c r="BQ1054" s="3038"/>
      <c r="BR1054" s="3038"/>
      <c r="BS1054" s="3038"/>
      <c r="BT1054" s="3038"/>
      <c r="BU1054" s="3038"/>
    </row>
    <row r="1055" spans="3:73">
      <c r="C1055" s="3038"/>
      <c r="D1055" s="3038"/>
      <c r="E1055" s="3038"/>
      <c r="H1055" s="3038"/>
      <c r="I1055" s="3038"/>
      <c r="J1055" s="3038"/>
      <c r="K1055" s="3038"/>
      <c r="M1055" s="3038"/>
      <c r="N1055" s="3038"/>
      <c r="O1055" s="3038"/>
      <c r="P1055" s="3038"/>
      <c r="Q1055" s="3038"/>
      <c r="R1055" s="3038"/>
      <c r="S1055" s="3038"/>
      <c r="T1055" s="3038"/>
      <c r="W1055" s="3038"/>
      <c r="X1055" s="3038"/>
      <c r="Y1055" s="3038"/>
      <c r="Z1055" s="3038"/>
      <c r="AA1055" s="3113"/>
      <c r="AB1055" s="3038"/>
      <c r="AC1055" s="3038"/>
      <c r="AD1055" s="3038"/>
      <c r="AE1055" s="3132"/>
      <c r="AF1055" s="3038"/>
      <c r="AG1055" s="3038"/>
      <c r="AH1055" s="3038"/>
      <c r="AK1055" s="3038"/>
      <c r="AL1055" s="3038"/>
      <c r="AM1055" s="3038"/>
      <c r="AN1055" s="3038"/>
      <c r="AO1055" s="3038"/>
      <c r="AP1055" s="3038"/>
      <c r="AQ1055" s="3038"/>
      <c r="AR1055" s="3038"/>
      <c r="AS1055" s="3038"/>
      <c r="AT1055" s="3038"/>
      <c r="AU1055" s="3038"/>
      <c r="AV1055" s="3038"/>
      <c r="AW1055" s="3038"/>
      <c r="AX1055" s="3038"/>
      <c r="AY1055" s="3038"/>
      <c r="AZ1055" s="3038"/>
      <c r="BA1055" s="3038"/>
      <c r="BB1055" s="3038"/>
      <c r="BC1055" s="3038"/>
      <c r="BD1055" s="3038"/>
      <c r="BE1055" s="3038"/>
      <c r="BF1055" s="3038"/>
      <c r="BG1055" s="3038"/>
      <c r="BH1055" s="3038"/>
      <c r="BI1055" s="3038"/>
      <c r="BJ1055" s="3038"/>
      <c r="BK1055" s="3038"/>
      <c r="BL1055" s="3038"/>
      <c r="BM1055" s="3038"/>
      <c r="BN1055" s="3038"/>
      <c r="BO1055" s="3038"/>
      <c r="BP1055" s="3038"/>
      <c r="BQ1055" s="3038"/>
      <c r="BR1055" s="3038"/>
      <c r="BS1055" s="3038"/>
      <c r="BT1055" s="3038"/>
      <c r="BU1055" s="3038"/>
    </row>
    <row r="1056" spans="3:73">
      <c r="C1056" s="3038"/>
      <c r="D1056" s="3038"/>
      <c r="E1056" s="3038"/>
      <c r="H1056" s="3038"/>
      <c r="I1056" s="3038"/>
      <c r="J1056" s="3038"/>
      <c r="K1056" s="3038"/>
      <c r="M1056" s="3038"/>
      <c r="N1056" s="3038"/>
      <c r="O1056" s="3038"/>
      <c r="P1056" s="3038"/>
      <c r="Q1056" s="3038"/>
      <c r="R1056" s="3038"/>
      <c r="S1056" s="3038"/>
      <c r="T1056" s="3038"/>
      <c r="W1056" s="3038"/>
      <c r="X1056" s="3038"/>
      <c r="Y1056" s="3038"/>
      <c r="Z1056" s="3038"/>
      <c r="AA1056" s="3113"/>
      <c r="AB1056" s="3038"/>
      <c r="AC1056" s="3038"/>
      <c r="AD1056" s="3038"/>
      <c r="AE1056" s="3132"/>
      <c r="AF1056" s="3038"/>
      <c r="AG1056" s="3038"/>
      <c r="AH1056" s="3038"/>
      <c r="AK1056" s="3038"/>
      <c r="AL1056" s="3038"/>
      <c r="AM1056" s="3038"/>
      <c r="AN1056" s="3038"/>
      <c r="AO1056" s="3038"/>
      <c r="AP1056" s="3038"/>
      <c r="AQ1056" s="3038"/>
      <c r="AR1056" s="3038"/>
      <c r="AS1056" s="3038"/>
      <c r="AT1056" s="3038"/>
      <c r="AU1056" s="3038"/>
      <c r="AV1056" s="3038"/>
      <c r="AW1056" s="3038"/>
      <c r="AX1056" s="3038"/>
      <c r="AY1056" s="3038"/>
      <c r="AZ1056" s="3038"/>
      <c r="BA1056" s="3038"/>
      <c r="BB1056" s="3038"/>
      <c r="BC1056" s="3038"/>
      <c r="BD1056" s="3038"/>
      <c r="BE1056" s="3038"/>
      <c r="BF1056" s="3038"/>
      <c r="BG1056" s="3038"/>
      <c r="BH1056" s="3038"/>
      <c r="BI1056" s="3038"/>
      <c r="BJ1056" s="3038"/>
      <c r="BK1056" s="3038"/>
      <c r="BL1056" s="3038"/>
      <c r="BM1056" s="3038"/>
      <c r="BN1056" s="3038"/>
      <c r="BO1056" s="3038"/>
      <c r="BP1056" s="3038"/>
      <c r="BQ1056" s="3038"/>
      <c r="BR1056" s="3038"/>
      <c r="BS1056" s="3038"/>
      <c r="BT1056" s="3038"/>
      <c r="BU1056" s="3038"/>
    </row>
    <row r="1057" spans="3:73">
      <c r="C1057" s="3038"/>
      <c r="D1057" s="3038"/>
      <c r="E1057" s="3038"/>
      <c r="H1057" s="3038"/>
      <c r="I1057" s="3038"/>
      <c r="J1057" s="3038"/>
      <c r="K1057" s="3038"/>
      <c r="M1057" s="3038"/>
      <c r="N1057" s="3038"/>
      <c r="O1057" s="3038"/>
      <c r="P1057" s="3038"/>
      <c r="Q1057" s="3038"/>
      <c r="R1057" s="3038"/>
      <c r="S1057" s="3038"/>
      <c r="T1057" s="3038"/>
      <c r="W1057" s="3038"/>
      <c r="X1057" s="3038"/>
      <c r="Y1057" s="3038"/>
      <c r="Z1057" s="3038"/>
      <c r="AA1057" s="3113"/>
      <c r="AB1057" s="3038"/>
      <c r="AC1057" s="3038"/>
      <c r="AD1057" s="3038"/>
      <c r="AE1057" s="3132"/>
      <c r="AF1057" s="3038"/>
      <c r="AG1057" s="3038"/>
      <c r="AH1057" s="3038"/>
      <c r="AK1057" s="3038"/>
      <c r="AL1057" s="3038"/>
      <c r="AM1057" s="3038"/>
      <c r="AN1057" s="3038"/>
      <c r="AO1057" s="3038"/>
      <c r="AP1057" s="3038"/>
      <c r="AQ1057" s="3038"/>
      <c r="AR1057" s="3038"/>
      <c r="AS1057" s="3038"/>
      <c r="AT1057" s="3038"/>
      <c r="AU1057" s="3038"/>
      <c r="AV1057" s="3038"/>
      <c r="AW1057" s="3038"/>
      <c r="AX1057" s="3038"/>
      <c r="AY1057" s="3038"/>
      <c r="AZ1057" s="3038"/>
      <c r="BA1057" s="3038"/>
      <c r="BB1057" s="3038"/>
      <c r="BC1057" s="3038"/>
      <c r="BD1057" s="3038"/>
      <c r="BE1057" s="3038"/>
      <c r="BF1057" s="3038"/>
      <c r="BG1057" s="3038"/>
      <c r="BH1057" s="3038"/>
      <c r="BI1057" s="3038"/>
      <c r="BJ1057" s="3038"/>
      <c r="BK1057" s="3038"/>
      <c r="BL1057" s="3038"/>
      <c r="BM1057" s="3038"/>
      <c r="BN1057" s="3038"/>
      <c r="BO1057" s="3038"/>
      <c r="BP1057" s="3038"/>
      <c r="BQ1057" s="3038"/>
      <c r="BR1057" s="3038"/>
      <c r="BS1057" s="3038"/>
      <c r="BT1057" s="3038"/>
      <c r="BU1057" s="3038"/>
    </row>
    <row r="1058" spans="3:73">
      <c r="C1058" s="3038"/>
      <c r="D1058" s="3038"/>
      <c r="E1058" s="3038"/>
      <c r="H1058" s="3038"/>
      <c r="I1058" s="3038"/>
      <c r="J1058" s="3038"/>
      <c r="K1058" s="3038"/>
      <c r="M1058" s="3038"/>
      <c r="N1058" s="3038"/>
      <c r="O1058" s="3038"/>
      <c r="P1058" s="3038"/>
      <c r="Q1058" s="3038"/>
      <c r="R1058" s="3038"/>
      <c r="S1058" s="3038"/>
      <c r="T1058" s="3038"/>
      <c r="W1058" s="3038"/>
      <c r="X1058" s="3038"/>
      <c r="Y1058" s="3038"/>
      <c r="Z1058" s="3038"/>
      <c r="AA1058" s="3113"/>
      <c r="AB1058" s="3038"/>
      <c r="AC1058" s="3038"/>
      <c r="AD1058" s="3038"/>
      <c r="AE1058" s="3132"/>
      <c r="AF1058" s="3038"/>
      <c r="AG1058" s="3038"/>
      <c r="AH1058" s="3038"/>
      <c r="AK1058" s="3038"/>
      <c r="AL1058" s="3038"/>
      <c r="AM1058" s="3038"/>
      <c r="AN1058" s="3038"/>
      <c r="AO1058" s="3038"/>
      <c r="AP1058" s="3038"/>
      <c r="AQ1058" s="3038"/>
      <c r="AR1058" s="3038"/>
      <c r="AS1058" s="3038"/>
      <c r="AT1058" s="3038"/>
      <c r="AU1058" s="3038"/>
      <c r="AV1058" s="3038"/>
      <c r="AW1058" s="3038"/>
      <c r="AX1058" s="3038"/>
      <c r="AY1058" s="3038"/>
      <c r="AZ1058" s="3038"/>
      <c r="BA1058" s="3038"/>
      <c r="BB1058" s="3038"/>
      <c r="BC1058" s="3038"/>
      <c r="BD1058" s="3038"/>
      <c r="BE1058" s="3038"/>
      <c r="BF1058" s="3038"/>
      <c r="BG1058" s="3038"/>
      <c r="BH1058" s="3038"/>
      <c r="BI1058" s="3038"/>
      <c r="BJ1058" s="3038"/>
      <c r="BK1058" s="3038"/>
      <c r="BL1058" s="3038"/>
      <c r="BM1058" s="3038"/>
      <c r="BN1058" s="3038"/>
      <c r="BO1058" s="3038"/>
      <c r="BP1058" s="3038"/>
      <c r="BQ1058" s="3038"/>
      <c r="BR1058" s="3038"/>
      <c r="BS1058" s="3038"/>
      <c r="BT1058" s="3038"/>
      <c r="BU1058" s="3038"/>
    </row>
    <row r="1059" spans="3:73">
      <c r="C1059" s="3038"/>
      <c r="D1059" s="3038"/>
      <c r="E1059" s="3038"/>
      <c r="H1059" s="3038"/>
      <c r="I1059" s="3038"/>
      <c r="J1059" s="3038"/>
      <c r="K1059" s="3038"/>
      <c r="M1059" s="3038"/>
      <c r="N1059" s="3038"/>
      <c r="O1059" s="3038"/>
      <c r="P1059" s="3038"/>
      <c r="Q1059" s="3038"/>
      <c r="R1059" s="3038"/>
      <c r="S1059" s="3038"/>
      <c r="T1059" s="3038"/>
      <c r="W1059" s="3038"/>
      <c r="X1059" s="3038"/>
      <c r="Y1059" s="3038"/>
      <c r="Z1059" s="3038"/>
      <c r="AA1059" s="3113"/>
      <c r="AB1059" s="3038"/>
      <c r="AC1059" s="3038"/>
      <c r="AD1059" s="3038"/>
      <c r="AE1059" s="3132"/>
      <c r="AF1059" s="3038"/>
      <c r="AG1059" s="3038"/>
      <c r="AH1059" s="3038"/>
      <c r="AK1059" s="3038"/>
      <c r="AL1059" s="3038"/>
      <c r="AM1059" s="3038"/>
      <c r="AN1059" s="3038"/>
      <c r="AO1059" s="3038"/>
      <c r="AP1059" s="3038"/>
      <c r="AQ1059" s="3038"/>
      <c r="AR1059" s="3038"/>
      <c r="AS1059" s="3038"/>
      <c r="AT1059" s="3038"/>
      <c r="AU1059" s="3038"/>
      <c r="AV1059" s="3038"/>
      <c r="AW1059" s="3038"/>
      <c r="AX1059" s="3038"/>
      <c r="AY1059" s="3038"/>
      <c r="AZ1059" s="3038"/>
      <c r="BA1059" s="3038"/>
      <c r="BB1059" s="3038"/>
      <c r="BC1059" s="3038"/>
      <c r="BD1059" s="3038"/>
      <c r="BE1059" s="3038"/>
      <c r="BF1059" s="3038"/>
      <c r="BG1059" s="3038"/>
      <c r="BH1059" s="3038"/>
      <c r="BI1059" s="3038"/>
      <c r="BJ1059" s="3038"/>
      <c r="BK1059" s="3038"/>
      <c r="BL1059" s="3038"/>
      <c r="BM1059" s="3038"/>
      <c r="BN1059" s="3038"/>
      <c r="BO1059" s="3038"/>
      <c r="BP1059" s="3038"/>
      <c r="BQ1059" s="3038"/>
      <c r="BR1059" s="3038"/>
      <c r="BS1059" s="3038"/>
      <c r="BT1059" s="3038"/>
      <c r="BU1059" s="3038"/>
    </row>
    <row r="1060" spans="3:73">
      <c r="C1060" s="3038"/>
      <c r="D1060" s="3038"/>
      <c r="E1060" s="3038"/>
      <c r="H1060" s="3038"/>
      <c r="I1060" s="3038"/>
      <c r="J1060" s="3038"/>
      <c r="K1060" s="3038"/>
      <c r="M1060" s="3038"/>
      <c r="N1060" s="3038"/>
      <c r="O1060" s="3038"/>
      <c r="P1060" s="3038"/>
      <c r="Q1060" s="3038"/>
      <c r="R1060" s="3038"/>
      <c r="S1060" s="3038"/>
      <c r="T1060" s="3038"/>
      <c r="W1060" s="3038"/>
      <c r="X1060" s="3038"/>
      <c r="Y1060" s="3038"/>
      <c r="Z1060" s="3038"/>
      <c r="AA1060" s="3113"/>
      <c r="AB1060" s="3038"/>
      <c r="AC1060" s="3038"/>
      <c r="AD1060" s="3038"/>
      <c r="AE1060" s="3132"/>
      <c r="AF1060" s="3038"/>
      <c r="AG1060" s="3038"/>
      <c r="AH1060" s="3038"/>
      <c r="AK1060" s="3038"/>
      <c r="AL1060" s="3038"/>
      <c r="AM1060" s="3038"/>
      <c r="AN1060" s="3038"/>
      <c r="AO1060" s="3038"/>
      <c r="AP1060" s="3038"/>
      <c r="AQ1060" s="3038"/>
      <c r="AR1060" s="3038"/>
      <c r="AS1060" s="3038"/>
      <c r="AT1060" s="3038"/>
      <c r="AU1060" s="3038"/>
      <c r="AV1060" s="3038"/>
      <c r="AW1060" s="3038"/>
      <c r="AX1060" s="3038"/>
      <c r="AY1060" s="3038"/>
      <c r="AZ1060" s="3038"/>
      <c r="BA1060" s="3038"/>
      <c r="BB1060" s="3038"/>
      <c r="BC1060" s="3038"/>
      <c r="BD1060" s="3038"/>
      <c r="BE1060" s="3038"/>
      <c r="BF1060" s="3038"/>
      <c r="BG1060" s="3038"/>
      <c r="BH1060" s="3038"/>
      <c r="BI1060" s="3038"/>
      <c r="BJ1060" s="3038"/>
      <c r="BK1060" s="3038"/>
      <c r="BL1060" s="3038"/>
      <c r="BM1060" s="3038"/>
      <c r="BN1060" s="3038"/>
      <c r="BO1060" s="3038"/>
      <c r="BP1060" s="3038"/>
      <c r="BQ1060" s="3038"/>
      <c r="BR1060" s="3038"/>
      <c r="BS1060" s="3038"/>
      <c r="BT1060" s="3038"/>
      <c r="BU1060" s="3038"/>
    </row>
    <row r="1061" spans="3:73">
      <c r="C1061" s="3038"/>
      <c r="D1061" s="3038"/>
      <c r="E1061" s="3038"/>
      <c r="H1061" s="3038"/>
      <c r="I1061" s="3038"/>
      <c r="J1061" s="3038"/>
      <c r="K1061" s="3038"/>
      <c r="M1061" s="3038"/>
      <c r="N1061" s="3038"/>
      <c r="O1061" s="3038"/>
      <c r="P1061" s="3038"/>
      <c r="Q1061" s="3038"/>
      <c r="R1061" s="3038"/>
      <c r="S1061" s="3038"/>
      <c r="T1061" s="3038"/>
      <c r="W1061" s="3038"/>
      <c r="X1061" s="3038"/>
      <c r="Y1061" s="3038"/>
      <c r="Z1061" s="3038"/>
      <c r="AA1061" s="3113"/>
      <c r="AB1061" s="3038"/>
      <c r="AC1061" s="3038"/>
      <c r="AD1061" s="3038"/>
      <c r="AE1061" s="3132"/>
      <c r="AF1061" s="3038"/>
      <c r="AG1061" s="3038"/>
      <c r="AH1061" s="3038"/>
      <c r="AK1061" s="3038"/>
      <c r="AL1061" s="3038"/>
      <c r="AM1061" s="3038"/>
      <c r="AN1061" s="3038"/>
      <c r="AO1061" s="3038"/>
      <c r="AP1061" s="3038"/>
      <c r="AQ1061" s="3038"/>
      <c r="AR1061" s="3038"/>
      <c r="AS1061" s="3038"/>
      <c r="AT1061" s="3038"/>
      <c r="AU1061" s="3038"/>
      <c r="AV1061" s="3038"/>
      <c r="AW1061" s="3038"/>
      <c r="AX1061" s="3038"/>
      <c r="AY1061" s="3038"/>
      <c r="AZ1061" s="3038"/>
      <c r="BA1061" s="3038"/>
      <c r="BB1061" s="3038"/>
      <c r="BC1061" s="3038"/>
      <c r="BD1061" s="3038"/>
      <c r="BE1061" s="3038"/>
      <c r="BF1061" s="3038"/>
      <c r="BG1061" s="3038"/>
      <c r="BH1061" s="3038"/>
      <c r="BI1061" s="3038"/>
      <c r="BJ1061" s="3038"/>
      <c r="BK1061" s="3038"/>
      <c r="BL1061" s="3038"/>
      <c r="BM1061" s="3038"/>
      <c r="BN1061" s="3038"/>
      <c r="BO1061" s="3038"/>
      <c r="BP1061" s="3038"/>
      <c r="BQ1061" s="3038"/>
      <c r="BR1061" s="3038"/>
      <c r="BS1061" s="3038"/>
      <c r="BT1061" s="3038"/>
      <c r="BU1061" s="3038"/>
    </row>
    <row r="1062" spans="3:73">
      <c r="C1062" s="3038"/>
      <c r="D1062" s="3038"/>
      <c r="E1062" s="3038"/>
      <c r="H1062" s="3038"/>
      <c r="I1062" s="3038"/>
      <c r="J1062" s="3038"/>
      <c r="K1062" s="3038"/>
      <c r="M1062" s="3038"/>
      <c r="N1062" s="3038"/>
      <c r="O1062" s="3038"/>
      <c r="P1062" s="3038"/>
      <c r="Q1062" s="3038"/>
      <c r="R1062" s="3038"/>
      <c r="S1062" s="3038"/>
      <c r="T1062" s="3038"/>
      <c r="W1062" s="3038"/>
      <c r="X1062" s="3038"/>
      <c r="Y1062" s="3038"/>
      <c r="Z1062" s="3038"/>
      <c r="AA1062" s="3113"/>
      <c r="AB1062" s="3038"/>
      <c r="AC1062" s="3038"/>
      <c r="AD1062" s="3038"/>
      <c r="AE1062" s="3132"/>
      <c r="AF1062" s="3038"/>
      <c r="AG1062" s="3038"/>
      <c r="AH1062" s="3038"/>
      <c r="AK1062" s="3038"/>
      <c r="AL1062" s="3038"/>
      <c r="AM1062" s="3038"/>
      <c r="AN1062" s="3038"/>
      <c r="AO1062" s="3038"/>
      <c r="AP1062" s="3038"/>
      <c r="AQ1062" s="3038"/>
      <c r="AR1062" s="3038"/>
      <c r="AS1062" s="3038"/>
      <c r="AT1062" s="3038"/>
      <c r="AU1062" s="3038"/>
      <c r="AV1062" s="3038"/>
      <c r="AW1062" s="3038"/>
      <c r="AX1062" s="3038"/>
      <c r="AY1062" s="3038"/>
      <c r="AZ1062" s="3038"/>
      <c r="BA1062" s="3038"/>
      <c r="BB1062" s="3038"/>
      <c r="BC1062" s="3038"/>
      <c r="BD1062" s="3038"/>
      <c r="BE1062" s="3038"/>
      <c r="BF1062" s="3038"/>
      <c r="BG1062" s="3038"/>
      <c r="BH1062" s="3038"/>
      <c r="BI1062" s="3038"/>
      <c r="BJ1062" s="3038"/>
      <c r="BK1062" s="3038"/>
      <c r="BL1062" s="3038"/>
      <c r="BM1062" s="3038"/>
      <c r="BN1062" s="3038"/>
      <c r="BO1062" s="3038"/>
      <c r="BP1062" s="3038"/>
      <c r="BQ1062" s="3038"/>
      <c r="BR1062" s="3038"/>
      <c r="BS1062" s="3038"/>
      <c r="BT1062" s="3038"/>
      <c r="BU1062" s="3038"/>
    </row>
    <row r="1063" spans="3:73">
      <c r="C1063" s="3038"/>
      <c r="D1063" s="3038"/>
      <c r="E1063" s="3038"/>
      <c r="H1063" s="3038"/>
      <c r="I1063" s="3038"/>
      <c r="J1063" s="3038"/>
      <c r="K1063" s="3038"/>
      <c r="M1063" s="3038"/>
      <c r="N1063" s="3038"/>
      <c r="O1063" s="3038"/>
      <c r="P1063" s="3038"/>
      <c r="Q1063" s="3038"/>
      <c r="R1063" s="3038"/>
      <c r="S1063" s="3038"/>
      <c r="T1063" s="3038"/>
      <c r="W1063" s="3038"/>
      <c r="X1063" s="3038"/>
      <c r="Y1063" s="3038"/>
      <c r="Z1063" s="3038"/>
      <c r="AA1063" s="3113"/>
      <c r="AB1063" s="3038"/>
      <c r="AC1063" s="3038"/>
      <c r="AD1063" s="3038"/>
      <c r="AE1063" s="3132"/>
      <c r="AF1063" s="3038"/>
      <c r="AG1063" s="3038"/>
      <c r="AH1063" s="3038"/>
      <c r="AK1063" s="3038"/>
      <c r="AL1063" s="3038"/>
      <c r="AM1063" s="3038"/>
      <c r="AN1063" s="3038"/>
      <c r="AO1063" s="3038"/>
      <c r="AP1063" s="3038"/>
      <c r="AQ1063" s="3038"/>
      <c r="AR1063" s="3038"/>
      <c r="AS1063" s="3038"/>
      <c r="AT1063" s="3038"/>
      <c r="AU1063" s="3038"/>
      <c r="AV1063" s="3038"/>
      <c r="AW1063" s="3038"/>
      <c r="AX1063" s="3038"/>
      <c r="AY1063" s="3038"/>
      <c r="AZ1063" s="3038"/>
      <c r="BA1063" s="3038"/>
      <c r="BB1063" s="3038"/>
      <c r="BC1063" s="3038"/>
      <c r="BD1063" s="3038"/>
      <c r="BE1063" s="3038"/>
      <c r="BF1063" s="3038"/>
      <c r="BG1063" s="3038"/>
      <c r="BH1063" s="3038"/>
      <c r="BI1063" s="3038"/>
      <c r="BJ1063" s="3038"/>
      <c r="BK1063" s="3038"/>
      <c r="BL1063" s="3038"/>
      <c r="BM1063" s="3038"/>
      <c r="BN1063" s="3038"/>
      <c r="BO1063" s="3038"/>
      <c r="BP1063" s="3038"/>
      <c r="BQ1063" s="3038"/>
      <c r="BR1063" s="3038"/>
      <c r="BS1063" s="3038"/>
      <c r="BT1063" s="3038"/>
      <c r="BU1063" s="3038"/>
    </row>
    <row r="1064" spans="3:73">
      <c r="C1064" s="3038"/>
      <c r="D1064" s="3038"/>
      <c r="E1064" s="3038"/>
      <c r="H1064" s="3038"/>
      <c r="I1064" s="3038"/>
      <c r="J1064" s="3038"/>
      <c r="K1064" s="3038"/>
      <c r="M1064" s="3038"/>
      <c r="N1064" s="3038"/>
      <c r="O1064" s="3038"/>
      <c r="P1064" s="3038"/>
      <c r="Q1064" s="3038"/>
      <c r="R1064" s="3038"/>
      <c r="S1064" s="3038"/>
      <c r="T1064" s="3038"/>
      <c r="W1064" s="3038"/>
      <c r="X1064" s="3038"/>
      <c r="Y1064" s="3038"/>
      <c r="Z1064" s="3038"/>
      <c r="AA1064" s="3113"/>
      <c r="AB1064" s="3038"/>
      <c r="AC1064" s="3038"/>
      <c r="AD1064" s="3038"/>
      <c r="AE1064" s="3132"/>
      <c r="AF1064" s="3038"/>
      <c r="AG1064" s="3038"/>
      <c r="AH1064" s="3038"/>
      <c r="AK1064" s="3038"/>
      <c r="AL1064" s="3038"/>
      <c r="AM1064" s="3038"/>
      <c r="AN1064" s="3038"/>
      <c r="AO1064" s="3038"/>
      <c r="AP1064" s="3038"/>
      <c r="AQ1064" s="3038"/>
      <c r="AR1064" s="3038"/>
      <c r="AS1064" s="3038"/>
      <c r="AT1064" s="3038"/>
      <c r="AU1064" s="3038"/>
      <c r="AV1064" s="3038"/>
      <c r="AW1064" s="3038"/>
      <c r="AX1064" s="3038"/>
      <c r="AY1064" s="3038"/>
      <c r="AZ1064" s="3038"/>
      <c r="BA1064" s="3038"/>
      <c r="BB1064" s="3038"/>
      <c r="BC1064" s="3038"/>
      <c r="BD1064" s="3038"/>
      <c r="BE1064" s="3038"/>
      <c r="BF1064" s="3038"/>
      <c r="BG1064" s="3038"/>
      <c r="BH1064" s="3038"/>
      <c r="BI1064" s="3038"/>
      <c r="BJ1064" s="3038"/>
      <c r="BK1064" s="3038"/>
      <c r="BL1064" s="3038"/>
      <c r="BM1064" s="3038"/>
      <c r="BN1064" s="3038"/>
      <c r="BO1064" s="3038"/>
      <c r="BP1064" s="3038"/>
      <c r="BQ1064" s="3038"/>
      <c r="BR1064" s="3038"/>
      <c r="BS1064" s="3038"/>
      <c r="BT1064" s="3038"/>
      <c r="BU1064" s="3038"/>
    </row>
    <row r="1065" spans="3:73">
      <c r="C1065" s="3038"/>
      <c r="D1065" s="3038"/>
      <c r="E1065" s="3038"/>
      <c r="H1065" s="3038"/>
      <c r="I1065" s="3038"/>
      <c r="J1065" s="3038"/>
      <c r="K1065" s="3038"/>
      <c r="M1065" s="3038"/>
      <c r="N1065" s="3038"/>
      <c r="O1065" s="3038"/>
      <c r="P1065" s="3038"/>
      <c r="Q1065" s="3038"/>
      <c r="R1065" s="3038"/>
      <c r="S1065" s="3038"/>
      <c r="T1065" s="3038"/>
      <c r="W1065" s="3038"/>
      <c r="X1065" s="3038"/>
      <c r="Y1065" s="3038"/>
      <c r="Z1065" s="3038"/>
      <c r="AA1065" s="3113"/>
      <c r="AB1065" s="3038"/>
      <c r="AC1065" s="3038"/>
      <c r="AD1065" s="3038"/>
      <c r="AE1065" s="3132"/>
      <c r="AF1065" s="3038"/>
      <c r="AG1065" s="3038"/>
      <c r="AH1065" s="3038"/>
      <c r="AK1065" s="3038"/>
      <c r="AL1065" s="3038"/>
      <c r="AM1065" s="3038"/>
      <c r="AN1065" s="3038"/>
      <c r="AO1065" s="3038"/>
      <c r="AP1065" s="3038"/>
      <c r="AQ1065" s="3038"/>
      <c r="AR1065" s="3038"/>
      <c r="AS1065" s="3038"/>
      <c r="AT1065" s="3038"/>
      <c r="AU1065" s="3038"/>
      <c r="AV1065" s="3038"/>
      <c r="AW1065" s="3038"/>
      <c r="AX1065" s="3038"/>
      <c r="AY1065" s="3038"/>
      <c r="AZ1065" s="3038"/>
      <c r="BA1065" s="3038"/>
      <c r="BB1065" s="3038"/>
      <c r="BC1065" s="3038"/>
      <c r="BD1065" s="3038"/>
      <c r="BE1065" s="3038"/>
      <c r="BF1065" s="3038"/>
      <c r="BG1065" s="3038"/>
      <c r="BH1065" s="3038"/>
      <c r="BI1065" s="3038"/>
      <c r="BJ1065" s="3038"/>
      <c r="BK1065" s="3038"/>
      <c r="BL1065" s="3038"/>
      <c r="BM1065" s="3038"/>
      <c r="BN1065" s="3038"/>
      <c r="BO1065" s="3038"/>
      <c r="BP1065" s="3038"/>
      <c r="BQ1065" s="3038"/>
      <c r="BR1065" s="3038"/>
      <c r="BS1065" s="3038"/>
      <c r="BT1065" s="3038"/>
      <c r="BU1065" s="3038"/>
    </row>
    <row r="1066" spans="3:73">
      <c r="C1066" s="3038"/>
      <c r="D1066" s="3038"/>
      <c r="E1066" s="3038"/>
      <c r="H1066" s="3038"/>
      <c r="I1066" s="3038"/>
      <c r="J1066" s="3038"/>
      <c r="K1066" s="3038"/>
      <c r="M1066" s="3038"/>
      <c r="N1066" s="3038"/>
      <c r="O1066" s="3038"/>
      <c r="P1066" s="3038"/>
      <c r="Q1066" s="3038"/>
      <c r="R1066" s="3038"/>
      <c r="S1066" s="3038"/>
      <c r="T1066" s="3038"/>
      <c r="W1066" s="3038"/>
      <c r="X1066" s="3038"/>
      <c r="Y1066" s="3038"/>
      <c r="Z1066" s="3038"/>
      <c r="AA1066" s="3113"/>
      <c r="AB1066" s="3038"/>
      <c r="AC1066" s="3038"/>
      <c r="AD1066" s="3038"/>
      <c r="AE1066" s="3132"/>
      <c r="AF1066" s="3038"/>
      <c r="AG1066" s="3038"/>
      <c r="AH1066" s="3038"/>
      <c r="AK1066" s="3038"/>
      <c r="AL1066" s="3038"/>
      <c r="AM1066" s="3038"/>
      <c r="AN1066" s="3038"/>
      <c r="AO1066" s="3038"/>
      <c r="AP1066" s="3038"/>
      <c r="AQ1066" s="3038"/>
      <c r="AR1066" s="3038"/>
      <c r="AS1066" s="3038"/>
      <c r="AT1066" s="3038"/>
      <c r="AU1066" s="3038"/>
      <c r="AV1066" s="3038"/>
      <c r="AW1066" s="3038"/>
      <c r="AX1066" s="3038"/>
      <c r="AY1066" s="3038"/>
      <c r="AZ1066" s="3038"/>
      <c r="BA1066" s="3038"/>
      <c r="BB1066" s="3038"/>
      <c r="BC1066" s="3038"/>
      <c r="BD1066" s="3038"/>
      <c r="BE1066" s="3038"/>
      <c r="BF1066" s="3038"/>
      <c r="BG1066" s="3038"/>
      <c r="BH1066" s="3038"/>
      <c r="BI1066" s="3038"/>
      <c r="BJ1066" s="3038"/>
      <c r="BK1066" s="3038"/>
      <c r="BL1066" s="3038"/>
      <c r="BM1066" s="3038"/>
      <c r="BN1066" s="3038"/>
      <c r="BO1066" s="3038"/>
      <c r="BP1066" s="3038"/>
      <c r="BQ1066" s="3038"/>
      <c r="BR1066" s="3038"/>
      <c r="BS1066" s="3038"/>
      <c r="BT1066" s="3038"/>
      <c r="BU1066" s="3038"/>
    </row>
    <row r="1067" spans="3:73">
      <c r="C1067" s="3038"/>
      <c r="D1067" s="3038"/>
      <c r="E1067" s="3038"/>
      <c r="H1067" s="3038"/>
      <c r="I1067" s="3038"/>
      <c r="J1067" s="3038"/>
      <c r="K1067" s="3038"/>
      <c r="M1067" s="3038"/>
      <c r="N1067" s="3038"/>
      <c r="O1067" s="3038"/>
      <c r="P1067" s="3038"/>
      <c r="Q1067" s="3038"/>
      <c r="R1067" s="3038"/>
      <c r="S1067" s="3038"/>
      <c r="T1067" s="3038"/>
      <c r="W1067" s="3038"/>
      <c r="X1067" s="3038"/>
      <c r="Y1067" s="3038"/>
      <c r="Z1067" s="3038"/>
      <c r="AA1067" s="3113"/>
      <c r="AB1067" s="3038"/>
      <c r="AC1067" s="3038"/>
      <c r="AD1067" s="3038"/>
      <c r="AE1067" s="3132"/>
      <c r="AF1067" s="3038"/>
      <c r="AG1067" s="3038"/>
      <c r="AH1067" s="3038"/>
      <c r="AK1067" s="3038"/>
      <c r="AL1067" s="3038"/>
      <c r="AM1067" s="3038"/>
      <c r="AN1067" s="3038"/>
      <c r="AO1067" s="3038"/>
      <c r="AP1067" s="3038"/>
      <c r="AQ1067" s="3038"/>
      <c r="AR1067" s="3038"/>
      <c r="AS1067" s="3038"/>
      <c r="AT1067" s="3038"/>
      <c r="AU1067" s="3038"/>
      <c r="AV1067" s="3038"/>
      <c r="AW1067" s="3038"/>
      <c r="AX1067" s="3038"/>
      <c r="AY1067" s="3038"/>
      <c r="AZ1067" s="3038"/>
      <c r="BA1067" s="3038"/>
      <c r="BB1067" s="3038"/>
      <c r="BC1067" s="3038"/>
      <c r="BD1067" s="3038"/>
      <c r="BE1067" s="3038"/>
      <c r="BF1067" s="3038"/>
      <c r="BG1067" s="3038"/>
      <c r="BH1067" s="3038"/>
      <c r="BI1067" s="3038"/>
      <c r="BJ1067" s="3038"/>
      <c r="BK1067" s="3038"/>
      <c r="BL1067" s="3038"/>
      <c r="BM1067" s="3038"/>
      <c r="BN1067" s="3038"/>
      <c r="BO1067" s="3038"/>
      <c r="BP1067" s="3038"/>
      <c r="BQ1067" s="3038"/>
      <c r="BR1067" s="3038"/>
      <c r="BS1067" s="3038"/>
      <c r="BT1067" s="3038"/>
      <c r="BU1067" s="3038"/>
    </row>
    <row r="1068" spans="3:73">
      <c r="C1068" s="3038"/>
      <c r="D1068" s="3038"/>
      <c r="E1068" s="3038"/>
      <c r="H1068" s="3038"/>
      <c r="I1068" s="3038"/>
      <c r="J1068" s="3038"/>
      <c r="K1068" s="3038"/>
      <c r="M1068" s="3038"/>
      <c r="N1068" s="3038"/>
      <c r="O1068" s="3038"/>
      <c r="P1068" s="3038"/>
      <c r="Q1068" s="3038"/>
      <c r="R1068" s="3038"/>
      <c r="S1068" s="3038"/>
      <c r="T1068" s="3038"/>
      <c r="W1068" s="3038"/>
      <c r="X1068" s="3038"/>
      <c r="Y1068" s="3038"/>
      <c r="Z1068" s="3038"/>
      <c r="AA1068" s="3113"/>
      <c r="AB1068" s="3038"/>
      <c r="AC1068" s="3038"/>
      <c r="AD1068" s="3038"/>
      <c r="AE1068" s="3132"/>
      <c r="AF1068" s="3038"/>
      <c r="AG1068" s="3038"/>
      <c r="AH1068" s="3038"/>
      <c r="AK1068" s="3038"/>
      <c r="AL1068" s="3038"/>
      <c r="AM1068" s="3038"/>
      <c r="AN1068" s="3038"/>
      <c r="AO1068" s="3038"/>
      <c r="AP1068" s="3038"/>
      <c r="AQ1068" s="3038"/>
      <c r="AR1068" s="3038"/>
      <c r="AS1068" s="3038"/>
      <c r="AT1068" s="3038"/>
      <c r="AU1068" s="3038"/>
      <c r="AV1068" s="3038"/>
      <c r="AW1068" s="3038"/>
      <c r="AX1068" s="3038"/>
      <c r="AY1068" s="3038"/>
      <c r="AZ1068" s="3038"/>
      <c r="BA1068" s="3038"/>
      <c r="BB1068" s="3038"/>
      <c r="BC1068" s="3038"/>
      <c r="BD1068" s="3038"/>
      <c r="BE1068" s="3038"/>
      <c r="BF1068" s="3038"/>
      <c r="BG1068" s="3038"/>
      <c r="BH1068" s="3038"/>
      <c r="BI1068" s="3038"/>
      <c r="BJ1068" s="3038"/>
      <c r="BK1068" s="3038"/>
      <c r="BL1068" s="3038"/>
      <c r="BM1068" s="3038"/>
      <c r="BN1068" s="3038"/>
      <c r="BO1068" s="3038"/>
      <c r="BP1068" s="3038"/>
      <c r="BQ1068" s="3038"/>
      <c r="BR1068" s="3038"/>
      <c r="BS1068" s="3038"/>
      <c r="BT1068" s="3038"/>
      <c r="BU1068" s="3038"/>
    </row>
    <row r="1069" spans="3:73">
      <c r="C1069" s="3038"/>
      <c r="D1069" s="3038"/>
      <c r="E1069" s="3038"/>
      <c r="H1069" s="3038"/>
      <c r="I1069" s="3038"/>
      <c r="J1069" s="3038"/>
      <c r="K1069" s="3038"/>
      <c r="M1069" s="3038"/>
      <c r="N1069" s="3038"/>
      <c r="O1069" s="3038"/>
      <c r="P1069" s="3038"/>
      <c r="Q1069" s="3038"/>
      <c r="R1069" s="3038"/>
      <c r="S1069" s="3038"/>
      <c r="T1069" s="3038"/>
      <c r="W1069" s="3038"/>
      <c r="X1069" s="3038"/>
      <c r="Y1069" s="3038"/>
      <c r="Z1069" s="3038"/>
      <c r="AA1069" s="3113"/>
      <c r="AB1069" s="3038"/>
      <c r="AC1069" s="3038"/>
      <c r="AD1069" s="3038"/>
      <c r="AE1069" s="3132"/>
      <c r="AF1069" s="3038"/>
      <c r="AG1069" s="3038"/>
      <c r="AH1069" s="3038"/>
      <c r="AK1069" s="3038"/>
      <c r="AL1069" s="3038"/>
      <c r="AM1069" s="3038"/>
      <c r="AN1069" s="3038"/>
      <c r="AO1069" s="3038"/>
      <c r="AP1069" s="3038"/>
      <c r="AQ1069" s="3038"/>
      <c r="AR1069" s="3038"/>
      <c r="AS1069" s="3038"/>
      <c r="AT1069" s="3038"/>
      <c r="AU1069" s="3038"/>
      <c r="AV1069" s="3038"/>
      <c r="AW1069" s="3038"/>
      <c r="AX1069" s="3038"/>
      <c r="AY1069" s="3038"/>
      <c r="AZ1069" s="3038"/>
      <c r="BA1069" s="3038"/>
      <c r="BB1069" s="3038"/>
      <c r="BC1069" s="3038"/>
      <c r="BD1069" s="3038"/>
      <c r="BE1069" s="3038"/>
      <c r="BF1069" s="3038"/>
      <c r="BG1069" s="3038"/>
      <c r="BH1069" s="3038"/>
      <c r="BI1069" s="3038"/>
      <c r="BJ1069" s="3038"/>
      <c r="BK1069" s="3038"/>
      <c r="BL1069" s="3038"/>
      <c r="BM1069" s="3038"/>
      <c r="BN1069" s="3038"/>
      <c r="BO1069" s="3038"/>
      <c r="BP1069" s="3038"/>
      <c r="BQ1069" s="3038"/>
      <c r="BR1069" s="3038"/>
      <c r="BS1069" s="3038"/>
      <c r="BT1069" s="3038"/>
      <c r="BU1069" s="3038"/>
    </row>
    <row r="1070" spans="3:73">
      <c r="C1070" s="3038"/>
      <c r="D1070" s="3038"/>
      <c r="E1070" s="3038"/>
      <c r="H1070" s="3038"/>
      <c r="I1070" s="3038"/>
      <c r="J1070" s="3038"/>
      <c r="K1070" s="3038"/>
      <c r="M1070" s="3038"/>
      <c r="N1070" s="3038"/>
      <c r="O1070" s="3038"/>
      <c r="P1070" s="3038"/>
      <c r="Q1070" s="3038"/>
      <c r="R1070" s="3038"/>
      <c r="S1070" s="3038"/>
      <c r="T1070" s="3038"/>
      <c r="W1070" s="3038"/>
      <c r="X1070" s="3038"/>
      <c r="Y1070" s="3038"/>
      <c r="Z1070" s="3038"/>
      <c r="AA1070" s="3113"/>
      <c r="AB1070" s="3038"/>
      <c r="AC1070" s="3038"/>
      <c r="AD1070" s="3038"/>
      <c r="AE1070" s="3132"/>
      <c r="AF1070" s="3038"/>
      <c r="AG1070" s="3038"/>
      <c r="AH1070" s="3038"/>
      <c r="AK1070" s="3038"/>
      <c r="AL1070" s="3038"/>
      <c r="AM1070" s="3038"/>
      <c r="AN1070" s="3038"/>
      <c r="AO1070" s="3038"/>
      <c r="AP1070" s="3038"/>
      <c r="AQ1070" s="3038"/>
      <c r="AR1070" s="3038"/>
      <c r="AS1070" s="3038"/>
      <c r="AT1070" s="3038"/>
      <c r="AU1070" s="3038"/>
      <c r="AV1070" s="3038"/>
      <c r="AW1070" s="3038"/>
      <c r="AX1070" s="3038"/>
      <c r="AY1070" s="3038"/>
      <c r="AZ1070" s="3038"/>
      <c r="BA1070" s="3038"/>
      <c r="BB1070" s="3038"/>
      <c r="BC1070" s="3038"/>
      <c r="BD1070" s="3038"/>
      <c r="BE1070" s="3038"/>
      <c r="BF1070" s="3038"/>
      <c r="BG1070" s="3038"/>
      <c r="BH1070" s="3038"/>
      <c r="BI1070" s="3038"/>
      <c r="BJ1070" s="3038"/>
      <c r="BK1070" s="3038"/>
      <c r="BL1070" s="3038"/>
      <c r="BM1070" s="3038"/>
      <c r="BN1070" s="3038"/>
      <c r="BO1070" s="3038"/>
      <c r="BP1070" s="3038"/>
      <c r="BQ1070" s="3038"/>
      <c r="BR1070" s="3038"/>
      <c r="BS1070" s="3038"/>
      <c r="BT1070" s="3038"/>
      <c r="BU1070" s="3038"/>
    </row>
    <row r="1071" spans="3:73">
      <c r="C1071" s="3038"/>
      <c r="D1071" s="3038"/>
      <c r="E1071" s="3038"/>
      <c r="H1071" s="3038"/>
      <c r="I1071" s="3038"/>
      <c r="J1071" s="3038"/>
      <c r="K1071" s="3038"/>
      <c r="M1071" s="3038"/>
      <c r="N1071" s="3038"/>
      <c r="O1071" s="3038"/>
      <c r="P1071" s="3038"/>
      <c r="Q1071" s="3038"/>
      <c r="R1071" s="3038"/>
      <c r="S1071" s="3038"/>
      <c r="T1071" s="3038"/>
      <c r="W1071" s="3038"/>
      <c r="X1071" s="3038"/>
      <c r="Y1071" s="3038"/>
      <c r="Z1071" s="3038"/>
      <c r="AA1071" s="3113"/>
      <c r="AB1071" s="3038"/>
      <c r="AC1071" s="3038"/>
      <c r="AD1071" s="3038"/>
      <c r="AE1071" s="3132"/>
      <c r="AF1071" s="3038"/>
      <c r="AG1071" s="3038"/>
      <c r="AH1071" s="3038"/>
      <c r="AK1071" s="3038"/>
      <c r="AL1071" s="3038"/>
      <c r="AM1071" s="3038"/>
      <c r="AN1071" s="3038"/>
      <c r="AO1071" s="3038"/>
      <c r="AP1071" s="3038"/>
      <c r="AQ1071" s="3038"/>
      <c r="AR1071" s="3038"/>
      <c r="AS1071" s="3038"/>
      <c r="AT1071" s="3038"/>
      <c r="AU1071" s="3038"/>
      <c r="AV1071" s="3038"/>
      <c r="AW1071" s="3038"/>
      <c r="AX1071" s="3038"/>
      <c r="AY1071" s="3038"/>
      <c r="AZ1071" s="3038"/>
      <c r="BA1071" s="3038"/>
      <c r="BB1071" s="3038"/>
      <c r="BC1071" s="3038"/>
      <c r="BD1071" s="3038"/>
      <c r="BE1071" s="3038"/>
      <c r="BF1071" s="3038"/>
      <c r="BG1071" s="3038"/>
      <c r="BH1071" s="3038"/>
      <c r="BI1071" s="3038"/>
      <c r="BJ1071" s="3038"/>
      <c r="BK1071" s="3038"/>
      <c r="BL1071" s="3038"/>
      <c r="BM1071" s="3038"/>
      <c r="BN1071" s="3038"/>
      <c r="BO1071" s="3038"/>
      <c r="BP1071" s="3038"/>
      <c r="BQ1071" s="3038"/>
      <c r="BR1071" s="3038"/>
      <c r="BS1071" s="3038"/>
      <c r="BT1071" s="3038"/>
      <c r="BU1071" s="3038"/>
    </row>
    <row r="1072" spans="3:73">
      <c r="C1072" s="3038"/>
      <c r="D1072" s="3038"/>
      <c r="E1072" s="3038"/>
      <c r="H1072" s="3038"/>
      <c r="I1072" s="3038"/>
      <c r="J1072" s="3038"/>
      <c r="K1072" s="3038"/>
      <c r="M1072" s="3038"/>
      <c r="N1072" s="3038"/>
      <c r="O1072" s="3038"/>
      <c r="P1072" s="3038"/>
      <c r="Q1072" s="3038"/>
      <c r="R1072" s="3038"/>
      <c r="S1072" s="3038"/>
      <c r="T1072" s="3038"/>
      <c r="W1072" s="3038"/>
      <c r="X1072" s="3038"/>
      <c r="Y1072" s="3038"/>
      <c r="Z1072" s="3038"/>
      <c r="AA1072" s="3113"/>
      <c r="AB1072" s="3038"/>
      <c r="AC1072" s="3038"/>
      <c r="AD1072" s="3038"/>
      <c r="AE1072" s="3132"/>
      <c r="AF1072" s="3038"/>
      <c r="AG1072" s="3038"/>
      <c r="AH1072" s="3038"/>
      <c r="AK1072" s="3038"/>
      <c r="AL1072" s="3038"/>
      <c r="AM1072" s="3038"/>
      <c r="AN1072" s="3038"/>
      <c r="AO1072" s="3038"/>
      <c r="AP1072" s="3038"/>
      <c r="AQ1072" s="3038"/>
      <c r="AR1072" s="3038"/>
      <c r="AS1072" s="3038"/>
      <c r="AT1072" s="3038"/>
      <c r="AU1072" s="3038"/>
      <c r="AV1072" s="3038"/>
      <c r="AW1072" s="3038"/>
      <c r="AX1072" s="3038"/>
      <c r="AY1072" s="3038"/>
      <c r="AZ1072" s="3038"/>
      <c r="BA1072" s="3038"/>
      <c r="BB1072" s="3038"/>
      <c r="BC1072" s="3038"/>
      <c r="BD1072" s="3038"/>
      <c r="BE1072" s="3038"/>
      <c r="BF1072" s="3038"/>
      <c r="BG1072" s="3038"/>
      <c r="BH1072" s="3038"/>
      <c r="BI1072" s="3038"/>
      <c r="BJ1072" s="3038"/>
      <c r="BK1072" s="3038"/>
      <c r="BL1072" s="3038"/>
      <c r="BM1072" s="3038"/>
      <c r="BN1072" s="3038"/>
      <c r="BO1072" s="3038"/>
      <c r="BP1072" s="3038"/>
      <c r="BQ1072" s="3038"/>
      <c r="BR1072" s="3038"/>
      <c r="BS1072" s="3038"/>
      <c r="BT1072" s="3038"/>
      <c r="BU1072" s="3038"/>
    </row>
    <row r="1073" spans="3:73">
      <c r="C1073" s="3038"/>
      <c r="D1073" s="3038"/>
      <c r="E1073" s="3038"/>
      <c r="H1073" s="3038"/>
      <c r="I1073" s="3038"/>
      <c r="J1073" s="3038"/>
      <c r="K1073" s="3038"/>
      <c r="M1073" s="3038"/>
      <c r="N1073" s="3038"/>
      <c r="O1073" s="3038"/>
      <c r="P1073" s="3038"/>
      <c r="Q1073" s="3038"/>
      <c r="R1073" s="3038"/>
      <c r="S1073" s="3038"/>
      <c r="T1073" s="3038"/>
      <c r="W1073" s="3038"/>
      <c r="X1073" s="3038"/>
      <c r="Y1073" s="3038"/>
      <c r="Z1073" s="3038"/>
      <c r="AA1073" s="3113"/>
      <c r="AB1073" s="3038"/>
      <c r="AC1073" s="3038"/>
      <c r="AD1073" s="3038"/>
      <c r="AE1073" s="3132"/>
      <c r="AF1073" s="3038"/>
      <c r="AG1073" s="3038"/>
      <c r="AH1073" s="3038"/>
      <c r="AK1073" s="3038"/>
      <c r="AL1073" s="3038"/>
      <c r="AM1073" s="3038"/>
      <c r="AN1073" s="3038"/>
      <c r="AO1073" s="3038"/>
      <c r="AP1073" s="3038"/>
      <c r="AQ1073" s="3038"/>
      <c r="AR1073" s="3038"/>
      <c r="AS1073" s="3038"/>
      <c r="AT1073" s="3038"/>
      <c r="AU1073" s="3038"/>
      <c r="AV1073" s="3038"/>
      <c r="AW1073" s="3038"/>
      <c r="AX1073" s="3038"/>
      <c r="AY1073" s="3038"/>
      <c r="AZ1073" s="3038"/>
      <c r="BA1073" s="3038"/>
      <c r="BB1073" s="3038"/>
      <c r="BC1073" s="3038"/>
      <c r="BD1073" s="3038"/>
      <c r="BE1073" s="3038"/>
      <c r="BF1073" s="3038"/>
      <c r="BG1073" s="3038"/>
      <c r="BH1073" s="3038"/>
      <c r="BI1073" s="3038"/>
      <c r="BJ1073" s="3038"/>
      <c r="BK1073" s="3038"/>
      <c r="BL1073" s="3038"/>
      <c r="BM1073" s="3038"/>
      <c r="BN1073" s="3038"/>
      <c r="BO1073" s="3038"/>
      <c r="BP1073" s="3038"/>
      <c r="BQ1073" s="3038"/>
      <c r="BR1073" s="3038"/>
      <c r="BS1073" s="3038"/>
      <c r="BT1073" s="3038"/>
      <c r="BU1073" s="3038"/>
    </row>
    <row r="1074" spans="3:73">
      <c r="C1074" s="3038"/>
      <c r="D1074" s="3038"/>
      <c r="E1074" s="3038"/>
      <c r="H1074" s="3038"/>
      <c r="I1074" s="3038"/>
      <c r="J1074" s="3038"/>
      <c r="K1074" s="3038"/>
      <c r="M1074" s="3038"/>
      <c r="N1074" s="3038"/>
      <c r="O1074" s="3038"/>
      <c r="P1074" s="3038"/>
      <c r="Q1074" s="3038"/>
      <c r="R1074" s="3038"/>
      <c r="S1074" s="3038"/>
      <c r="T1074" s="3038"/>
      <c r="W1074" s="3038"/>
      <c r="X1074" s="3038"/>
      <c r="Y1074" s="3038"/>
      <c r="Z1074" s="3038"/>
      <c r="AA1074" s="3113"/>
      <c r="AB1074" s="3038"/>
      <c r="AC1074" s="3038"/>
      <c r="AD1074" s="3038"/>
      <c r="AE1074" s="3132"/>
      <c r="AF1074" s="3038"/>
      <c r="AG1074" s="3038"/>
      <c r="AH1074" s="3038"/>
      <c r="AK1074" s="3038"/>
      <c r="AL1074" s="3038"/>
      <c r="AM1074" s="3038"/>
      <c r="AN1074" s="3038"/>
      <c r="AO1074" s="3038"/>
      <c r="AP1074" s="3038"/>
      <c r="AQ1074" s="3038"/>
      <c r="AR1074" s="3038"/>
      <c r="AS1074" s="3038"/>
      <c r="AT1074" s="3038"/>
      <c r="AU1074" s="3038"/>
      <c r="AV1074" s="3038"/>
      <c r="AW1074" s="3038"/>
      <c r="AX1074" s="3038"/>
      <c r="AY1074" s="3038"/>
      <c r="AZ1074" s="3038"/>
      <c r="BA1074" s="3038"/>
      <c r="BB1074" s="3038"/>
      <c r="BC1074" s="3038"/>
      <c r="BD1074" s="3038"/>
      <c r="BE1074" s="3038"/>
      <c r="BF1074" s="3038"/>
      <c r="BG1074" s="3038"/>
      <c r="BH1074" s="3038"/>
      <c r="BI1074" s="3038"/>
      <c r="BJ1074" s="3038"/>
      <c r="BK1074" s="3038"/>
      <c r="BL1074" s="3038"/>
      <c r="BM1074" s="3038"/>
      <c r="BN1074" s="3038"/>
      <c r="BO1074" s="3038"/>
      <c r="BP1074" s="3038"/>
      <c r="BQ1074" s="3038"/>
      <c r="BR1074" s="3038"/>
      <c r="BS1074" s="3038"/>
      <c r="BT1074" s="3038"/>
      <c r="BU1074" s="3038"/>
    </row>
    <row r="1075" spans="3:73">
      <c r="C1075" s="3038"/>
      <c r="D1075" s="3038"/>
      <c r="E1075" s="3038"/>
      <c r="H1075" s="3038"/>
      <c r="I1075" s="3038"/>
      <c r="J1075" s="3038"/>
      <c r="K1075" s="3038"/>
      <c r="M1075" s="3038"/>
      <c r="N1075" s="3038"/>
      <c r="O1075" s="3038"/>
      <c r="P1075" s="3038"/>
      <c r="Q1075" s="3038"/>
      <c r="R1075" s="3038"/>
      <c r="S1075" s="3038"/>
      <c r="T1075" s="3038"/>
      <c r="W1075" s="3038"/>
      <c r="X1075" s="3038"/>
      <c r="Y1075" s="3038"/>
      <c r="Z1075" s="3038"/>
      <c r="AA1075" s="3113"/>
      <c r="AB1075" s="3038"/>
      <c r="AC1075" s="3038"/>
      <c r="AD1075" s="3038"/>
      <c r="AE1075" s="3132"/>
      <c r="AF1075" s="3038"/>
      <c r="AG1075" s="3038"/>
      <c r="AH1075" s="3038"/>
      <c r="AK1075" s="3038"/>
      <c r="AL1075" s="3038"/>
      <c r="AM1075" s="3038"/>
      <c r="AN1075" s="3038"/>
      <c r="AO1075" s="3038"/>
      <c r="AP1075" s="3038"/>
      <c r="AQ1075" s="3038"/>
      <c r="AR1075" s="3038"/>
      <c r="AS1075" s="3038"/>
      <c r="AT1075" s="3038"/>
      <c r="AU1075" s="3038"/>
      <c r="AV1075" s="3038"/>
      <c r="AW1075" s="3038"/>
      <c r="AX1075" s="3038"/>
      <c r="AY1075" s="3038"/>
      <c r="AZ1075" s="3038"/>
      <c r="BA1075" s="3038"/>
      <c r="BB1075" s="3038"/>
      <c r="BC1075" s="3038"/>
      <c r="BD1075" s="3038"/>
      <c r="BE1075" s="3038"/>
      <c r="BF1075" s="3038"/>
      <c r="BG1075" s="3038"/>
      <c r="BH1075" s="3038"/>
      <c r="BI1075" s="3038"/>
      <c r="BJ1075" s="3038"/>
      <c r="BK1075" s="3038"/>
      <c r="BL1075" s="3038"/>
      <c r="BM1075" s="3038"/>
      <c r="BN1075" s="3038"/>
      <c r="BO1075" s="3038"/>
      <c r="BP1075" s="3038"/>
      <c r="BQ1075" s="3038"/>
      <c r="BR1075" s="3038"/>
      <c r="BS1075" s="3038"/>
      <c r="BT1075" s="3038"/>
      <c r="BU1075" s="3038"/>
    </row>
    <row r="1076" spans="3:73">
      <c r="C1076" s="3038"/>
      <c r="D1076" s="3038"/>
      <c r="E1076" s="3038"/>
      <c r="H1076" s="3038"/>
      <c r="I1076" s="3038"/>
      <c r="J1076" s="3038"/>
      <c r="K1076" s="3038"/>
      <c r="M1076" s="3038"/>
      <c r="N1076" s="3038"/>
      <c r="O1076" s="3038"/>
      <c r="P1076" s="3038"/>
      <c r="Q1076" s="3038"/>
      <c r="R1076" s="3038"/>
      <c r="S1076" s="3038"/>
      <c r="T1076" s="3038"/>
      <c r="W1076" s="3038"/>
      <c r="X1076" s="3038"/>
      <c r="Y1076" s="3038"/>
      <c r="Z1076" s="3038"/>
      <c r="AA1076" s="3113"/>
      <c r="AB1076" s="3038"/>
      <c r="AC1076" s="3038"/>
      <c r="AD1076" s="3038"/>
      <c r="AE1076" s="3132"/>
      <c r="AF1076" s="3038"/>
      <c r="AG1076" s="3038"/>
      <c r="AH1076" s="3038"/>
      <c r="AK1076" s="3038"/>
      <c r="AL1076" s="3038"/>
      <c r="AM1076" s="3038"/>
      <c r="AN1076" s="3038"/>
      <c r="AO1076" s="3038"/>
      <c r="AP1076" s="3038"/>
      <c r="AQ1076" s="3038"/>
      <c r="AR1076" s="3038"/>
      <c r="AS1076" s="3038"/>
      <c r="AT1076" s="3038"/>
      <c r="AU1076" s="3038"/>
      <c r="AV1076" s="3038"/>
      <c r="AW1076" s="3038"/>
      <c r="AX1076" s="3038"/>
      <c r="AY1076" s="3038"/>
      <c r="AZ1076" s="3038"/>
      <c r="BA1076" s="3038"/>
      <c r="BB1076" s="3038"/>
      <c r="BC1076" s="3038"/>
      <c r="BD1076" s="3038"/>
      <c r="BE1076" s="3038"/>
      <c r="BF1076" s="3038"/>
      <c r="BG1076" s="3038"/>
      <c r="BH1076" s="3038"/>
      <c r="BI1076" s="3038"/>
      <c r="BJ1076" s="3038"/>
      <c r="BK1076" s="3038"/>
      <c r="BL1076" s="3038"/>
      <c r="BM1076" s="3038"/>
      <c r="BN1076" s="3038"/>
      <c r="BO1076" s="3038"/>
      <c r="BP1076" s="3038"/>
      <c r="BQ1076" s="3038"/>
      <c r="BR1076" s="3038"/>
      <c r="BS1076" s="3038"/>
      <c r="BT1076" s="3038"/>
      <c r="BU1076" s="3038"/>
    </row>
    <row r="1077" spans="3:73">
      <c r="C1077" s="3038"/>
      <c r="D1077" s="3038"/>
      <c r="E1077" s="3038"/>
      <c r="H1077" s="3038"/>
      <c r="I1077" s="3038"/>
      <c r="J1077" s="3038"/>
      <c r="K1077" s="3038"/>
      <c r="M1077" s="3038"/>
      <c r="N1077" s="3038"/>
      <c r="O1077" s="3038"/>
      <c r="P1077" s="3038"/>
      <c r="Q1077" s="3038"/>
      <c r="R1077" s="3038"/>
      <c r="S1077" s="3038"/>
      <c r="T1077" s="3038"/>
      <c r="W1077" s="3038"/>
      <c r="X1077" s="3038"/>
      <c r="Y1077" s="3038"/>
      <c r="Z1077" s="3038"/>
      <c r="AA1077" s="3113"/>
      <c r="AB1077" s="3038"/>
      <c r="AC1077" s="3038"/>
      <c r="AD1077" s="3038"/>
      <c r="AE1077" s="3132"/>
      <c r="AF1077" s="3038"/>
      <c r="AG1077" s="3038"/>
      <c r="AH1077" s="3038"/>
      <c r="AK1077" s="3038"/>
      <c r="AL1077" s="3038"/>
      <c r="AM1077" s="3038"/>
      <c r="AN1077" s="3038"/>
      <c r="AO1077" s="3038"/>
      <c r="AP1077" s="3038"/>
      <c r="AQ1077" s="3038"/>
      <c r="AR1077" s="3038"/>
      <c r="AS1077" s="3038"/>
      <c r="AT1077" s="3038"/>
      <c r="AU1077" s="3038"/>
      <c r="AV1077" s="3038"/>
      <c r="AW1077" s="3038"/>
      <c r="AX1077" s="3038"/>
      <c r="AY1077" s="3038"/>
      <c r="AZ1077" s="3038"/>
      <c r="BA1077" s="3038"/>
      <c r="BB1077" s="3038"/>
      <c r="BC1077" s="3038"/>
      <c r="BD1077" s="3038"/>
      <c r="BE1077" s="3038"/>
      <c r="BF1077" s="3038"/>
      <c r="BG1077" s="3038"/>
      <c r="BH1077" s="3038"/>
      <c r="BI1077" s="3038"/>
      <c r="BJ1077" s="3038"/>
      <c r="BK1077" s="3038"/>
      <c r="BL1077" s="3038"/>
      <c r="BM1077" s="3038"/>
      <c r="BN1077" s="3038"/>
      <c r="BO1077" s="3038"/>
      <c r="BP1077" s="3038"/>
      <c r="BQ1077" s="3038"/>
      <c r="BR1077" s="3038"/>
      <c r="BS1077" s="3038"/>
      <c r="BT1077" s="3038"/>
      <c r="BU1077" s="3038"/>
    </row>
    <row r="1078" spans="3:73">
      <c r="C1078" s="3038"/>
      <c r="D1078" s="3038"/>
      <c r="E1078" s="3038"/>
      <c r="H1078" s="3038"/>
      <c r="I1078" s="3038"/>
      <c r="J1078" s="3038"/>
      <c r="K1078" s="3038"/>
      <c r="M1078" s="3038"/>
      <c r="N1078" s="3038"/>
      <c r="O1078" s="3038"/>
      <c r="P1078" s="3038"/>
      <c r="Q1078" s="3038"/>
      <c r="R1078" s="3038"/>
      <c r="S1078" s="3038"/>
      <c r="T1078" s="3038"/>
      <c r="W1078" s="3038"/>
      <c r="X1078" s="3038"/>
      <c r="Y1078" s="3038"/>
      <c r="Z1078" s="3038"/>
      <c r="AA1078" s="3113"/>
      <c r="AB1078" s="3038"/>
      <c r="AC1078" s="3038"/>
      <c r="AD1078" s="3038"/>
      <c r="AE1078" s="3132"/>
      <c r="AF1078" s="3038"/>
      <c r="AG1078" s="3038"/>
      <c r="AH1078" s="3038"/>
      <c r="AK1078" s="3038"/>
      <c r="AL1078" s="3038"/>
      <c r="AM1078" s="3038"/>
      <c r="AN1078" s="3038"/>
      <c r="AO1078" s="3038"/>
      <c r="AP1078" s="3038"/>
      <c r="AQ1078" s="3038"/>
      <c r="AR1078" s="3038"/>
      <c r="AS1078" s="3038"/>
      <c r="AT1078" s="3038"/>
      <c r="AU1078" s="3038"/>
      <c r="AV1078" s="3038"/>
      <c r="AW1078" s="3038"/>
      <c r="AX1078" s="3038"/>
      <c r="AY1078" s="3038"/>
      <c r="AZ1078" s="3038"/>
      <c r="BA1078" s="3038"/>
      <c r="BB1078" s="3038"/>
      <c r="BC1078" s="3038"/>
      <c r="BD1078" s="3038"/>
      <c r="BE1078" s="3038"/>
      <c r="BF1078" s="3038"/>
      <c r="BG1078" s="3038"/>
      <c r="BH1078" s="3038"/>
      <c r="BI1078" s="3038"/>
      <c r="BJ1078" s="3038"/>
      <c r="BK1078" s="3038"/>
      <c r="BL1078" s="3038"/>
      <c r="BM1078" s="3038"/>
      <c r="BN1078" s="3038"/>
      <c r="BO1078" s="3038"/>
      <c r="BP1078" s="3038"/>
      <c r="BQ1078" s="3038"/>
      <c r="BR1078" s="3038"/>
      <c r="BS1078" s="3038"/>
      <c r="BT1078" s="3038"/>
      <c r="BU1078" s="3038"/>
    </row>
    <row r="1079" spans="3:73">
      <c r="C1079" s="3038"/>
      <c r="D1079" s="3038"/>
      <c r="E1079" s="3038"/>
      <c r="H1079" s="3038"/>
      <c r="I1079" s="3038"/>
      <c r="J1079" s="3038"/>
      <c r="K1079" s="3038"/>
      <c r="M1079" s="3038"/>
      <c r="N1079" s="3038"/>
      <c r="O1079" s="3038"/>
      <c r="P1079" s="3038"/>
      <c r="Q1079" s="3038"/>
      <c r="R1079" s="3038"/>
      <c r="S1079" s="3038"/>
      <c r="T1079" s="3038"/>
      <c r="W1079" s="3038"/>
      <c r="X1079" s="3038"/>
      <c r="Y1079" s="3038"/>
      <c r="Z1079" s="3038"/>
      <c r="AA1079" s="3113"/>
      <c r="AB1079" s="3038"/>
      <c r="AC1079" s="3038"/>
      <c r="AD1079" s="3038"/>
      <c r="AE1079" s="3132"/>
      <c r="AF1079" s="3038"/>
      <c r="AG1079" s="3038"/>
      <c r="AH1079" s="3038"/>
      <c r="AK1079" s="3038"/>
      <c r="AL1079" s="3038"/>
      <c r="AM1079" s="3038"/>
      <c r="AN1079" s="3038"/>
      <c r="AO1079" s="3038"/>
      <c r="AP1079" s="3038"/>
      <c r="AQ1079" s="3038"/>
      <c r="AR1079" s="3038"/>
      <c r="AS1079" s="3038"/>
      <c r="AT1079" s="3038"/>
      <c r="AU1079" s="3038"/>
      <c r="AV1079" s="3038"/>
      <c r="AW1079" s="3038"/>
      <c r="AX1079" s="3038"/>
      <c r="AY1079" s="3038"/>
      <c r="AZ1079" s="3038"/>
      <c r="BA1079" s="3038"/>
      <c r="BB1079" s="3038"/>
      <c r="BC1079" s="3038"/>
      <c r="BD1079" s="3038"/>
      <c r="BE1079" s="3038"/>
      <c r="BF1079" s="3038"/>
      <c r="BG1079" s="3038"/>
      <c r="BH1079" s="3038"/>
      <c r="BI1079" s="3038"/>
      <c r="BJ1079" s="3038"/>
      <c r="BK1079" s="3038"/>
      <c r="BL1079" s="3038"/>
      <c r="BM1079" s="3038"/>
      <c r="BN1079" s="3038"/>
      <c r="BO1079" s="3038"/>
      <c r="BP1079" s="3038"/>
      <c r="BQ1079" s="3038"/>
      <c r="BR1079" s="3038"/>
      <c r="BS1079" s="3038"/>
      <c r="BT1079" s="3038"/>
      <c r="BU1079" s="3038"/>
    </row>
    <row r="1080" spans="3:73">
      <c r="C1080" s="3038"/>
      <c r="D1080" s="3038"/>
      <c r="E1080" s="3038"/>
      <c r="H1080" s="3038"/>
      <c r="I1080" s="3038"/>
      <c r="J1080" s="3038"/>
      <c r="K1080" s="3038"/>
      <c r="M1080" s="3038"/>
      <c r="N1080" s="3038"/>
      <c r="O1080" s="3038"/>
      <c r="P1080" s="3038"/>
      <c r="Q1080" s="3038"/>
      <c r="R1080" s="3038"/>
      <c r="S1080" s="3038"/>
      <c r="T1080" s="3038"/>
      <c r="W1080" s="3038"/>
      <c r="X1080" s="3038"/>
      <c r="Y1080" s="3038"/>
      <c r="Z1080" s="3038"/>
      <c r="AA1080" s="3113"/>
      <c r="AB1080" s="3038"/>
      <c r="AC1080" s="3038"/>
      <c r="AD1080" s="3038"/>
      <c r="AE1080" s="3132"/>
      <c r="AF1080" s="3038"/>
      <c r="AG1080" s="3038"/>
      <c r="AH1080" s="3038"/>
      <c r="AK1080" s="3038"/>
      <c r="AL1080" s="3038"/>
      <c r="AM1080" s="3038"/>
      <c r="AN1080" s="3038"/>
      <c r="AO1080" s="3038"/>
      <c r="AP1080" s="3038"/>
      <c r="AQ1080" s="3038"/>
      <c r="AR1080" s="3038"/>
      <c r="AS1080" s="3038"/>
      <c r="AT1080" s="3038"/>
      <c r="AU1080" s="3038"/>
      <c r="AV1080" s="3038"/>
      <c r="AW1080" s="3038"/>
      <c r="AX1080" s="3038"/>
      <c r="AY1080" s="3038"/>
      <c r="AZ1080" s="3038"/>
      <c r="BA1080" s="3038"/>
      <c r="BB1080" s="3038"/>
      <c r="BC1080" s="3038"/>
      <c r="BD1080" s="3038"/>
      <c r="BE1080" s="3038"/>
      <c r="BF1080" s="3038"/>
      <c r="BG1080" s="3038"/>
      <c r="BH1080" s="3038"/>
      <c r="BI1080" s="3038"/>
      <c r="BJ1080" s="3038"/>
      <c r="BK1080" s="3038"/>
      <c r="BL1080" s="3038"/>
      <c r="BM1080" s="3038"/>
      <c r="BN1080" s="3038"/>
      <c r="BO1080" s="3038"/>
      <c r="BP1080" s="3038"/>
      <c r="BQ1080" s="3038"/>
      <c r="BR1080" s="3038"/>
      <c r="BS1080" s="3038"/>
      <c r="BT1080" s="3038"/>
      <c r="BU1080" s="3038"/>
    </row>
    <row r="1081" spans="3:73">
      <c r="C1081" s="3038"/>
      <c r="D1081" s="3038"/>
      <c r="E1081" s="3038"/>
      <c r="H1081" s="3038"/>
      <c r="I1081" s="3038"/>
      <c r="J1081" s="3038"/>
      <c r="K1081" s="3038"/>
      <c r="M1081" s="3038"/>
      <c r="N1081" s="3038"/>
      <c r="O1081" s="3038"/>
      <c r="P1081" s="3038"/>
      <c r="Q1081" s="3038"/>
      <c r="R1081" s="3038"/>
      <c r="S1081" s="3038"/>
      <c r="T1081" s="3038"/>
      <c r="W1081" s="3038"/>
      <c r="X1081" s="3038"/>
      <c r="Y1081" s="3038"/>
      <c r="Z1081" s="3038"/>
      <c r="AA1081" s="3113"/>
      <c r="AB1081" s="3038"/>
      <c r="AC1081" s="3038"/>
      <c r="AD1081" s="3038"/>
      <c r="AE1081" s="3132"/>
      <c r="AF1081" s="3038"/>
      <c r="AG1081" s="3038"/>
      <c r="AH1081" s="3038"/>
      <c r="AK1081" s="3038"/>
      <c r="AL1081" s="3038"/>
      <c r="AM1081" s="3038"/>
      <c r="AN1081" s="3038"/>
      <c r="AO1081" s="3038"/>
      <c r="AP1081" s="3038"/>
      <c r="AQ1081" s="3038"/>
      <c r="AR1081" s="3038"/>
      <c r="AS1081" s="3038"/>
      <c r="AT1081" s="3038"/>
      <c r="AU1081" s="3038"/>
      <c r="AV1081" s="3038"/>
      <c r="AW1081" s="3038"/>
      <c r="AX1081" s="3038"/>
      <c r="AY1081" s="3038"/>
      <c r="AZ1081" s="3038"/>
      <c r="BA1081" s="3038"/>
      <c r="BB1081" s="3038"/>
      <c r="BC1081" s="3038"/>
      <c r="BD1081" s="3038"/>
      <c r="BE1081" s="3038"/>
      <c r="BF1081" s="3038"/>
      <c r="BG1081" s="3038"/>
      <c r="BH1081" s="3038"/>
      <c r="BI1081" s="3038"/>
      <c r="BJ1081" s="3038"/>
      <c r="BK1081" s="3038"/>
      <c r="BL1081" s="3038"/>
      <c r="BM1081" s="3038"/>
      <c r="BN1081" s="3038"/>
      <c r="BO1081" s="3038"/>
      <c r="BP1081" s="3038"/>
      <c r="BQ1081" s="3038"/>
      <c r="BR1081" s="3038"/>
      <c r="BS1081" s="3038"/>
      <c r="BT1081" s="3038"/>
      <c r="BU1081" s="3038"/>
    </row>
    <row r="1082" spans="3:73">
      <c r="C1082" s="3038"/>
      <c r="D1082" s="3038"/>
      <c r="E1082" s="3038"/>
      <c r="H1082" s="3038"/>
      <c r="I1082" s="3038"/>
      <c r="J1082" s="3038"/>
      <c r="K1082" s="3038"/>
      <c r="M1082" s="3038"/>
      <c r="N1082" s="3038"/>
      <c r="O1082" s="3038"/>
      <c r="P1082" s="3038"/>
      <c r="Q1082" s="3038"/>
      <c r="R1082" s="3038"/>
      <c r="S1082" s="3038"/>
      <c r="T1082" s="3038"/>
      <c r="W1082" s="3038"/>
      <c r="X1082" s="3038"/>
      <c r="Y1082" s="3038"/>
      <c r="Z1082" s="3038"/>
      <c r="AA1082" s="3113"/>
      <c r="AB1082" s="3038"/>
      <c r="AC1082" s="3038"/>
      <c r="AD1082" s="3038"/>
      <c r="AE1082" s="3132"/>
      <c r="AF1082" s="3038"/>
      <c r="AG1082" s="3038"/>
      <c r="AH1082" s="3038"/>
      <c r="AK1082" s="3038"/>
      <c r="AL1082" s="3038"/>
      <c r="AM1082" s="3038"/>
      <c r="AN1082" s="3038"/>
      <c r="AO1082" s="3038"/>
      <c r="AP1082" s="3038"/>
      <c r="AQ1082" s="3038"/>
      <c r="AR1082" s="3038"/>
      <c r="AS1082" s="3038"/>
      <c r="AT1082" s="3038"/>
      <c r="AU1082" s="3038"/>
      <c r="AV1082" s="3038"/>
      <c r="AW1082" s="3038"/>
      <c r="AX1082" s="3038"/>
      <c r="AY1082" s="3038"/>
      <c r="AZ1082" s="3038"/>
      <c r="BA1082" s="3038"/>
      <c r="BB1082" s="3038"/>
      <c r="BC1082" s="3038"/>
      <c r="BD1082" s="3038"/>
      <c r="BE1082" s="3038"/>
      <c r="BF1082" s="3038"/>
      <c r="BG1082" s="3038"/>
      <c r="BH1082" s="3038"/>
      <c r="BI1082" s="3038"/>
      <c r="BJ1082" s="3038"/>
      <c r="BK1082" s="3038"/>
      <c r="BL1082" s="3038"/>
      <c r="BM1082" s="3038"/>
      <c r="BN1082" s="3038"/>
      <c r="BO1082" s="3038"/>
      <c r="BP1082" s="3038"/>
      <c r="BQ1082" s="3038"/>
      <c r="BR1082" s="3038"/>
      <c r="BS1082" s="3038"/>
      <c r="BT1082" s="3038"/>
      <c r="BU1082" s="3038"/>
    </row>
    <row r="1083" spans="3:73">
      <c r="C1083" s="3038"/>
      <c r="D1083" s="3038"/>
      <c r="E1083" s="3038"/>
      <c r="H1083" s="3038"/>
      <c r="I1083" s="3038"/>
      <c r="J1083" s="3038"/>
      <c r="K1083" s="3038"/>
      <c r="M1083" s="3038"/>
      <c r="N1083" s="3038"/>
      <c r="O1083" s="3038"/>
      <c r="P1083" s="3038"/>
      <c r="Q1083" s="3038"/>
      <c r="R1083" s="3038"/>
      <c r="S1083" s="3038"/>
      <c r="T1083" s="3038"/>
      <c r="W1083" s="3038"/>
      <c r="X1083" s="3038"/>
      <c r="Y1083" s="3038"/>
      <c r="Z1083" s="3038"/>
      <c r="AA1083" s="3113"/>
      <c r="AB1083" s="3038"/>
      <c r="AC1083" s="3038"/>
      <c r="AD1083" s="3038"/>
      <c r="AE1083" s="3132"/>
      <c r="AF1083" s="3038"/>
      <c r="AG1083" s="3038"/>
      <c r="AH1083" s="3038"/>
      <c r="AK1083" s="3038"/>
      <c r="AL1083" s="3038"/>
      <c r="AM1083" s="3038"/>
      <c r="AN1083" s="3038"/>
      <c r="AO1083" s="3038"/>
      <c r="AP1083" s="3038"/>
      <c r="AQ1083" s="3038"/>
      <c r="AR1083" s="3038"/>
      <c r="AS1083" s="3038"/>
      <c r="AT1083" s="3038"/>
      <c r="AU1083" s="3038"/>
      <c r="AV1083" s="3038"/>
      <c r="AW1083" s="3038"/>
      <c r="AX1083" s="3038"/>
      <c r="AY1083" s="3038"/>
      <c r="AZ1083" s="3038"/>
      <c r="BA1083" s="3038"/>
      <c r="BB1083" s="3038"/>
      <c r="BC1083" s="3038"/>
      <c r="BD1083" s="3038"/>
      <c r="BE1083" s="3038"/>
      <c r="BF1083" s="3038"/>
      <c r="BG1083" s="3038"/>
      <c r="BH1083" s="3038"/>
      <c r="BI1083" s="3038"/>
      <c r="BJ1083" s="3038"/>
      <c r="BK1083" s="3038"/>
      <c r="BL1083" s="3038"/>
      <c r="BM1083" s="3038"/>
      <c r="BN1083" s="3038"/>
      <c r="BO1083" s="3038"/>
      <c r="BP1083" s="3038"/>
      <c r="BQ1083" s="3038"/>
      <c r="BR1083" s="3038"/>
      <c r="BS1083" s="3038"/>
      <c r="BT1083" s="3038"/>
      <c r="BU1083" s="3038"/>
    </row>
    <row r="1084" spans="3:73">
      <c r="C1084" s="3038"/>
      <c r="D1084" s="3038"/>
      <c r="E1084" s="3038"/>
      <c r="H1084" s="3038"/>
      <c r="I1084" s="3038"/>
      <c r="J1084" s="3038"/>
      <c r="K1084" s="3038"/>
      <c r="M1084" s="3038"/>
      <c r="N1084" s="3038"/>
      <c r="O1084" s="3038"/>
      <c r="P1084" s="3038"/>
      <c r="Q1084" s="3038"/>
      <c r="R1084" s="3038"/>
      <c r="S1084" s="3038"/>
      <c r="T1084" s="3038"/>
      <c r="W1084" s="3038"/>
      <c r="X1084" s="3038"/>
      <c r="Y1084" s="3038"/>
      <c r="Z1084" s="3038"/>
      <c r="AA1084" s="3113"/>
      <c r="AB1084" s="3038"/>
      <c r="AC1084" s="3038"/>
      <c r="AD1084" s="3038"/>
      <c r="AE1084" s="3132"/>
      <c r="AF1084" s="3038"/>
      <c r="AG1084" s="3038"/>
      <c r="AH1084" s="3038"/>
      <c r="AK1084" s="3038"/>
      <c r="AL1084" s="3038"/>
      <c r="AM1084" s="3038"/>
      <c r="AN1084" s="3038"/>
      <c r="AO1084" s="3038"/>
      <c r="AP1084" s="3038"/>
      <c r="AQ1084" s="3038"/>
      <c r="AR1084" s="3038"/>
      <c r="AS1084" s="3038"/>
      <c r="AT1084" s="3038"/>
      <c r="AU1084" s="3038"/>
      <c r="AV1084" s="3038"/>
      <c r="AW1084" s="3038"/>
      <c r="AX1084" s="3038"/>
      <c r="AY1084" s="3038"/>
      <c r="AZ1084" s="3038"/>
      <c r="BA1084" s="3038"/>
      <c r="BB1084" s="3038"/>
      <c r="BC1084" s="3038"/>
      <c r="BD1084" s="3038"/>
      <c r="BE1084" s="3038"/>
      <c r="BF1084" s="3038"/>
      <c r="BG1084" s="3038"/>
      <c r="BH1084" s="3038"/>
      <c r="BI1084" s="3038"/>
      <c r="BJ1084" s="3038"/>
      <c r="BK1084" s="3038"/>
      <c r="BL1084" s="3038"/>
      <c r="BM1084" s="3038"/>
      <c r="BN1084" s="3038"/>
      <c r="BO1084" s="3038"/>
      <c r="BP1084" s="3038"/>
      <c r="BQ1084" s="3038"/>
      <c r="BR1084" s="3038"/>
      <c r="BS1084" s="3038"/>
      <c r="BT1084" s="3038"/>
      <c r="BU1084" s="3038"/>
    </row>
    <row r="1085" spans="3:73">
      <c r="C1085" s="3038"/>
      <c r="D1085" s="3038"/>
      <c r="E1085" s="3038"/>
      <c r="H1085" s="3038"/>
      <c r="I1085" s="3038"/>
      <c r="J1085" s="3038"/>
      <c r="K1085" s="3038"/>
      <c r="M1085" s="3038"/>
      <c r="N1085" s="3038"/>
      <c r="O1085" s="3038"/>
      <c r="P1085" s="3038"/>
      <c r="Q1085" s="3038"/>
      <c r="R1085" s="3038"/>
      <c r="S1085" s="3038"/>
      <c r="T1085" s="3038"/>
      <c r="W1085" s="3038"/>
      <c r="X1085" s="3038"/>
      <c r="Y1085" s="3038"/>
      <c r="Z1085" s="3038"/>
      <c r="AA1085" s="3113"/>
      <c r="AB1085" s="3038"/>
      <c r="AC1085" s="3038"/>
      <c r="AD1085" s="3038"/>
      <c r="AE1085" s="3132"/>
      <c r="AF1085" s="3038"/>
      <c r="AG1085" s="3038"/>
      <c r="AH1085" s="3038"/>
      <c r="AK1085" s="3038"/>
      <c r="AL1085" s="3038"/>
      <c r="AM1085" s="3038"/>
      <c r="AN1085" s="3038"/>
      <c r="AO1085" s="3038"/>
      <c r="AP1085" s="3038"/>
      <c r="AQ1085" s="3038"/>
      <c r="AR1085" s="3038"/>
      <c r="AS1085" s="3038"/>
      <c r="AT1085" s="3038"/>
      <c r="AU1085" s="3038"/>
      <c r="AV1085" s="3038"/>
      <c r="AW1085" s="3038"/>
      <c r="AX1085" s="3038"/>
      <c r="AY1085" s="3038"/>
      <c r="AZ1085" s="3038"/>
      <c r="BA1085" s="3038"/>
      <c r="BB1085" s="3038"/>
      <c r="BC1085" s="3038"/>
      <c r="BD1085" s="3038"/>
      <c r="BE1085" s="3038"/>
      <c r="BF1085" s="3038"/>
      <c r="BG1085" s="3038"/>
      <c r="BH1085" s="3038"/>
      <c r="BI1085" s="3038"/>
      <c r="BJ1085" s="3038"/>
      <c r="BK1085" s="3038"/>
      <c r="BL1085" s="3038"/>
      <c r="BM1085" s="3038"/>
      <c r="BN1085" s="3038"/>
      <c r="BO1085" s="3038"/>
      <c r="BP1085" s="3038"/>
      <c r="BQ1085" s="3038"/>
      <c r="BR1085" s="3038"/>
      <c r="BS1085" s="3038"/>
      <c r="BT1085" s="3038"/>
      <c r="BU1085" s="3038"/>
    </row>
    <row r="1086" spans="3:73">
      <c r="C1086" s="3038"/>
      <c r="D1086" s="3038"/>
      <c r="E1086" s="3038"/>
      <c r="H1086" s="3038"/>
      <c r="I1086" s="3038"/>
      <c r="J1086" s="3038"/>
      <c r="K1086" s="3038"/>
      <c r="M1086" s="3038"/>
      <c r="N1086" s="3038"/>
      <c r="O1086" s="3038"/>
      <c r="P1086" s="3038"/>
      <c r="Q1086" s="3038"/>
      <c r="R1086" s="3038"/>
      <c r="S1086" s="3038"/>
      <c r="T1086" s="3038"/>
      <c r="W1086" s="3038"/>
      <c r="X1086" s="3038"/>
      <c r="Y1086" s="3038"/>
      <c r="Z1086" s="3038"/>
      <c r="AA1086" s="3113"/>
      <c r="AB1086" s="3038"/>
      <c r="AC1086" s="3038"/>
      <c r="AD1086" s="3038"/>
      <c r="AE1086" s="3132"/>
      <c r="AF1086" s="3038"/>
      <c r="AG1086" s="3038"/>
      <c r="AH1086" s="3038"/>
      <c r="AK1086" s="3038"/>
      <c r="AL1086" s="3038"/>
      <c r="AM1086" s="3038"/>
      <c r="AN1086" s="3038"/>
      <c r="AO1086" s="3038"/>
      <c r="AP1086" s="3038"/>
      <c r="AQ1086" s="3038"/>
      <c r="AR1086" s="3038"/>
      <c r="AS1086" s="3038"/>
      <c r="AT1086" s="3038"/>
      <c r="AU1086" s="3038"/>
      <c r="AV1086" s="3038"/>
      <c r="AW1086" s="3038"/>
      <c r="AX1086" s="3038"/>
      <c r="AY1086" s="3038"/>
      <c r="AZ1086" s="3038"/>
      <c r="BA1086" s="3038"/>
      <c r="BB1086" s="3038"/>
      <c r="BC1086" s="3038"/>
      <c r="BD1086" s="3038"/>
      <c r="BE1086" s="3038"/>
      <c r="BF1086" s="3038"/>
      <c r="BG1086" s="3038"/>
      <c r="BH1086" s="3038"/>
      <c r="BI1086" s="3038"/>
      <c r="BJ1086" s="3038"/>
      <c r="BK1086" s="3038"/>
      <c r="BL1086" s="3038"/>
      <c r="BM1086" s="3038"/>
      <c r="BN1086" s="3038"/>
      <c r="BO1086" s="3038"/>
      <c r="BP1086" s="3038"/>
      <c r="BQ1086" s="3038"/>
      <c r="BR1086" s="3038"/>
      <c r="BS1086" s="3038"/>
      <c r="BT1086" s="3038"/>
      <c r="BU1086" s="3038"/>
    </row>
    <row r="1087" spans="3:73">
      <c r="C1087" s="3038"/>
      <c r="D1087" s="3038"/>
      <c r="E1087" s="3038"/>
      <c r="H1087" s="3038"/>
      <c r="I1087" s="3038"/>
      <c r="J1087" s="3038"/>
      <c r="K1087" s="3038"/>
      <c r="M1087" s="3038"/>
      <c r="N1087" s="3038"/>
      <c r="O1087" s="3038"/>
      <c r="P1087" s="3038"/>
      <c r="Q1087" s="3038"/>
      <c r="R1087" s="3038"/>
      <c r="S1087" s="3038"/>
      <c r="T1087" s="3038"/>
      <c r="W1087" s="3038"/>
      <c r="X1087" s="3038"/>
      <c r="Y1087" s="3038"/>
      <c r="Z1087" s="3038"/>
      <c r="AA1087" s="3113"/>
      <c r="AB1087" s="3038"/>
      <c r="AC1087" s="3038"/>
      <c r="AD1087" s="3038"/>
      <c r="AE1087" s="3132"/>
      <c r="AF1087" s="3038"/>
      <c r="AG1087" s="3038"/>
      <c r="AH1087" s="3038"/>
      <c r="AK1087" s="3038"/>
      <c r="AL1087" s="3038"/>
      <c r="AM1087" s="3038"/>
      <c r="AN1087" s="3038"/>
      <c r="AO1087" s="3038"/>
      <c r="AP1087" s="3038"/>
      <c r="AQ1087" s="3038"/>
      <c r="AR1087" s="3038"/>
      <c r="AS1087" s="3038"/>
      <c r="AT1087" s="3038"/>
      <c r="AU1087" s="3038"/>
      <c r="AV1087" s="3038"/>
      <c r="AW1087" s="3038"/>
      <c r="AX1087" s="3038"/>
      <c r="AY1087" s="3038"/>
      <c r="AZ1087" s="3038"/>
      <c r="BA1087" s="3038"/>
      <c r="BB1087" s="3038"/>
      <c r="BC1087" s="3038"/>
      <c r="BD1087" s="3038"/>
      <c r="BE1087" s="3038"/>
      <c r="BF1087" s="3038"/>
      <c r="BG1087" s="3038"/>
      <c r="BH1087" s="3038"/>
      <c r="BI1087" s="3038"/>
      <c r="BJ1087" s="3038"/>
      <c r="BK1087" s="3038"/>
      <c r="BL1087" s="3038"/>
      <c r="BM1087" s="3038"/>
      <c r="BN1087" s="3038"/>
      <c r="BO1087" s="3038"/>
      <c r="BP1087" s="3038"/>
      <c r="BQ1087" s="3038"/>
      <c r="BR1087" s="3038"/>
      <c r="BS1087" s="3038"/>
      <c r="BT1087" s="3038"/>
      <c r="BU1087" s="3038"/>
    </row>
    <row r="1088" spans="3:73">
      <c r="C1088" s="3038"/>
      <c r="D1088" s="3038"/>
      <c r="E1088" s="3038"/>
      <c r="H1088" s="3038"/>
      <c r="I1088" s="3038"/>
      <c r="J1088" s="3038"/>
      <c r="K1088" s="3038"/>
      <c r="M1088" s="3038"/>
      <c r="N1088" s="3038"/>
      <c r="O1088" s="3038"/>
      <c r="P1088" s="3038"/>
      <c r="Q1088" s="3038"/>
      <c r="R1088" s="3038"/>
      <c r="S1088" s="3038"/>
      <c r="T1088" s="3038"/>
      <c r="W1088" s="3038"/>
      <c r="X1088" s="3038"/>
      <c r="Y1088" s="3038"/>
      <c r="Z1088" s="3038"/>
      <c r="AA1088" s="3113"/>
      <c r="AB1088" s="3038"/>
      <c r="AC1088" s="3038"/>
      <c r="AD1088" s="3038"/>
      <c r="AE1088" s="3132"/>
      <c r="AF1088" s="3038"/>
      <c r="AG1088" s="3038"/>
      <c r="AH1088" s="3038"/>
      <c r="AK1088" s="3038"/>
      <c r="AL1088" s="3038"/>
      <c r="AM1088" s="3038"/>
      <c r="AN1088" s="3038"/>
      <c r="AO1088" s="3038"/>
      <c r="AP1088" s="3038"/>
      <c r="AQ1088" s="3038"/>
      <c r="AR1088" s="3038"/>
      <c r="AS1088" s="3038"/>
      <c r="AT1088" s="3038"/>
      <c r="AU1088" s="3038"/>
      <c r="AV1088" s="3038"/>
      <c r="AW1088" s="3038"/>
      <c r="AX1088" s="3038"/>
      <c r="AY1088" s="3038"/>
      <c r="AZ1088" s="3038"/>
      <c r="BA1088" s="3038"/>
      <c r="BB1088" s="3038"/>
      <c r="BC1088" s="3038"/>
      <c r="BD1088" s="3038"/>
      <c r="BE1088" s="3038"/>
      <c r="BF1088" s="3038"/>
      <c r="BG1088" s="3038"/>
      <c r="BH1088" s="3038"/>
      <c r="BI1088" s="3038"/>
      <c r="BJ1088" s="3038"/>
      <c r="BK1088" s="3038"/>
      <c r="BL1088" s="3038"/>
      <c r="BM1088" s="3038"/>
      <c r="BN1088" s="3038"/>
      <c r="BO1088" s="3038"/>
      <c r="BP1088" s="3038"/>
      <c r="BQ1088" s="3038"/>
      <c r="BR1088" s="3038"/>
      <c r="BS1088" s="3038"/>
      <c r="BT1088" s="3038"/>
      <c r="BU1088" s="3038"/>
    </row>
    <row r="1089" spans="3:73">
      <c r="C1089" s="3038"/>
      <c r="D1089" s="3038"/>
      <c r="E1089" s="3038"/>
      <c r="H1089" s="3038"/>
      <c r="I1089" s="3038"/>
      <c r="J1089" s="3038"/>
      <c r="K1089" s="3038"/>
      <c r="M1089" s="3038"/>
      <c r="N1089" s="3038"/>
      <c r="O1089" s="3038"/>
      <c r="P1089" s="3038"/>
      <c r="Q1089" s="3038"/>
      <c r="R1089" s="3038"/>
      <c r="S1089" s="3038"/>
      <c r="T1089" s="3038"/>
      <c r="W1089" s="3038"/>
      <c r="X1089" s="3038"/>
      <c r="Y1089" s="3038"/>
      <c r="Z1089" s="3038"/>
      <c r="AA1089" s="3113"/>
      <c r="AB1089" s="3038"/>
      <c r="AC1089" s="3038"/>
      <c r="AD1089" s="3038"/>
      <c r="AE1089" s="3132"/>
      <c r="AF1089" s="3038"/>
      <c r="AG1089" s="3038"/>
      <c r="AH1089" s="3038"/>
      <c r="AK1089" s="3038"/>
      <c r="AL1089" s="3038"/>
      <c r="AM1089" s="3038"/>
      <c r="AN1089" s="3038"/>
      <c r="AO1089" s="3038"/>
      <c r="AP1089" s="3038"/>
      <c r="AQ1089" s="3038"/>
      <c r="AR1089" s="3038"/>
      <c r="AS1089" s="3038"/>
      <c r="AT1089" s="3038"/>
      <c r="AU1089" s="3038"/>
      <c r="AV1089" s="3038"/>
      <c r="AW1089" s="3038"/>
      <c r="AX1089" s="3038"/>
      <c r="AY1089" s="3038"/>
      <c r="AZ1089" s="3038"/>
      <c r="BA1089" s="3038"/>
      <c r="BB1089" s="3038"/>
      <c r="BC1089" s="3038"/>
      <c r="BD1089" s="3038"/>
      <c r="BE1089" s="3038"/>
      <c r="BF1089" s="3038"/>
      <c r="BG1089" s="3038"/>
      <c r="BH1089" s="3038"/>
      <c r="BI1089" s="3038"/>
      <c r="BJ1089" s="3038"/>
      <c r="BK1089" s="3038"/>
      <c r="BL1089" s="3038"/>
      <c r="BM1089" s="3038"/>
      <c r="BN1089" s="3038"/>
      <c r="BO1089" s="3038"/>
      <c r="BP1089" s="3038"/>
      <c r="BQ1089" s="3038"/>
      <c r="BR1089" s="3038"/>
      <c r="BS1089" s="3038"/>
      <c r="BT1089" s="3038"/>
      <c r="BU1089" s="3038"/>
    </row>
    <row r="1090" spans="3:73">
      <c r="C1090" s="3038"/>
      <c r="D1090" s="3038"/>
      <c r="E1090" s="3038"/>
      <c r="H1090" s="3038"/>
      <c r="I1090" s="3038"/>
      <c r="J1090" s="3038"/>
      <c r="K1090" s="3038"/>
      <c r="M1090" s="3038"/>
      <c r="N1090" s="3038"/>
      <c r="O1090" s="3038"/>
      <c r="P1090" s="3038"/>
      <c r="Q1090" s="3038"/>
      <c r="R1090" s="3038"/>
      <c r="S1090" s="3038"/>
      <c r="T1090" s="3038"/>
      <c r="W1090" s="3038"/>
      <c r="X1090" s="3038"/>
      <c r="Y1090" s="3038"/>
      <c r="Z1090" s="3038"/>
      <c r="AA1090" s="3113"/>
      <c r="AB1090" s="3038"/>
      <c r="AC1090" s="3038"/>
      <c r="AD1090" s="3038"/>
      <c r="AE1090" s="3132"/>
      <c r="AF1090" s="3038"/>
      <c r="AG1090" s="3038"/>
      <c r="AH1090" s="3038"/>
      <c r="AK1090" s="3038"/>
      <c r="AL1090" s="3038"/>
      <c r="AM1090" s="3038"/>
      <c r="AN1090" s="3038"/>
      <c r="AO1090" s="3038"/>
      <c r="AP1090" s="3038"/>
      <c r="AQ1090" s="3038"/>
      <c r="AR1090" s="3038"/>
      <c r="AS1090" s="3038"/>
      <c r="AT1090" s="3038"/>
      <c r="AU1090" s="3038"/>
      <c r="AV1090" s="3038"/>
      <c r="AW1090" s="3038"/>
      <c r="AX1090" s="3038"/>
      <c r="AY1090" s="3038"/>
      <c r="AZ1090" s="3038"/>
      <c r="BA1090" s="3038"/>
      <c r="BB1090" s="3038"/>
      <c r="BC1090" s="3038"/>
      <c r="BD1090" s="3038"/>
      <c r="BE1090" s="3038"/>
      <c r="BF1090" s="3038"/>
      <c r="BG1090" s="3038"/>
      <c r="BH1090" s="3038"/>
      <c r="BI1090" s="3038"/>
      <c r="BJ1090" s="3038"/>
      <c r="BK1090" s="3038"/>
      <c r="BL1090" s="3038"/>
      <c r="BM1090" s="3038"/>
      <c r="BN1090" s="3038"/>
      <c r="BO1090" s="3038"/>
      <c r="BP1090" s="3038"/>
      <c r="BQ1090" s="3038"/>
      <c r="BR1090" s="3038"/>
      <c r="BS1090" s="3038"/>
      <c r="BT1090" s="3038"/>
      <c r="BU1090" s="3038"/>
    </row>
    <row r="1091" spans="3:73">
      <c r="C1091" s="3038"/>
      <c r="D1091" s="3038"/>
      <c r="E1091" s="3038"/>
      <c r="H1091" s="3038"/>
      <c r="I1091" s="3038"/>
      <c r="J1091" s="3038"/>
      <c r="K1091" s="3038"/>
      <c r="M1091" s="3038"/>
      <c r="N1091" s="3038"/>
      <c r="O1091" s="3038"/>
      <c r="P1091" s="3038"/>
      <c r="Q1091" s="3038"/>
      <c r="R1091" s="3038"/>
      <c r="S1091" s="3038"/>
      <c r="T1091" s="3038"/>
      <c r="W1091" s="3038"/>
      <c r="X1091" s="3038"/>
      <c r="Y1091" s="3038"/>
      <c r="Z1091" s="3038"/>
      <c r="AA1091" s="3113"/>
      <c r="AB1091" s="3038"/>
      <c r="AC1091" s="3038"/>
      <c r="AD1091" s="3038"/>
      <c r="AE1091" s="3132"/>
      <c r="AF1091" s="3038"/>
      <c r="AG1091" s="3038"/>
      <c r="AH1091" s="3038"/>
      <c r="AK1091" s="3038"/>
      <c r="AL1091" s="3038"/>
      <c r="AM1091" s="3038"/>
      <c r="AN1091" s="3038"/>
      <c r="AO1091" s="3038"/>
      <c r="AP1091" s="3038"/>
      <c r="AQ1091" s="3038"/>
      <c r="AR1091" s="3038"/>
      <c r="AS1091" s="3038"/>
      <c r="AT1091" s="3038"/>
      <c r="AU1091" s="3038"/>
      <c r="AV1091" s="3038"/>
      <c r="AW1091" s="3038"/>
      <c r="AX1091" s="3038"/>
      <c r="AY1091" s="3038"/>
      <c r="AZ1091" s="3038"/>
      <c r="BA1091" s="3038"/>
      <c r="BB1091" s="3038"/>
      <c r="BC1091" s="3038"/>
      <c r="BD1091" s="3038"/>
      <c r="BE1091" s="3038"/>
      <c r="BF1091" s="3038"/>
      <c r="BG1091" s="3038"/>
      <c r="BH1091" s="3038"/>
      <c r="BI1091" s="3038"/>
      <c r="BJ1091" s="3038"/>
      <c r="BK1091" s="3038"/>
      <c r="BL1091" s="3038"/>
      <c r="BM1091" s="3038"/>
      <c r="BN1091" s="3038"/>
      <c r="BO1091" s="3038"/>
      <c r="BP1091" s="3038"/>
      <c r="BQ1091" s="3038"/>
      <c r="BR1091" s="3038"/>
      <c r="BS1091" s="3038"/>
      <c r="BT1091" s="3038"/>
      <c r="BU1091" s="3038"/>
    </row>
    <row r="1092" spans="3:73">
      <c r="C1092" s="3038"/>
      <c r="D1092" s="3038"/>
      <c r="E1092" s="3038"/>
      <c r="H1092" s="3038"/>
      <c r="I1092" s="3038"/>
      <c r="J1092" s="3038"/>
      <c r="K1092" s="3038"/>
      <c r="M1092" s="3038"/>
      <c r="N1092" s="3038"/>
      <c r="O1092" s="3038"/>
      <c r="P1092" s="3038"/>
      <c r="Q1092" s="3038"/>
      <c r="R1092" s="3038"/>
      <c r="S1092" s="3038"/>
      <c r="T1092" s="3038"/>
      <c r="W1092" s="3038"/>
      <c r="X1092" s="3038"/>
      <c r="Y1092" s="3038"/>
      <c r="Z1092" s="3038"/>
      <c r="AA1092" s="3113"/>
      <c r="AB1092" s="3038"/>
      <c r="AC1092" s="3038"/>
      <c r="AD1092" s="3038"/>
      <c r="AE1092" s="3132"/>
      <c r="AF1092" s="3038"/>
      <c r="AG1092" s="3038"/>
      <c r="AH1092" s="3038"/>
      <c r="AK1092" s="3038"/>
      <c r="AL1092" s="3038"/>
      <c r="AM1092" s="3038"/>
      <c r="AN1092" s="3038"/>
      <c r="AO1092" s="3038"/>
      <c r="AP1092" s="3038"/>
      <c r="AQ1092" s="3038"/>
      <c r="AR1092" s="3038"/>
      <c r="AS1092" s="3038"/>
      <c r="AT1092" s="3038"/>
      <c r="AU1092" s="3038"/>
      <c r="AV1092" s="3038"/>
      <c r="AW1092" s="3038"/>
      <c r="AX1092" s="3038"/>
      <c r="AY1092" s="3038"/>
      <c r="AZ1092" s="3038"/>
      <c r="BA1092" s="3038"/>
      <c r="BB1092" s="3038"/>
      <c r="BC1092" s="3038"/>
      <c r="BD1092" s="3038"/>
      <c r="BE1092" s="3038"/>
      <c r="BF1092" s="3038"/>
      <c r="BG1092" s="3038"/>
      <c r="BH1092" s="3038"/>
      <c r="BI1092" s="3038"/>
      <c r="BJ1092" s="3038"/>
      <c r="BK1092" s="3038"/>
      <c r="BL1092" s="3038"/>
      <c r="BM1092" s="3038"/>
      <c r="BN1092" s="3038"/>
      <c r="BO1092" s="3038"/>
      <c r="BP1092" s="3038"/>
      <c r="BQ1092" s="3038"/>
      <c r="BR1092" s="3038"/>
      <c r="BS1092" s="3038"/>
      <c r="BT1092" s="3038"/>
      <c r="BU1092" s="3038"/>
    </row>
    <row r="1093" spans="3:73">
      <c r="C1093" s="3038"/>
      <c r="D1093" s="3038"/>
      <c r="E1093" s="3038"/>
      <c r="H1093" s="3038"/>
      <c r="I1093" s="3038"/>
      <c r="J1093" s="3038"/>
      <c r="K1093" s="3038"/>
      <c r="M1093" s="3038"/>
      <c r="N1093" s="3038"/>
      <c r="O1093" s="3038"/>
      <c r="P1093" s="3038"/>
      <c r="Q1093" s="3038"/>
      <c r="R1093" s="3038"/>
      <c r="S1093" s="3038"/>
      <c r="T1093" s="3038"/>
      <c r="W1093" s="3038"/>
      <c r="X1093" s="3038"/>
      <c r="Y1093" s="3038"/>
      <c r="Z1093" s="3038"/>
      <c r="AA1093" s="3113"/>
      <c r="AB1093" s="3038"/>
      <c r="AC1093" s="3038"/>
      <c r="AD1093" s="3038"/>
      <c r="AE1093" s="3132"/>
      <c r="AF1093" s="3038"/>
      <c r="AG1093" s="3038"/>
      <c r="AH1093" s="3038"/>
      <c r="AK1093" s="3038"/>
      <c r="AL1093" s="3038"/>
      <c r="AM1093" s="3038"/>
      <c r="AN1093" s="3038"/>
      <c r="AO1093" s="3038"/>
      <c r="AP1093" s="3038"/>
      <c r="AQ1093" s="3038"/>
      <c r="AR1093" s="3038"/>
      <c r="AS1093" s="3038"/>
      <c r="AT1093" s="3038"/>
      <c r="AU1093" s="3038"/>
      <c r="AV1093" s="3038"/>
      <c r="AW1093" s="3038"/>
      <c r="AX1093" s="3038"/>
      <c r="AY1093" s="3038"/>
      <c r="AZ1093" s="3038"/>
      <c r="BA1093" s="3038"/>
      <c r="BB1093" s="3038"/>
      <c r="BC1093" s="3038"/>
      <c r="BD1093" s="3038"/>
      <c r="BE1093" s="3038"/>
      <c r="BF1093" s="3038"/>
      <c r="BG1093" s="3038"/>
      <c r="BH1093" s="3038"/>
      <c r="BI1093" s="3038"/>
      <c r="BJ1093" s="3038"/>
      <c r="BK1093" s="3038"/>
      <c r="BL1093" s="3038"/>
      <c r="BM1093" s="3038"/>
      <c r="BN1093" s="3038"/>
      <c r="BO1093" s="3038"/>
      <c r="BP1093" s="3038"/>
      <c r="BQ1093" s="3038"/>
      <c r="BR1093" s="3038"/>
      <c r="BS1093" s="3038"/>
      <c r="BT1093" s="3038"/>
      <c r="BU1093" s="3038"/>
    </row>
    <row r="1094" spans="3:73">
      <c r="C1094" s="3038"/>
      <c r="D1094" s="3038"/>
      <c r="E1094" s="3038"/>
      <c r="H1094" s="3038"/>
      <c r="I1094" s="3038"/>
      <c r="J1094" s="3038"/>
      <c r="K1094" s="3038"/>
      <c r="M1094" s="3038"/>
      <c r="N1094" s="3038"/>
      <c r="O1094" s="3038"/>
      <c r="P1094" s="3038"/>
      <c r="Q1094" s="3038"/>
      <c r="R1094" s="3038"/>
      <c r="S1094" s="3038"/>
      <c r="T1094" s="3038"/>
      <c r="W1094" s="3038"/>
      <c r="X1094" s="3038"/>
      <c r="Y1094" s="3038"/>
      <c r="Z1094" s="3038"/>
      <c r="AA1094" s="3113"/>
      <c r="AB1094" s="3038"/>
      <c r="AC1094" s="3038"/>
      <c r="AD1094" s="3038"/>
      <c r="AE1094" s="3132"/>
      <c r="AF1094" s="3038"/>
      <c r="AG1094" s="3038"/>
      <c r="AH1094" s="3038"/>
      <c r="AK1094" s="3038"/>
      <c r="AL1094" s="3038"/>
      <c r="AM1094" s="3038"/>
      <c r="AN1094" s="3038"/>
      <c r="AO1094" s="3038"/>
      <c r="AP1094" s="3038"/>
      <c r="AQ1094" s="3038"/>
      <c r="AR1094" s="3038"/>
      <c r="AS1094" s="3038"/>
      <c r="AT1094" s="3038"/>
      <c r="AU1094" s="3038"/>
      <c r="AV1094" s="3038"/>
      <c r="AW1094" s="3038"/>
      <c r="AX1094" s="3038"/>
      <c r="AY1094" s="3038"/>
      <c r="AZ1094" s="3038"/>
      <c r="BA1094" s="3038"/>
      <c r="BB1094" s="3038"/>
      <c r="BC1094" s="3038"/>
      <c r="BD1094" s="3038"/>
      <c r="BE1094" s="3038"/>
      <c r="BF1094" s="3038"/>
      <c r="BG1094" s="3038"/>
      <c r="BH1094" s="3038"/>
      <c r="BI1094" s="3038"/>
      <c r="BJ1094" s="3038"/>
      <c r="BK1094" s="3038"/>
      <c r="BL1094" s="3038"/>
      <c r="BM1094" s="3038"/>
      <c r="BN1094" s="3038"/>
      <c r="BO1094" s="3038"/>
      <c r="BP1094" s="3038"/>
      <c r="BQ1094" s="3038"/>
      <c r="BR1094" s="3038"/>
      <c r="BS1094" s="3038"/>
      <c r="BT1094" s="3038"/>
      <c r="BU1094" s="3038"/>
    </row>
    <row r="1095" spans="3:73">
      <c r="C1095" s="3038"/>
      <c r="D1095" s="3038"/>
      <c r="E1095" s="3038"/>
      <c r="H1095" s="3038"/>
      <c r="I1095" s="3038"/>
      <c r="J1095" s="3038"/>
      <c r="K1095" s="3038"/>
      <c r="M1095" s="3038"/>
      <c r="N1095" s="3038"/>
      <c r="O1095" s="3038"/>
      <c r="P1095" s="3038"/>
      <c r="Q1095" s="3038"/>
      <c r="R1095" s="3038"/>
      <c r="S1095" s="3038"/>
      <c r="T1095" s="3038"/>
      <c r="W1095" s="3038"/>
      <c r="X1095" s="3038"/>
      <c r="Y1095" s="3038"/>
      <c r="Z1095" s="3038"/>
      <c r="AA1095" s="3113"/>
      <c r="AB1095" s="3038"/>
      <c r="AC1095" s="3038"/>
      <c r="AD1095" s="3038"/>
      <c r="AE1095" s="3132"/>
      <c r="AF1095" s="3038"/>
      <c r="AG1095" s="3038"/>
      <c r="AH1095" s="3038"/>
      <c r="AK1095" s="3038"/>
      <c r="AL1095" s="3038"/>
      <c r="AM1095" s="3038"/>
      <c r="AN1095" s="3038"/>
      <c r="AO1095" s="3038"/>
      <c r="AP1095" s="3038"/>
      <c r="AQ1095" s="3038"/>
      <c r="AR1095" s="3038"/>
      <c r="AS1095" s="3038"/>
      <c r="AT1095" s="3038"/>
      <c r="AU1095" s="3038"/>
      <c r="AV1095" s="3038"/>
      <c r="AW1095" s="3038"/>
      <c r="AX1095" s="3038"/>
      <c r="AY1095" s="3038"/>
      <c r="AZ1095" s="3038"/>
      <c r="BA1095" s="3038"/>
      <c r="BB1095" s="3038"/>
      <c r="BC1095" s="3038"/>
      <c r="BD1095" s="3038"/>
      <c r="BE1095" s="3038"/>
      <c r="BF1095" s="3038"/>
      <c r="BG1095" s="3038"/>
      <c r="BH1095" s="3038"/>
      <c r="BI1095" s="3038"/>
      <c r="BJ1095" s="3038"/>
      <c r="BK1095" s="3038"/>
      <c r="BL1095" s="3038"/>
      <c r="BM1095" s="3038"/>
      <c r="BN1095" s="3038"/>
      <c r="BO1095" s="3038"/>
      <c r="BP1095" s="3038"/>
      <c r="BQ1095" s="3038"/>
      <c r="BR1095" s="3038"/>
      <c r="BS1095" s="3038"/>
      <c r="BT1095" s="3038"/>
      <c r="BU1095" s="3038"/>
    </row>
    <row r="1096" spans="3:73">
      <c r="C1096" s="3038"/>
      <c r="D1096" s="3038"/>
      <c r="E1096" s="3038"/>
      <c r="H1096" s="3038"/>
      <c r="I1096" s="3038"/>
      <c r="J1096" s="3038"/>
      <c r="K1096" s="3038"/>
      <c r="M1096" s="3038"/>
      <c r="N1096" s="3038"/>
      <c r="O1096" s="3038"/>
      <c r="P1096" s="3038"/>
      <c r="Q1096" s="3038"/>
      <c r="R1096" s="3038"/>
      <c r="S1096" s="3038"/>
      <c r="T1096" s="3038"/>
      <c r="W1096" s="3038"/>
      <c r="X1096" s="3038"/>
      <c r="Y1096" s="3038"/>
      <c r="Z1096" s="3038"/>
      <c r="AA1096" s="3113"/>
      <c r="AB1096" s="3038"/>
      <c r="AC1096" s="3038"/>
      <c r="AD1096" s="3038"/>
      <c r="AE1096" s="3132"/>
      <c r="AF1096" s="3038"/>
      <c r="AG1096" s="3038"/>
      <c r="AH1096" s="3038"/>
      <c r="AK1096" s="3038"/>
      <c r="AL1096" s="3038"/>
      <c r="AM1096" s="3038"/>
      <c r="AN1096" s="3038"/>
      <c r="AO1096" s="3038"/>
      <c r="AP1096" s="3038"/>
      <c r="AQ1096" s="3038"/>
      <c r="AR1096" s="3038"/>
      <c r="AS1096" s="3038"/>
      <c r="AT1096" s="3038"/>
      <c r="AU1096" s="3038"/>
      <c r="AV1096" s="3038"/>
      <c r="AW1096" s="3038"/>
      <c r="AX1096" s="3038"/>
      <c r="AY1096" s="3038"/>
      <c r="AZ1096" s="3038"/>
      <c r="BA1096" s="3038"/>
      <c r="BB1096" s="3038"/>
      <c r="BC1096" s="3038"/>
      <c r="BD1096" s="3038"/>
      <c r="BE1096" s="3038"/>
      <c r="BF1096" s="3038"/>
      <c r="BG1096" s="3038"/>
      <c r="BH1096" s="3038"/>
      <c r="BI1096" s="3038"/>
      <c r="BJ1096" s="3038"/>
      <c r="BK1096" s="3038"/>
      <c r="BL1096" s="3038"/>
      <c r="BM1096" s="3038"/>
      <c r="BN1096" s="3038"/>
      <c r="BO1096" s="3038"/>
      <c r="BP1096" s="3038"/>
      <c r="BQ1096" s="3038"/>
      <c r="BR1096" s="3038"/>
      <c r="BS1096" s="3038"/>
      <c r="BT1096" s="3038"/>
      <c r="BU1096" s="3038"/>
    </row>
    <row r="1097" spans="3:73">
      <c r="C1097" s="3038"/>
      <c r="D1097" s="3038"/>
      <c r="E1097" s="3038"/>
      <c r="H1097" s="3038"/>
      <c r="I1097" s="3038"/>
      <c r="J1097" s="3038"/>
      <c r="K1097" s="3038"/>
      <c r="M1097" s="3038"/>
      <c r="N1097" s="3038"/>
      <c r="O1097" s="3038"/>
      <c r="P1097" s="3038"/>
      <c r="Q1097" s="3038"/>
      <c r="R1097" s="3038"/>
      <c r="S1097" s="3038"/>
      <c r="T1097" s="3038"/>
      <c r="W1097" s="3038"/>
      <c r="X1097" s="3038"/>
      <c r="Y1097" s="3038"/>
      <c r="Z1097" s="3038"/>
      <c r="AA1097" s="3113"/>
      <c r="AB1097" s="3038"/>
      <c r="AC1097" s="3038"/>
      <c r="AD1097" s="3038"/>
      <c r="AE1097" s="3132"/>
      <c r="AF1097" s="3038"/>
      <c r="AG1097" s="3038"/>
      <c r="AH1097" s="3038"/>
      <c r="AK1097" s="3038"/>
      <c r="AL1097" s="3038"/>
      <c r="AM1097" s="3038"/>
      <c r="AN1097" s="3038"/>
      <c r="AO1097" s="3038"/>
      <c r="AP1097" s="3038"/>
      <c r="AQ1097" s="3038"/>
      <c r="AR1097" s="3038"/>
      <c r="AS1097" s="3038"/>
      <c r="AT1097" s="3038"/>
      <c r="AU1097" s="3038"/>
      <c r="AV1097" s="3038"/>
      <c r="AW1097" s="3038"/>
      <c r="AX1097" s="3038"/>
      <c r="AY1097" s="3038"/>
      <c r="AZ1097" s="3038"/>
      <c r="BA1097" s="3038"/>
      <c r="BB1097" s="3038"/>
      <c r="BC1097" s="3038"/>
      <c r="BD1097" s="3038"/>
      <c r="BE1097" s="3038"/>
      <c r="BF1097" s="3038"/>
      <c r="BG1097" s="3038"/>
      <c r="BH1097" s="3038"/>
      <c r="BI1097" s="3038"/>
      <c r="BJ1097" s="3038"/>
      <c r="BK1097" s="3038"/>
      <c r="BL1097" s="3038"/>
      <c r="BM1097" s="3038"/>
      <c r="BN1097" s="3038"/>
      <c r="BO1097" s="3038"/>
      <c r="BP1097" s="3038"/>
      <c r="BQ1097" s="3038"/>
      <c r="BR1097" s="3038"/>
      <c r="BS1097" s="3038"/>
      <c r="BT1097" s="3038"/>
      <c r="BU1097" s="3038"/>
    </row>
    <row r="1098" spans="3:73">
      <c r="C1098" s="3038"/>
      <c r="D1098" s="3038"/>
      <c r="E1098" s="3038"/>
      <c r="H1098" s="3038"/>
      <c r="I1098" s="3038"/>
      <c r="J1098" s="3038"/>
      <c r="K1098" s="3038"/>
      <c r="M1098" s="3038"/>
      <c r="N1098" s="3038"/>
      <c r="O1098" s="3038"/>
      <c r="P1098" s="3038"/>
      <c r="Q1098" s="3038"/>
      <c r="R1098" s="3038"/>
      <c r="S1098" s="3038"/>
      <c r="T1098" s="3038"/>
      <c r="W1098" s="3038"/>
      <c r="X1098" s="3038"/>
      <c r="Y1098" s="3038"/>
      <c r="Z1098" s="3038"/>
      <c r="AA1098" s="3113"/>
      <c r="AB1098" s="3038"/>
      <c r="AC1098" s="3038"/>
      <c r="AD1098" s="3038"/>
      <c r="AE1098" s="3132"/>
      <c r="AF1098" s="3038"/>
      <c r="AG1098" s="3038"/>
      <c r="AH1098" s="3038"/>
      <c r="AK1098" s="3038"/>
      <c r="AL1098" s="3038"/>
      <c r="AM1098" s="3038"/>
      <c r="AN1098" s="3038"/>
      <c r="AO1098" s="3038"/>
      <c r="AP1098" s="3038"/>
      <c r="AQ1098" s="3038"/>
      <c r="AR1098" s="3038"/>
      <c r="AS1098" s="3038"/>
      <c r="AT1098" s="3038"/>
      <c r="AU1098" s="3038"/>
      <c r="AV1098" s="3038"/>
      <c r="AW1098" s="3038"/>
      <c r="AX1098" s="3038"/>
      <c r="AY1098" s="3038"/>
      <c r="AZ1098" s="3038"/>
      <c r="BA1098" s="3038"/>
      <c r="BB1098" s="3038"/>
      <c r="BC1098" s="3038"/>
      <c r="BD1098" s="3038"/>
      <c r="BE1098" s="3038"/>
      <c r="BF1098" s="3038"/>
      <c r="BG1098" s="3038"/>
      <c r="BH1098" s="3038"/>
      <c r="BI1098" s="3038"/>
      <c r="BJ1098" s="3038"/>
      <c r="BK1098" s="3038"/>
      <c r="BL1098" s="3038"/>
      <c r="BM1098" s="3038"/>
      <c r="BN1098" s="3038"/>
      <c r="BO1098" s="3038"/>
      <c r="BP1098" s="3038"/>
      <c r="BQ1098" s="3038"/>
      <c r="BR1098" s="3038"/>
      <c r="BS1098" s="3038"/>
      <c r="BT1098" s="3038"/>
      <c r="BU1098" s="3038"/>
    </row>
    <row r="1099" spans="3:73">
      <c r="C1099" s="3038"/>
      <c r="D1099" s="3038"/>
      <c r="E1099" s="3038"/>
      <c r="H1099" s="3038"/>
      <c r="I1099" s="3038"/>
      <c r="J1099" s="3038"/>
      <c r="K1099" s="3038"/>
      <c r="M1099" s="3038"/>
      <c r="N1099" s="3038"/>
      <c r="O1099" s="3038"/>
      <c r="P1099" s="3038"/>
      <c r="Q1099" s="3038"/>
      <c r="R1099" s="3038"/>
      <c r="S1099" s="3038"/>
      <c r="T1099" s="3038"/>
      <c r="W1099" s="3038"/>
      <c r="X1099" s="3038"/>
      <c r="Y1099" s="3038"/>
      <c r="Z1099" s="3038"/>
      <c r="AA1099" s="3113"/>
      <c r="AB1099" s="3038"/>
      <c r="AC1099" s="3038"/>
      <c r="AD1099" s="3038"/>
      <c r="AE1099" s="3132"/>
      <c r="AF1099" s="3038"/>
      <c r="AG1099" s="3038"/>
      <c r="AH1099" s="3038"/>
      <c r="AK1099" s="3038"/>
      <c r="AL1099" s="3038"/>
      <c r="AM1099" s="3038"/>
      <c r="AN1099" s="3038"/>
      <c r="AO1099" s="3038"/>
      <c r="AP1099" s="3038"/>
      <c r="AQ1099" s="3038"/>
      <c r="AR1099" s="3038"/>
      <c r="AS1099" s="3038"/>
      <c r="AT1099" s="3038"/>
      <c r="AU1099" s="3038"/>
      <c r="AV1099" s="3038"/>
      <c r="AW1099" s="3038"/>
      <c r="AX1099" s="3038"/>
      <c r="AY1099" s="3038"/>
      <c r="AZ1099" s="3038"/>
      <c r="BA1099" s="3038"/>
      <c r="BB1099" s="3038"/>
      <c r="BC1099" s="3038"/>
      <c r="BD1099" s="3038"/>
      <c r="BE1099" s="3038"/>
      <c r="BF1099" s="3038"/>
      <c r="BG1099" s="3038"/>
      <c r="BH1099" s="3038"/>
      <c r="BI1099" s="3038"/>
      <c r="BJ1099" s="3038"/>
      <c r="BK1099" s="3038"/>
      <c r="BL1099" s="3038"/>
      <c r="BM1099" s="3038"/>
      <c r="BN1099" s="3038"/>
      <c r="BO1099" s="3038"/>
      <c r="BP1099" s="3038"/>
      <c r="BQ1099" s="3038"/>
      <c r="BR1099" s="3038"/>
      <c r="BS1099" s="3038"/>
      <c r="BT1099" s="3038"/>
      <c r="BU1099" s="3038"/>
    </row>
    <row r="1100" spans="3:73">
      <c r="C1100" s="3038"/>
      <c r="D1100" s="3038"/>
      <c r="E1100" s="3038"/>
      <c r="H1100" s="3038"/>
      <c r="I1100" s="3038"/>
      <c r="J1100" s="3038"/>
      <c r="K1100" s="3038"/>
      <c r="M1100" s="3038"/>
      <c r="N1100" s="3038"/>
      <c r="O1100" s="3038"/>
      <c r="P1100" s="3038"/>
      <c r="Q1100" s="3038"/>
      <c r="R1100" s="3038"/>
      <c r="S1100" s="3038"/>
      <c r="T1100" s="3038"/>
      <c r="W1100" s="3038"/>
      <c r="X1100" s="3038"/>
      <c r="Y1100" s="3038"/>
      <c r="Z1100" s="3038"/>
      <c r="AA1100" s="3113"/>
      <c r="AB1100" s="3038"/>
      <c r="AC1100" s="3038"/>
      <c r="AD1100" s="3038"/>
      <c r="AE1100" s="3132"/>
      <c r="AF1100" s="3038"/>
      <c r="AG1100" s="3038"/>
      <c r="AH1100" s="3038"/>
      <c r="AK1100" s="3038"/>
      <c r="AL1100" s="3038"/>
      <c r="AM1100" s="3038"/>
      <c r="AN1100" s="3038"/>
      <c r="AO1100" s="3038"/>
      <c r="AP1100" s="3038"/>
      <c r="AQ1100" s="3038"/>
      <c r="AR1100" s="3038"/>
      <c r="AS1100" s="3038"/>
      <c r="AT1100" s="3038"/>
      <c r="AU1100" s="3038"/>
      <c r="AV1100" s="3038"/>
      <c r="AW1100" s="3038"/>
      <c r="AX1100" s="3038"/>
      <c r="AY1100" s="3038"/>
      <c r="AZ1100" s="3038"/>
      <c r="BA1100" s="3038"/>
      <c r="BB1100" s="3038"/>
      <c r="BC1100" s="3038"/>
      <c r="BD1100" s="3038"/>
      <c r="BE1100" s="3038"/>
      <c r="BF1100" s="3038"/>
      <c r="BG1100" s="3038"/>
      <c r="BH1100" s="3038"/>
      <c r="BI1100" s="3038"/>
      <c r="BJ1100" s="3038"/>
      <c r="BK1100" s="3038"/>
      <c r="BL1100" s="3038"/>
      <c r="BM1100" s="3038"/>
      <c r="BN1100" s="3038"/>
      <c r="BO1100" s="3038"/>
      <c r="BP1100" s="3038"/>
      <c r="BQ1100" s="3038"/>
      <c r="BR1100" s="3038"/>
      <c r="BS1100" s="3038"/>
      <c r="BT1100" s="3038"/>
      <c r="BU1100" s="3038"/>
    </row>
    <row r="1101" spans="3:73">
      <c r="C1101" s="3038"/>
      <c r="D1101" s="3038"/>
      <c r="E1101" s="3038"/>
      <c r="H1101" s="3038"/>
      <c r="I1101" s="3038"/>
      <c r="J1101" s="3038"/>
      <c r="K1101" s="3038"/>
      <c r="M1101" s="3038"/>
      <c r="N1101" s="3038"/>
      <c r="O1101" s="3038"/>
      <c r="P1101" s="3038"/>
      <c r="Q1101" s="3038"/>
      <c r="R1101" s="3038"/>
      <c r="S1101" s="3038"/>
      <c r="T1101" s="3038"/>
      <c r="W1101" s="3038"/>
      <c r="X1101" s="3038"/>
      <c r="Y1101" s="3038"/>
      <c r="Z1101" s="3038"/>
      <c r="AA1101" s="3113"/>
      <c r="AB1101" s="3038"/>
      <c r="AC1101" s="3038"/>
      <c r="AD1101" s="3038"/>
      <c r="AE1101" s="3132"/>
      <c r="AF1101" s="3038"/>
      <c r="AG1101" s="3038"/>
      <c r="AH1101" s="3038"/>
      <c r="AK1101" s="3038"/>
      <c r="AL1101" s="3038"/>
      <c r="AM1101" s="3038"/>
      <c r="AN1101" s="3038"/>
      <c r="AO1101" s="3038"/>
      <c r="AP1101" s="3038"/>
      <c r="AQ1101" s="3038"/>
      <c r="AR1101" s="3038"/>
      <c r="AS1101" s="3038"/>
      <c r="AT1101" s="3038"/>
      <c r="AU1101" s="3038"/>
      <c r="AV1101" s="3038"/>
      <c r="AW1101" s="3038"/>
      <c r="AX1101" s="3038"/>
      <c r="AY1101" s="3038"/>
      <c r="AZ1101" s="3038"/>
      <c r="BA1101" s="3038"/>
      <c r="BB1101" s="3038"/>
      <c r="BC1101" s="3038"/>
      <c r="BD1101" s="3038"/>
      <c r="BE1101" s="3038"/>
      <c r="BF1101" s="3038"/>
      <c r="BG1101" s="3038"/>
      <c r="BH1101" s="3038"/>
      <c r="BI1101" s="3038"/>
      <c r="BJ1101" s="3038"/>
      <c r="BK1101" s="3038"/>
      <c r="BL1101" s="3038"/>
      <c r="BM1101" s="3038"/>
      <c r="BN1101" s="3038"/>
      <c r="BO1101" s="3038"/>
      <c r="BP1101" s="3038"/>
      <c r="BQ1101" s="3038"/>
      <c r="BR1101" s="3038"/>
      <c r="BS1101" s="3038"/>
      <c r="BT1101" s="3038"/>
      <c r="BU1101" s="3038"/>
    </row>
    <row r="1102" spans="3:73">
      <c r="C1102" s="3038"/>
      <c r="D1102" s="3038"/>
      <c r="E1102" s="3038"/>
      <c r="H1102" s="3038"/>
      <c r="I1102" s="3038"/>
      <c r="J1102" s="3038"/>
      <c r="K1102" s="3038"/>
      <c r="M1102" s="3038"/>
      <c r="N1102" s="3038"/>
      <c r="O1102" s="3038"/>
      <c r="P1102" s="3038"/>
      <c r="Q1102" s="3038"/>
      <c r="R1102" s="3038"/>
      <c r="S1102" s="3038"/>
      <c r="T1102" s="3038"/>
      <c r="W1102" s="3038"/>
      <c r="X1102" s="3038"/>
      <c r="Y1102" s="3038"/>
      <c r="Z1102" s="3038"/>
      <c r="AA1102" s="3113"/>
      <c r="AB1102" s="3038"/>
      <c r="AC1102" s="3038"/>
      <c r="AD1102" s="3038"/>
      <c r="AE1102" s="3132"/>
      <c r="AF1102" s="3038"/>
      <c r="AG1102" s="3038"/>
      <c r="AH1102" s="3038"/>
      <c r="AK1102" s="3038"/>
      <c r="AL1102" s="3038"/>
      <c r="AM1102" s="3038"/>
      <c r="AN1102" s="3038"/>
      <c r="AO1102" s="3038"/>
      <c r="AP1102" s="3038"/>
      <c r="AQ1102" s="3038"/>
      <c r="AR1102" s="3038"/>
      <c r="AS1102" s="3038"/>
      <c r="AT1102" s="3038"/>
      <c r="AU1102" s="3038"/>
      <c r="AV1102" s="3038"/>
      <c r="AW1102" s="3038"/>
      <c r="AX1102" s="3038"/>
      <c r="AY1102" s="3038"/>
      <c r="AZ1102" s="3038"/>
      <c r="BA1102" s="3038"/>
      <c r="BB1102" s="3038"/>
      <c r="BC1102" s="3038"/>
      <c r="BD1102" s="3038"/>
      <c r="BE1102" s="3038"/>
      <c r="BF1102" s="3038"/>
      <c r="BG1102" s="3038"/>
      <c r="BH1102" s="3038"/>
      <c r="BI1102" s="3038"/>
      <c r="BJ1102" s="3038"/>
      <c r="BK1102" s="3038"/>
      <c r="BL1102" s="3038"/>
      <c r="BM1102" s="3038"/>
      <c r="BN1102" s="3038"/>
      <c r="BO1102" s="3038"/>
      <c r="BP1102" s="3038"/>
      <c r="BQ1102" s="3038"/>
      <c r="BR1102" s="3038"/>
      <c r="BS1102" s="3038"/>
      <c r="BT1102" s="3038"/>
      <c r="BU1102" s="3038"/>
    </row>
    <row r="1103" spans="3:73">
      <c r="C1103" s="3038"/>
      <c r="D1103" s="3038"/>
      <c r="E1103" s="3038"/>
      <c r="H1103" s="3038"/>
      <c r="I1103" s="3038"/>
      <c r="J1103" s="3038"/>
      <c r="K1103" s="3038"/>
      <c r="M1103" s="3038"/>
      <c r="N1103" s="3038"/>
      <c r="O1103" s="3038"/>
      <c r="P1103" s="3038"/>
      <c r="Q1103" s="3038"/>
      <c r="R1103" s="3038"/>
      <c r="S1103" s="3038"/>
      <c r="T1103" s="3038"/>
      <c r="W1103" s="3038"/>
      <c r="X1103" s="3038"/>
      <c r="Y1103" s="3038"/>
      <c r="Z1103" s="3038"/>
      <c r="AA1103" s="3113"/>
      <c r="AB1103" s="3038"/>
      <c r="AC1103" s="3038"/>
      <c r="AD1103" s="3038"/>
      <c r="AE1103" s="3132"/>
      <c r="AF1103" s="3038"/>
      <c r="AG1103" s="3038"/>
      <c r="AH1103" s="3038"/>
      <c r="AK1103" s="3038"/>
      <c r="AL1103" s="3038"/>
      <c r="AM1103" s="3038"/>
      <c r="AN1103" s="3038"/>
      <c r="AO1103" s="3038"/>
      <c r="AP1103" s="3038"/>
      <c r="AQ1103" s="3038"/>
      <c r="AR1103" s="3038"/>
      <c r="AS1103" s="3038"/>
      <c r="AT1103" s="3038"/>
      <c r="AU1103" s="3038"/>
      <c r="AV1103" s="3038"/>
      <c r="AW1103" s="3038"/>
      <c r="AX1103" s="3038"/>
      <c r="AY1103" s="3038"/>
      <c r="AZ1103" s="3038"/>
      <c r="BA1103" s="3038"/>
      <c r="BB1103" s="3038"/>
      <c r="BC1103" s="3038"/>
      <c r="BD1103" s="3038"/>
      <c r="BE1103" s="3038"/>
      <c r="BF1103" s="3038"/>
      <c r="BG1103" s="3038"/>
      <c r="BH1103" s="3038"/>
      <c r="BI1103" s="3038"/>
      <c r="BJ1103" s="3038"/>
      <c r="BK1103" s="3038"/>
      <c r="BL1103" s="3038"/>
      <c r="BM1103" s="3038"/>
      <c r="BN1103" s="3038"/>
      <c r="BO1103" s="3038"/>
      <c r="BP1103" s="3038"/>
      <c r="BQ1103" s="3038"/>
      <c r="BR1103" s="3038"/>
      <c r="BS1103" s="3038"/>
      <c r="BT1103" s="3038"/>
      <c r="BU1103" s="3038"/>
    </row>
    <row r="1104" spans="3:73">
      <c r="C1104" s="3038"/>
      <c r="D1104" s="3038"/>
      <c r="E1104" s="3038"/>
      <c r="H1104" s="3038"/>
      <c r="I1104" s="3038"/>
      <c r="J1104" s="3038"/>
      <c r="K1104" s="3038"/>
      <c r="M1104" s="3038"/>
      <c r="N1104" s="3038"/>
      <c r="O1104" s="3038"/>
      <c r="P1104" s="3038"/>
      <c r="Q1104" s="3038"/>
      <c r="R1104" s="3038"/>
      <c r="S1104" s="3038"/>
      <c r="T1104" s="3038"/>
      <c r="W1104" s="3038"/>
      <c r="X1104" s="3038"/>
      <c r="Y1104" s="3038"/>
      <c r="Z1104" s="3038"/>
      <c r="AA1104" s="3113"/>
      <c r="AB1104" s="3038"/>
      <c r="AC1104" s="3038"/>
      <c r="AD1104" s="3038"/>
      <c r="AE1104" s="3132"/>
      <c r="AF1104" s="3038"/>
      <c r="AG1104" s="3038"/>
      <c r="AH1104" s="3038"/>
      <c r="AK1104" s="3038"/>
      <c r="AL1104" s="3038"/>
      <c r="AM1104" s="3038"/>
      <c r="AN1104" s="3038"/>
      <c r="AO1104" s="3038"/>
      <c r="AP1104" s="3038"/>
      <c r="AQ1104" s="3038"/>
      <c r="AR1104" s="3038"/>
      <c r="AS1104" s="3038"/>
      <c r="AT1104" s="3038"/>
      <c r="AU1104" s="3038"/>
      <c r="AV1104" s="3038"/>
      <c r="AW1104" s="3038"/>
      <c r="AX1104" s="3038"/>
      <c r="AY1104" s="3038"/>
      <c r="AZ1104" s="3038"/>
      <c r="BA1104" s="3038"/>
      <c r="BB1104" s="3038"/>
      <c r="BC1104" s="3038"/>
      <c r="BD1104" s="3038"/>
      <c r="BE1104" s="3038"/>
      <c r="BF1104" s="3038"/>
      <c r="BG1104" s="3038"/>
      <c r="BH1104" s="3038"/>
      <c r="BI1104" s="3038"/>
      <c r="BJ1104" s="3038"/>
      <c r="BK1104" s="3038"/>
      <c r="BL1104" s="3038"/>
      <c r="BM1104" s="3038"/>
      <c r="BN1104" s="3038"/>
      <c r="BO1104" s="3038"/>
      <c r="BP1104" s="3038"/>
      <c r="BQ1104" s="3038"/>
      <c r="BR1104" s="3038"/>
      <c r="BS1104" s="3038"/>
      <c r="BT1104" s="3038"/>
      <c r="BU1104" s="3038"/>
    </row>
    <row r="1105" spans="3:73">
      <c r="C1105" s="3038"/>
      <c r="D1105" s="3038"/>
      <c r="E1105" s="3038"/>
      <c r="H1105" s="3038"/>
      <c r="I1105" s="3038"/>
      <c r="J1105" s="3038"/>
      <c r="K1105" s="3038"/>
      <c r="M1105" s="3038"/>
      <c r="N1105" s="3038"/>
      <c r="O1105" s="3038"/>
      <c r="P1105" s="3038"/>
      <c r="Q1105" s="3038"/>
      <c r="R1105" s="3038"/>
      <c r="S1105" s="3038"/>
      <c r="T1105" s="3038"/>
      <c r="W1105" s="3038"/>
      <c r="X1105" s="3038"/>
      <c r="Y1105" s="3038"/>
      <c r="Z1105" s="3038"/>
      <c r="AA1105" s="3113"/>
      <c r="AB1105" s="3038"/>
      <c r="AC1105" s="3038"/>
      <c r="AD1105" s="3038"/>
      <c r="AE1105" s="3132"/>
      <c r="AF1105" s="3038"/>
      <c r="AG1105" s="3038"/>
      <c r="AH1105" s="3038"/>
      <c r="AK1105" s="3038"/>
      <c r="AL1105" s="3038"/>
      <c r="AM1105" s="3038"/>
      <c r="AN1105" s="3038"/>
      <c r="AO1105" s="3038"/>
      <c r="AP1105" s="3038"/>
      <c r="AQ1105" s="3038"/>
      <c r="AR1105" s="3038"/>
      <c r="AS1105" s="3038"/>
      <c r="AT1105" s="3038"/>
      <c r="AU1105" s="3038"/>
      <c r="AV1105" s="3038"/>
      <c r="AW1105" s="3038"/>
      <c r="AX1105" s="3038"/>
      <c r="AY1105" s="3038"/>
      <c r="AZ1105" s="3038"/>
      <c r="BA1105" s="3038"/>
      <c r="BB1105" s="3038"/>
      <c r="BC1105" s="3038"/>
      <c r="BD1105" s="3038"/>
      <c r="BE1105" s="3038"/>
      <c r="BF1105" s="3038"/>
      <c r="BG1105" s="3038"/>
      <c r="BH1105" s="3038"/>
      <c r="BI1105" s="3038"/>
      <c r="BJ1105" s="3038"/>
      <c r="BK1105" s="3038"/>
      <c r="BL1105" s="3038"/>
      <c r="BM1105" s="3038"/>
      <c r="BN1105" s="3038"/>
      <c r="BO1105" s="3038"/>
      <c r="BP1105" s="3038"/>
      <c r="BQ1105" s="3038"/>
      <c r="BR1105" s="3038"/>
      <c r="BS1105" s="3038"/>
      <c r="BT1105" s="3038"/>
      <c r="BU1105" s="3038"/>
    </row>
    <row r="1106" spans="3:73">
      <c r="C1106" s="3038"/>
      <c r="D1106" s="3038"/>
      <c r="E1106" s="3038"/>
      <c r="H1106" s="3038"/>
      <c r="I1106" s="3038"/>
      <c r="J1106" s="3038"/>
      <c r="K1106" s="3038"/>
      <c r="M1106" s="3038"/>
      <c r="N1106" s="3038"/>
      <c r="O1106" s="3038"/>
      <c r="P1106" s="3038"/>
      <c r="Q1106" s="3038"/>
      <c r="R1106" s="3038"/>
      <c r="S1106" s="3038"/>
      <c r="T1106" s="3038"/>
      <c r="W1106" s="3038"/>
      <c r="X1106" s="3038"/>
      <c r="Y1106" s="3038"/>
      <c r="Z1106" s="3038"/>
      <c r="AA1106" s="3113"/>
      <c r="AB1106" s="3038"/>
      <c r="AC1106" s="3038"/>
      <c r="AD1106" s="3038"/>
      <c r="AE1106" s="3132"/>
      <c r="AF1106" s="3038"/>
      <c r="AG1106" s="3038"/>
      <c r="AH1106" s="3038"/>
      <c r="AK1106" s="3038"/>
      <c r="AL1106" s="3038"/>
      <c r="AM1106" s="3038"/>
      <c r="AN1106" s="3038"/>
      <c r="AO1106" s="3038"/>
      <c r="AP1106" s="3038"/>
      <c r="AQ1106" s="3038"/>
      <c r="AR1106" s="3038"/>
      <c r="AS1106" s="3038"/>
      <c r="AT1106" s="3038"/>
      <c r="AU1106" s="3038"/>
      <c r="AV1106" s="3038"/>
      <c r="AW1106" s="3038"/>
      <c r="AX1106" s="3038"/>
      <c r="AY1106" s="3038"/>
      <c r="AZ1106" s="3038"/>
      <c r="BA1106" s="3038"/>
      <c r="BB1106" s="3038"/>
      <c r="BC1106" s="3038"/>
      <c r="BD1106" s="3038"/>
      <c r="BE1106" s="3038"/>
      <c r="BF1106" s="3038"/>
      <c r="BG1106" s="3038"/>
      <c r="BH1106" s="3038"/>
      <c r="BI1106" s="3038"/>
      <c r="BJ1106" s="3038"/>
      <c r="BK1106" s="3038"/>
      <c r="BL1106" s="3038"/>
      <c r="BM1106" s="3038"/>
      <c r="BN1106" s="3038"/>
      <c r="BO1106" s="3038"/>
      <c r="BP1106" s="3038"/>
      <c r="BQ1106" s="3038"/>
      <c r="BR1106" s="3038"/>
      <c r="BS1106" s="3038"/>
      <c r="BT1106" s="3038"/>
      <c r="BU1106" s="3038"/>
    </row>
    <row r="1107" spans="3:73">
      <c r="C1107" s="3038"/>
      <c r="D1107" s="3038"/>
      <c r="E1107" s="3038"/>
      <c r="H1107" s="3038"/>
      <c r="I1107" s="3038"/>
      <c r="J1107" s="3038"/>
      <c r="K1107" s="3038"/>
      <c r="M1107" s="3038"/>
      <c r="N1107" s="3038"/>
      <c r="O1107" s="3038"/>
      <c r="P1107" s="3038"/>
      <c r="Q1107" s="3038"/>
      <c r="R1107" s="3038"/>
      <c r="S1107" s="3038"/>
      <c r="T1107" s="3038"/>
      <c r="W1107" s="3038"/>
      <c r="X1107" s="3038"/>
      <c r="Y1107" s="3038"/>
      <c r="Z1107" s="3038"/>
      <c r="AA1107" s="3113"/>
      <c r="AB1107" s="3038"/>
      <c r="AC1107" s="3038"/>
      <c r="AD1107" s="3038"/>
      <c r="AE1107" s="3132"/>
      <c r="AF1107" s="3038"/>
      <c r="AG1107" s="3038"/>
      <c r="AH1107" s="3038"/>
      <c r="AK1107" s="3038"/>
      <c r="AL1107" s="3038"/>
      <c r="AM1107" s="3038"/>
      <c r="AN1107" s="3038"/>
      <c r="AO1107" s="3038"/>
      <c r="AP1107" s="3038"/>
      <c r="AQ1107" s="3038"/>
      <c r="AR1107" s="3038"/>
      <c r="AS1107" s="3038"/>
      <c r="AT1107" s="3038"/>
      <c r="AU1107" s="3038"/>
      <c r="AV1107" s="3038"/>
      <c r="AW1107" s="3038"/>
      <c r="AX1107" s="3038"/>
      <c r="AY1107" s="3038"/>
      <c r="AZ1107" s="3038"/>
      <c r="BA1107" s="3038"/>
      <c r="BB1107" s="3038"/>
      <c r="BC1107" s="3038"/>
      <c r="BD1107" s="3038"/>
      <c r="BE1107" s="3038"/>
      <c r="BF1107" s="3038"/>
      <c r="BG1107" s="3038"/>
      <c r="BH1107" s="3038"/>
      <c r="BI1107" s="3038"/>
      <c r="BJ1107" s="3038"/>
      <c r="BK1107" s="3038"/>
      <c r="BL1107" s="3038"/>
      <c r="BM1107" s="3038"/>
      <c r="BN1107" s="3038"/>
      <c r="BO1107" s="3038"/>
      <c r="BP1107" s="3038"/>
      <c r="BQ1107" s="3038"/>
      <c r="BR1107" s="3038"/>
      <c r="BS1107" s="3038"/>
      <c r="BT1107" s="3038"/>
      <c r="BU1107" s="3038"/>
    </row>
    <row r="1108" spans="3:73">
      <c r="C1108" s="3038"/>
      <c r="D1108" s="3038"/>
      <c r="E1108" s="3038"/>
      <c r="H1108" s="3038"/>
      <c r="I1108" s="3038"/>
      <c r="J1108" s="3038"/>
      <c r="K1108" s="3038"/>
      <c r="M1108" s="3038"/>
      <c r="N1108" s="3038"/>
      <c r="O1108" s="3038"/>
      <c r="P1108" s="3038"/>
      <c r="Q1108" s="3038"/>
      <c r="R1108" s="3038"/>
      <c r="S1108" s="3038"/>
      <c r="T1108" s="3038"/>
      <c r="W1108" s="3038"/>
      <c r="X1108" s="3038"/>
      <c r="Y1108" s="3038"/>
      <c r="Z1108" s="3038"/>
      <c r="AA1108" s="3113"/>
      <c r="AB1108" s="3038"/>
      <c r="AC1108" s="3038"/>
      <c r="AD1108" s="3038"/>
      <c r="AE1108" s="3132"/>
      <c r="AF1108" s="3038"/>
      <c r="AG1108" s="3038"/>
      <c r="AH1108" s="3038"/>
      <c r="AK1108" s="3038"/>
      <c r="AL1108" s="3038"/>
      <c r="AM1108" s="3038"/>
      <c r="AN1108" s="3038"/>
      <c r="AO1108" s="3038"/>
      <c r="AP1108" s="3038"/>
      <c r="AQ1108" s="3038"/>
      <c r="AR1108" s="3038"/>
      <c r="AS1108" s="3038"/>
      <c r="AT1108" s="3038"/>
      <c r="AU1108" s="3038"/>
      <c r="AV1108" s="3038"/>
      <c r="AW1108" s="3038"/>
      <c r="AX1108" s="3038"/>
      <c r="AY1108" s="3038"/>
      <c r="AZ1108" s="3038"/>
      <c r="BA1108" s="3038"/>
      <c r="BB1108" s="3038"/>
      <c r="BC1108" s="3038"/>
      <c r="BD1108" s="3038"/>
      <c r="BE1108" s="3038"/>
      <c r="BF1108" s="3038"/>
      <c r="BG1108" s="3038"/>
      <c r="BH1108" s="3038"/>
      <c r="BI1108" s="3038"/>
      <c r="BJ1108" s="3038"/>
      <c r="BK1108" s="3038"/>
      <c r="BL1108" s="3038"/>
      <c r="BM1108" s="3038"/>
      <c r="BN1108" s="3038"/>
      <c r="BO1108" s="3038"/>
      <c r="BP1108" s="3038"/>
      <c r="BQ1108" s="3038"/>
      <c r="BR1108" s="3038"/>
      <c r="BS1108" s="3038"/>
      <c r="BT1108" s="3038"/>
      <c r="BU1108" s="3038"/>
    </row>
    <row r="1109" spans="3:73">
      <c r="C1109" s="3038"/>
      <c r="D1109" s="3038"/>
      <c r="E1109" s="3038"/>
      <c r="H1109" s="3038"/>
      <c r="I1109" s="3038"/>
      <c r="J1109" s="3038"/>
      <c r="K1109" s="3038"/>
      <c r="M1109" s="3038"/>
      <c r="N1109" s="3038"/>
      <c r="O1109" s="3038"/>
      <c r="P1109" s="3038"/>
      <c r="Q1109" s="3038"/>
      <c r="R1109" s="3038"/>
      <c r="S1109" s="3038"/>
      <c r="T1109" s="3038"/>
      <c r="W1109" s="3038"/>
      <c r="X1109" s="3038"/>
      <c r="Y1109" s="3038"/>
      <c r="Z1109" s="3038"/>
      <c r="AA1109" s="3113"/>
      <c r="AB1109" s="3038"/>
      <c r="AC1109" s="3038"/>
      <c r="AD1109" s="3038"/>
      <c r="AE1109" s="3132"/>
      <c r="AF1109" s="3038"/>
      <c r="AG1109" s="3038"/>
      <c r="AH1109" s="3038"/>
      <c r="AK1109" s="3038"/>
      <c r="AL1109" s="3038"/>
      <c r="AM1109" s="3038"/>
      <c r="AN1109" s="3038"/>
      <c r="AO1109" s="3038"/>
      <c r="AP1109" s="3038"/>
      <c r="AQ1109" s="3038"/>
      <c r="AR1109" s="3038"/>
      <c r="AS1109" s="3038"/>
      <c r="AT1109" s="3038"/>
      <c r="AU1109" s="3038"/>
      <c r="AV1109" s="3038"/>
      <c r="AW1109" s="3038"/>
      <c r="AX1109" s="3038"/>
      <c r="AY1109" s="3038"/>
      <c r="AZ1109" s="3038"/>
      <c r="BA1109" s="3038"/>
      <c r="BB1109" s="3038"/>
      <c r="BC1109" s="3038"/>
      <c r="BD1109" s="3038"/>
      <c r="BE1109" s="3038"/>
      <c r="BF1109" s="3038"/>
      <c r="BG1109" s="3038"/>
      <c r="BH1109" s="3038"/>
      <c r="BI1109" s="3038"/>
      <c r="BJ1109" s="3038"/>
      <c r="BK1109" s="3038"/>
      <c r="BL1109" s="3038"/>
      <c r="BM1109" s="3038"/>
      <c r="BN1109" s="3038"/>
      <c r="BO1109" s="3038"/>
      <c r="BP1109" s="3038"/>
      <c r="BQ1109" s="3038"/>
      <c r="BR1109" s="3038"/>
      <c r="BS1109" s="3038"/>
      <c r="BT1109" s="3038"/>
      <c r="BU1109" s="3038"/>
    </row>
    <row r="1110" spans="3:73">
      <c r="C1110" s="3038"/>
      <c r="D1110" s="3038"/>
      <c r="E1110" s="3038"/>
      <c r="H1110" s="3038"/>
      <c r="I1110" s="3038"/>
      <c r="J1110" s="3038"/>
      <c r="K1110" s="3038"/>
      <c r="M1110" s="3038"/>
      <c r="N1110" s="3038"/>
      <c r="O1110" s="3038"/>
      <c r="P1110" s="3038"/>
      <c r="Q1110" s="3038"/>
      <c r="R1110" s="3038"/>
      <c r="S1110" s="3038"/>
      <c r="T1110" s="3038"/>
      <c r="W1110" s="3038"/>
      <c r="X1110" s="3038"/>
      <c r="Y1110" s="3038"/>
      <c r="Z1110" s="3038"/>
      <c r="AA1110" s="3113"/>
      <c r="AB1110" s="3038"/>
      <c r="AC1110" s="3038"/>
      <c r="AD1110" s="3038"/>
      <c r="AE1110" s="3132"/>
      <c r="AF1110" s="3038"/>
      <c r="AG1110" s="3038"/>
      <c r="AH1110" s="3038"/>
      <c r="AK1110" s="3038"/>
      <c r="AL1110" s="3038"/>
      <c r="AM1110" s="3038"/>
      <c r="AN1110" s="3038"/>
      <c r="AO1110" s="3038"/>
      <c r="AP1110" s="3038"/>
      <c r="AQ1110" s="3038"/>
      <c r="AR1110" s="3038"/>
      <c r="AS1110" s="3038"/>
      <c r="AT1110" s="3038"/>
      <c r="AU1110" s="3038"/>
      <c r="AV1110" s="3038"/>
      <c r="AW1110" s="3038"/>
      <c r="AX1110" s="3038"/>
      <c r="AY1110" s="3038"/>
      <c r="AZ1110" s="3038"/>
      <c r="BA1110" s="3038"/>
      <c r="BB1110" s="3038"/>
      <c r="BC1110" s="3038"/>
      <c r="BD1110" s="3038"/>
      <c r="BE1110" s="3038"/>
      <c r="BF1110" s="3038"/>
      <c r="BG1110" s="3038"/>
      <c r="BH1110" s="3038"/>
      <c r="BI1110" s="3038"/>
      <c r="BJ1110" s="3038"/>
      <c r="BK1110" s="3038"/>
      <c r="BL1110" s="3038"/>
      <c r="BM1110" s="3038"/>
      <c r="BN1110" s="3038"/>
      <c r="BO1110" s="3038"/>
      <c r="BP1110" s="3038"/>
      <c r="BQ1110" s="3038"/>
      <c r="BR1110" s="3038"/>
      <c r="BS1110" s="3038"/>
      <c r="BT1110" s="3038"/>
      <c r="BU1110" s="3038"/>
    </row>
    <row r="1111" spans="3:73">
      <c r="C1111" s="3038"/>
      <c r="D1111" s="3038"/>
      <c r="E1111" s="3038"/>
      <c r="H1111" s="3038"/>
      <c r="I1111" s="3038"/>
      <c r="J1111" s="3038"/>
      <c r="K1111" s="3038"/>
      <c r="M1111" s="3038"/>
      <c r="N1111" s="3038"/>
      <c r="O1111" s="3038"/>
      <c r="P1111" s="3038"/>
      <c r="Q1111" s="3038"/>
      <c r="R1111" s="3038"/>
      <c r="S1111" s="3038"/>
      <c r="T1111" s="3038"/>
      <c r="W1111" s="3038"/>
      <c r="X1111" s="3038"/>
      <c r="Y1111" s="3038"/>
      <c r="Z1111" s="3038"/>
      <c r="AA1111" s="3113"/>
      <c r="AB1111" s="3038"/>
      <c r="AC1111" s="3038"/>
      <c r="AD1111" s="3038"/>
      <c r="AE1111" s="3132"/>
      <c r="AF1111" s="3038"/>
      <c r="AG1111" s="3038"/>
      <c r="AH1111" s="3038"/>
      <c r="AK1111" s="3038"/>
      <c r="AL1111" s="3038"/>
      <c r="AM1111" s="3038"/>
      <c r="AN1111" s="3038"/>
      <c r="AO1111" s="3038"/>
      <c r="AP1111" s="3038"/>
      <c r="AQ1111" s="3038"/>
      <c r="AR1111" s="3038"/>
      <c r="AS1111" s="3038"/>
      <c r="AT1111" s="3038"/>
      <c r="AU1111" s="3038"/>
      <c r="AV1111" s="3038"/>
      <c r="AW1111" s="3038"/>
      <c r="AX1111" s="3038"/>
      <c r="AY1111" s="3038"/>
      <c r="AZ1111" s="3038"/>
      <c r="BA1111" s="3038"/>
      <c r="BB1111" s="3038"/>
      <c r="BC1111" s="3038"/>
      <c r="BD1111" s="3038"/>
      <c r="BE1111" s="3038"/>
      <c r="BF1111" s="3038"/>
      <c r="BG1111" s="3038"/>
      <c r="BH1111" s="3038"/>
      <c r="BI1111" s="3038"/>
      <c r="BJ1111" s="3038"/>
      <c r="BK1111" s="3038"/>
      <c r="BL1111" s="3038"/>
      <c r="BM1111" s="3038"/>
      <c r="BN1111" s="3038"/>
      <c r="BO1111" s="3038"/>
      <c r="BP1111" s="3038"/>
      <c r="BQ1111" s="3038"/>
      <c r="BR1111" s="3038"/>
      <c r="BS1111" s="3038"/>
      <c r="BT1111" s="3038"/>
      <c r="BU1111" s="3038"/>
    </row>
    <row r="1112" spans="3:73">
      <c r="C1112" s="3038"/>
      <c r="D1112" s="3038"/>
      <c r="E1112" s="3038"/>
      <c r="H1112" s="3038"/>
      <c r="I1112" s="3038"/>
      <c r="J1112" s="3038"/>
      <c r="K1112" s="3038"/>
      <c r="M1112" s="3038"/>
      <c r="N1112" s="3038"/>
      <c r="O1112" s="3038"/>
      <c r="P1112" s="3038"/>
      <c r="Q1112" s="3038"/>
      <c r="R1112" s="3038"/>
      <c r="S1112" s="3038"/>
      <c r="T1112" s="3038"/>
      <c r="W1112" s="3038"/>
      <c r="X1112" s="3038"/>
      <c r="Y1112" s="3038"/>
      <c r="Z1112" s="3038"/>
      <c r="AA1112" s="3113"/>
      <c r="AB1112" s="3038"/>
      <c r="AC1112" s="3038"/>
      <c r="AD1112" s="3038"/>
      <c r="AE1112" s="3132"/>
      <c r="AF1112" s="3038"/>
      <c r="AG1112" s="3038"/>
      <c r="AH1112" s="3038"/>
      <c r="AK1112" s="3038"/>
      <c r="AL1112" s="3038"/>
      <c r="AM1112" s="3038"/>
      <c r="AN1112" s="3038"/>
      <c r="AO1112" s="3038"/>
      <c r="AP1112" s="3038"/>
      <c r="AQ1112" s="3038"/>
      <c r="AR1112" s="3038"/>
      <c r="AS1112" s="3038"/>
      <c r="AT1112" s="3038"/>
      <c r="AU1112" s="3038"/>
      <c r="AV1112" s="3038"/>
      <c r="AW1112" s="3038"/>
      <c r="AX1112" s="3038"/>
      <c r="AY1112" s="3038"/>
      <c r="AZ1112" s="3038"/>
      <c r="BA1112" s="3038"/>
      <c r="BB1112" s="3038"/>
      <c r="BC1112" s="3038"/>
      <c r="BD1112" s="3038"/>
      <c r="BE1112" s="3038"/>
      <c r="BF1112" s="3038"/>
      <c r="BG1112" s="3038"/>
      <c r="BH1112" s="3038"/>
      <c r="BI1112" s="3038"/>
      <c r="BJ1112" s="3038"/>
      <c r="BK1112" s="3038"/>
      <c r="BL1112" s="3038"/>
      <c r="BM1112" s="3038"/>
      <c r="BN1112" s="3038"/>
      <c r="BO1112" s="3038"/>
      <c r="BP1112" s="3038"/>
      <c r="BQ1112" s="3038"/>
      <c r="BR1112" s="3038"/>
      <c r="BS1112" s="3038"/>
      <c r="BT1112" s="3038"/>
      <c r="BU1112" s="3038"/>
    </row>
    <row r="1113" spans="3:73">
      <c r="C1113" s="3038"/>
      <c r="D1113" s="3038"/>
      <c r="E1113" s="3038"/>
      <c r="H1113" s="3038"/>
      <c r="I1113" s="3038"/>
      <c r="J1113" s="3038"/>
      <c r="K1113" s="3038"/>
      <c r="M1113" s="3038"/>
      <c r="N1113" s="3038"/>
      <c r="O1113" s="3038"/>
      <c r="P1113" s="3038"/>
      <c r="Q1113" s="3038"/>
      <c r="R1113" s="3038"/>
      <c r="S1113" s="3038"/>
      <c r="T1113" s="3038"/>
      <c r="W1113" s="3038"/>
      <c r="X1113" s="3038"/>
      <c r="Y1113" s="3038"/>
      <c r="Z1113" s="3038"/>
      <c r="AA1113" s="3113"/>
      <c r="AB1113" s="3038"/>
      <c r="AC1113" s="3038"/>
      <c r="AD1113" s="3038"/>
      <c r="AE1113" s="3132"/>
      <c r="AF1113" s="3038"/>
      <c r="AG1113" s="3038"/>
      <c r="AH1113" s="3038"/>
      <c r="AK1113" s="3038"/>
      <c r="AL1113" s="3038"/>
      <c r="AM1113" s="3038"/>
      <c r="AN1113" s="3038"/>
      <c r="AO1113" s="3038"/>
      <c r="AP1113" s="3038"/>
      <c r="AQ1113" s="3038"/>
      <c r="AR1113" s="3038"/>
      <c r="AS1113" s="3038"/>
      <c r="AT1113" s="3038"/>
      <c r="AU1113" s="3038"/>
      <c r="AV1113" s="3038"/>
      <c r="AW1113" s="3038"/>
      <c r="AX1113" s="3038"/>
      <c r="AY1113" s="3038"/>
      <c r="AZ1113" s="3038"/>
      <c r="BA1113" s="3038"/>
      <c r="BB1113" s="3038"/>
      <c r="BC1113" s="3038"/>
      <c r="BD1113" s="3038"/>
      <c r="BE1113" s="3038"/>
      <c r="BF1113" s="3038"/>
      <c r="BG1113" s="3038"/>
      <c r="BH1113" s="3038"/>
      <c r="BI1113" s="3038"/>
      <c r="BJ1113" s="3038"/>
      <c r="BK1113" s="3038"/>
      <c r="BL1113" s="3038"/>
      <c r="BM1113" s="3038"/>
      <c r="BN1113" s="3038"/>
      <c r="BO1113" s="3038"/>
      <c r="BP1113" s="3038"/>
      <c r="BQ1113" s="3038"/>
      <c r="BR1113" s="3038"/>
      <c r="BS1113" s="3038"/>
      <c r="BT1113" s="3038"/>
      <c r="BU1113" s="3038"/>
    </row>
    <row r="1114" spans="3:73">
      <c r="C1114" s="3038"/>
      <c r="D1114" s="3038"/>
      <c r="E1114" s="3038"/>
      <c r="H1114" s="3038"/>
      <c r="I1114" s="3038"/>
      <c r="J1114" s="3038"/>
      <c r="K1114" s="3038"/>
      <c r="M1114" s="3038"/>
      <c r="N1114" s="3038"/>
      <c r="O1114" s="3038"/>
      <c r="P1114" s="3038"/>
      <c r="Q1114" s="3038"/>
      <c r="R1114" s="3038"/>
      <c r="S1114" s="3038"/>
      <c r="T1114" s="3038"/>
      <c r="W1114" s="3038"/>
      <c r="X1114" s="3038"/>
      <c r="Y1114" s="3038"/>
      <c r="Z1114" s="3038"/>
      <c r="AA1114" s="3113"/>
      <c r="AB1114" s="3038"/>
      <c r="AC1114" s="3038"/>
      <c r="AD1114" s="3038"/>
      <c r="AE1114" s="3132"/>
      <c r="AF1114" s="3038"/>
      <c r="AG1114" s="3038"/>
      <c r="AH1114" s="3038"/>
      <c r="AK1114" s="3038"/>
      <c r="AL1114" s="3038"/>
      <c r="AM1114" s="3038"/>
      <c r="AN1114" s="3038"/>
      <c r="AO1114" s="3038"/>
      <c r="AP1114" s="3038"/>
      <c r="AQ1114" s="3038"/>
      <c r="AR1114" s="3038"/>
      <c r="AS1114" s="3038"/>
      <c r="AT1114" s="3038"/>
      <c r="AU1114" s="3038"/>
      <c r="AV1114" s="3038"/>
      <c r="AW1114" s="3038"/>
      <c r="AX1114" s="3038"/>
      <c r="AY1114" s="3038"/>
      <c r="AZ1114" s="3038"/>
      <c r="BA1114" s="3038"/>
      <c r="BB1114" s="3038"/>
      <c r="BC1114" s="3038"/>
      <c r="BD1114" s="3038"/>
      <c r="BE1114" s="3038"/>
      <c r="BF1114" s="3038"/>
      <c r="BG1114" s="3038"/>
      <c r="BH1114" s="3038"/>
      <c r="BI1114" s="3038"/>
      <c r="BJ1114" s="3038"/>
      <c r="BK1114" s="3038"/>
      <c r="BL1114" s="3038"/>
      <c r="BM1114" s="3038"/>
      <c r="BN1114" s="3038"/>
      <c r="BO1114" s="3038"/>
      <c r="BP1114" s="3038"/>
      <c r="BQ1114" s="3038"/>
      <c r="BR1114" s="3038"/>
      <c r="BS1114" s="3038"/>
      <c r="BT1114" s="3038"/>
      <c r="BU1114" s="3038"/>
    </row>
    <row r="1115" spans="3:73">
      <c r="C1115" s="3038"/>
      <c r="D1115" s="3038"/>
      <c r="E1115" s="3038"/>
      <c r="H1115" s="3038"/>
      <c r="I1115" s="3038"/>
      <c r="J1115" s="3038"/>
      <c r="K1115" s="3038"/>
      <c r="M1115" s="3038"/>
      <c r="N1115" s="3038"/>
      <c r="O1115" s="3038"/>
      <c r="P1115" s="3038"/>
      <c r="Q1115" s="3038"/>
      <c r="R1115" s="3038"/>
      <c r="S1115" s="3038"/>
      <c r="T1115" s="3038"/>
      <c r="W1115" s="3038"/>
      <c r="X1115" s="3038"/>
      <c r="Y1115" s="3038"/>
      <c r="Z1115" s="3038"/>
      <c r="AA1115" s="3113"/>
      <c r="AB1115" s="3038"/>
      <c r="AC1115" s="3038"/>
      <c r="AD1115" s="3038"/>
      <c r="AE1115" s="3132"/>
      <c r="AF1115" s="3038"/>
      <c r="AG1115" s="3038"/>
      <c r="AH1115" s="3038"/>
      <c r="AK1115" s="3038"/>
      <c r="AL1115" s="3038"/>
      <c r="AM1115" s="3038"/>
      <c r="AN1115" s="3038"/>
      <c r="AO1115" s="3038"/>
      <c r="AP1115" s="3038"/>
      <c r="AQ1115" s="3038"/>
      <c r="AR1115" s="3038"/>
      <c r="AS1115" s="3038"/>
      <c r="AT1115" s="3038"/>
      <c r="AU1115" s="3038"/>
      <c r="AV1115" s="3038"/>
      <c r="AW1115" s="3038"/>
      <c r="AX1115" s="3038"/>
      <c r="AY1115" s="3038"/>
      <c r="AZ1115" s="3038"/>
      <c r="BA1115" s="3038"/>
      <c r="BB1115" s="3038"/>
      <c r="BC1115" s="3038"/>
      <c r="BD1115" s="3038"/>
      <c r="BE1115" s="3038"/>
      <c r="BF1115" s="3038"/>
      <c r="BG1115" s="3038"/>
      <c r="BH1115" s="3038"/>
      <c r="BI1115" s="3038"/>
      <c r="BJ1115" s="3038"/>
      <c r="BK1115" s="3038"/>
      <c r="BL1115" s="3038"/>
      <c r="BM1115" s="3038"/>
      <c r="BN1115" s="3038"/>
      <c r="BO1115" s="3038"/>
      <c r="BP1115" s="3038"/>
      <c r="BQ1115" s="3038"/>
      <c r="BR1115" s="3038"/>
      <c r="BS1115" s="3038"/>
      <c r="BT1115" s="3038"/>
      <c r="BU1115" s="3038"/>
    </row>
    <row r="1116" spans="3:73">
      <c r="C1116" s="3038"/>
      <c r="D1116" s="3038"/>
      <c r="E1116" s="3038"/>
      <c r="H1116" s="3038"/>
      <c r="I1116" s="3038"/>
      <c r="J1116" s="3038"/>
      <c r="K1116" s="3038"/>
      <c r="M1116" s="3038"/>
      <c r="N1116" s="3038"/>
      <c r="O1116" s="3038"/>
      <c r="P1116" s="3038"/>
      <c r="Q1116" s="3038"/>
      <c r="R1116" s="3038"/>
      <c r="S1116" s="3038"/>
      <c r="T1116" s="3038"/>
      <c r="W1116" s="3038"/>
      <c r="X1116" s="3038"/>
      <c r="Y1116" s="3038"/>
      <c r="Z1116" s="3038"/>
      <c r="AA1116" s="3113"/>
      <c r="AB1116" s="3038"/>
      <c r="AC1116" s="3038"/>
      <c r="AD1116" s="3038"/>
      <c r="AE1116" s="3132"/>
      <c r="AF1116" s="3038"/>
      <c r="AG1116" s="3038"/>
      <c r="AH1116" s="3038"/>
      <c r="AK1116" s="3038"/>
      <c r="AL1116" s="3038"/>
      <c r="AM1116" s="3038"/>
      <c r="AN1116" s="3038"/>
      <c r="AO1116" s="3038"/>
      <c r="AP1116" s="3038"/>
      <c r="AQ1116" s="3038"/>
      <c r="AR1116" s="3038"/>
      <c r="AS1116" s="3038"/>
      <c r="AT1116" s="3038"/>
      <c r="AU1116" s="3038"/>
      <c r="AV1116" s="3038"/>
      <c r="AW1116" s="3038"/>
      <c r="AX1116" s="3038"/>
      <c r="AY1116" s="3038"/>
      <c r="AZ1116" s="3038"/>
      <c r="BA1116" s="3038"/>
      <c r="BB1116" s="3038"/>
      <c r="BC1116" s="3038"/>
      <c r="BD1116" s="3038"/>
      <c r="BE1116" s="3038"/>
      <c r="BF1116" s="3038"/>
      <c r="BG1116" s="3038"/>
      <c r="BH1116" s="3038"/>
      <c r="BI1116" s="3038"/>
      <c r="BJ1116" s="3038"/>
      <c r="BK1116" s="3038"/>
      <c r="BL1116" s="3038"/>
      <c r="BM1116" s="3038"/>
      <c r="BN1116" s="3038"/>
      <c r="BO1116" s="3038"/>
      <c r="BP1116" s="3038"/>
      <c r="BQ1116" s="3038"/>
      <c r="BR1116" s="3038"/>
      <c r="BS1116" s="3038"/>
      <c r="BT1116" s="3038"/>
      <c r="BU1116" s="3038"/>
    </row>
    <row r="1117" spans="3:73">
      <c r="C1117" s="3038"/>
      <c r="D1117" s="3038"/>
      <c r="E1117" s="3038"/>
      <c r="H1117" s="3038"/>
      <c r="I1117" s="3038"/>
      <c r="J1117" s="3038"/>
      <c r="K1117" s="3038"/>
      <c r="M1117" s="3038"/>
      <c r="N1117" s="3038"/>
      <c r="O1117" s="3038"/>
      <c r="P1117" s="3038"/>
      <c r="Q1117" s="3038"/>
      <c r="R1117" s="3038"/>
      <c r="S1117" s="3038"/>
      <c r="T1117" s="3038"/>
      <c r="W1117" s="3038"/>
      <c r="X1117" s="3038"/>
      <c r="Y1117" s="3038"/>
      <c r="Z1117" s="3038"/>
      <c r="AA1117" s="3113"/>
      <c r="AB1117" s="3038"/>
      <c r="AC1117" s="3038"/>
      <c r="AD1117" s="3038"/>
      <c r="AE1117" s="3132"/>
      <c r="AF1117" s="3038"/>
      <c r="AG1117" s="3038"/>
      <c r="AH1117" s="3038"/>
      <c r="AK1117" s="3038"/>
      <c r="AL1117" s="3038"/>
      <c r="AM1117" s="3038"/>
      <c r="AN1117" s="3038"/>
      <c r="AO1117" s="3038"/>
      <c r="AP1117" s="3038"/>
      <c r="AQ1117" s="3038"/>
      <c r="AR1117" s="3038"/>
      <c r="AS1117" s="3038"/>
      <c r="AT1117" s="3038"/>
      <c r="AU1117" s="3038"/>
      <c r="AV1117" s="3038"/>
      <c r="AW1117" s="3038"/>
      <c r="AX1117" s="3038"/>
      <c r="AY1117" s="3038"/>
      <c r="AZ1117" s="3038"/>
      <c r="BA1117" s="3038"/>
      <c r="BB1117" s="3038"/>
      <c r="BC1117" s="3038"/>
      <c r="BD1117" s="3038"/>
      <c r="BE1117" s="3038"/>
      <c r="BF1117" s="3038"/>
      <c r="BG1117" s="3038"/>
      <c r="BH1117" s="3038"/>
      <c r="BI1117" s="3038"/>
      <c r="BJ1117" s="3038"/>
      <c r="BK1117" s="3038"/>
      <c r="BL1117" s="3038"/>
      <c r="BM1117" s="3038"/>
      <c r="BN1117" s="3038"/>
      <c r="BO1117" s="3038"/>
      <c r="BP1117" s="3038"/>
      <c r="BQ1117" s="3038"/>
      <c r="BR1117" s="3038"/>
      <c r="BS1117" s="3038"/>
      <c r="BT1117" s="3038"/>
      <c r="BU1117" s="3038"/>
    </row>
    <row r="1118" spans="3:73">
      <c r="C1118" s="3038"/>
      <c r="D1118" s="3038"/>
      <c r="E1118" s="3038"/>
      <c r="H1118" s="3038"/>
      <c r="I1118" s="3038"/>
      <c r="J1118" s="3038"/>
      <c r="K1118" s="3038"/>
      <c r="M1118" s="3038"/>
      <c r="N1118" s="3038"/>
      <c r="O1118" s="3038"/>
      <c r="P1118" s="3038"/>
      <c r="Q1118" s="3038"/>
      <c r="R1118" s="3038"/>
      <c r="S1118" s="3038"/>
      <c r="T1118" s="3038"/>
      <c r="W1118" s="3038"/>
      <c r="X1118" s="3038"/>
      <c r="Y1118" s="3038"/>
      <c r="Z1118" s="3038"/>
      <c r="AA1118" s="3113"/>
      <c r="AB1118" s="3038"/>
      <c r="AC1118" s="3038"/>
      <c r="AD1118" s="3038"/>
      <c r="AE1118" s="3132"/>
      <c r="AF1118" s="3038"/>
      <c r="AG1118" s="3038"/>
      <c r="AH1118" s="3038"/>
      <c r="AK1118" s="3038"/>
      <c r="AL1118" s="3038"/>
      <c r="AM1118" s="3038"/>
      <c r="AN1118" s="3038"/>
      <c r="AO1118" s="3038"/>
      <c r="AP1118" s="3038"/>
      <c r="AQ1118" s="3038"/>
      <c r="AR1118" s="3038"/>
      <c r="AS1118" s="3038"/>
      <c r="AT1118" s="3038"/>
      <c r="AU1118" s="3038"/>
      <c r="AV1118" s="3038"/>
      <c r="AW1118" s="3038"/>
      <c r="AX1118" s="3038"/>
      <c r="AY1118" s="3038"/>
      <c r="AZ1118" s="3038"/>
      <c r="BA1118" s="3038"/>
      <c r="BB1118" s="3038"/>
      <c r="BC1118" s="3038"/>
      <c r="BD1118" s="3038"/>
      <c r="BE1118" s="3038"/>
      <c r="BF1118" s="3038"/>
      <c r="BG1118" s="3038"/>
      <c r="BH1118" s="3038"/>
      <c r="BI1118" s="3038"/>
      <c r="BJ1118" s="3038"/>
      <c r="BK1118" s="3038"/>
      <c r="BL1118" s="3038"/>
      <c r="BM1118" s="3038"/>
      <c r="BN1118" s="3038"/>
      <c r="BO1118" s="3038"/>
      <c r="BP1118" s="3038"/>
      <c r="BQ1118" s="3038"/>
      <c r="BR1118" s="3038"/>
      <c r="BS1118" s="3038"/>
      <c r="BT1118" s="3038"/>
      <c r="BU1118" s="3038"/>
    </row>
    <row r="1119" spans="3:73">
      <c r="C1119" s="3038"/>
      <c r="D1119" s="3038"/>
      <c r="E1119" s="3038"/>
      <c r="H1119" s="3038"/>
      <c r="I1119" s="3038"/>
      <c r="J1119" s="3038"/>
      <c r="K1119" s="3038"/>
      <c r="M1119" s="3038"/>
      <c r="N1119" s="3038"/>
      <c r="O1119" s="3038"/>
      <c r="P1119" s="3038"/>
      <c r="Q1119" s="3038"/>
      <c r="R1119" s="3038"/>
      <c r="S1119" s="3038"/>
      <c r="T1119" s="3038"/>
      <c r="W1119" s="3038"/>
      <c r="X1119" s="3038"/>
      <c r="Y1119" s="3038"/>
      <c r="Z1119" s="3038"/>
      <c r="AA1119" s="3113"/>
      <c r="AB1119" s="3038"/>
      <c r="AC1119" s="3038"/>
      <c r="AD1119" s="3038"/>
      <c r="AE1119" s="3132"/>
      <c r="AF1119" s="3038"/>
      <c r="AG1119" s="3038"/>
      <c r="AH1119" s="3038"/>
      <c r="AK1119" s="3038"/>
      <c r="AL1119" s="3038"/>
      <c r="AM1119" s="3038"/>
      <c r="AN1119" s="3038"/>
      <c r="AO1119" s="3038"/>
      <c r="AP1119" s="3038"/>
      <c r="AQ1119" s="3038"/>
      <c r="AR1119" s="3038"/>
      <c r="AS1119" s="3038"/>
      <c r="AT1119" s="3038"/>
      <c r="AU1119" s="3038"/>
      <c r="AV1119" s="3038"/>
      <c r="AW1119" s="3038"/>
      <c r="AX1119" s="3038"/>
      <c r="AY1119" s="3038"/>
      <c r="AZ1119" s="3038"/>
      <c r="BA1119" s="3038"/>
      <c r="BB1119" s="3038"/>
      <c r="BC1119" s="3038"/>
      <c r="BD1119" s="3038"/>
      <c r="BE1119" s="3038"/>
      <c r="BF1119" s="3038"/>
      <c r="BG1119" s="3038"/>
      <c r="BH1119" s="3038"/>
      <c r="BI1119" s="3038"/>
      <c r="BJ1119" s="3038"/>
      <c r="BK1119" s="3038"/>
      <c r="BL1119" s="3038"/>
      <c r="BM1119" s="3038"/>
      <c r="BN1119" s="3038"/>
      <c r="BO1119" s="3038"/>
      <c r="BP1119" s="3038"/>
      <c r="BQ1119" s="3038"/>
      <c r="BR1119" s="3038"/>
      <c r="BS1119" s="3038"/>
      <c r="BT1119" s="3038"/>
      <c r="BU1119" s="3038"/>
    </row>
    <row r="1120" spans="3:73">
      <c r="C1120" s="3038"/>
      <c r="D1120" s="3038"/>
      <c r="E1120" s="3038"/>
      <c r="H1120" s="3038"/>
      <c r="I1120" s="3038"/>
      <c r="J1120" s="3038"/>
      <c r="K1120" s="3038"/>
      <c r="M1120" s="3038"/>
      <c r="N1120" s="3038"/>
      <c r="O1120" s="3038"/>
      <c r="P1120" s="3038"/>
      <c r="Q1120" s="3038"/>
      <c r="R1120" s="3038"/>
      <c r="S1120" s="3038"/>
      <c r="T1120" s="3038"/>
      <c r="W1120" s="3038"/>
      <c r="X1120" s="3038"/>
      <c r="Y1120" s="3038"/>
      <c r="Z1120" s="3038"/>
      <c r="AA1120" s="3113"/>
      <c r="AB1120" s="3038"/>
      <c r="AC1120" s="3038"/>
      <c r="AD1120" s="3038"/>
      <c r="AE1120" s="3132"/>
      <c r="AF1120" s="3038"/>
      <c r="AG1120" s="3038"/>
      <c r="AH1120" s="3038"/>
      <c r="AK1120" s="3038"/>
      <c r="AL1120" s="3038"/>
      <c r="AM1120" s="3038"/>
      <c r="AN1120" s="3038"/>
      <c r="AO1120" s="3038"/>
      <c r="AP1120" s="3038"/>
      <c r="AQ1120" s="3038"/>
      <c r="AR1120" s="3038"/>
      <c r="AS1120" s="3038"/>
      <c r="AT1120" s="3038"/>
      <c r="AU1120" s="3038"/>
      <c r="AV1120" s="3038"/>
      <c r="AW1120" s="3038"/>
      <c r="AX1120" s="3038"/>
      <c r="AY1120" s="3038"/>
      <c r="AZ1120" s="3038"/>
      <c r="BA1120" s="3038"/>
      <c r="BB1120" s="3038"/>
      <c r="BC1120" s="3038"/>
      <c r="BD1120" s="3038"/>
      <c r="BE1120" s="3038"/>
      <c r="BF1120" s="3038"/>
      <c r="BG1120" s="3038"/>
      <c r="BH1120" s="3038"/>
      <c r="BI1120" s="3038"/>
      <c r="BJ1120" s="3038"/>
      <c r="BK1120" s="3038"/>
      <c r="BL1120" s="3038"/>
      <c r="BM1120" s="3038"/>
      <c r="BN1120" s="3038"/>
      <c r="BO1120" s="3038"/>
      <c r="BP1120" s="3038"/>
      <c r="BQ1120" s="3038"/>
      <c r="BR1120" s="3038"/>
      <c r="BS1120" s="3038"/>
      <c r="BT1120" s="3038"/>
      <c r="BU1120" s="3038"/>
    </row>
    <row r="1121" spans="3:73">
      <c r="C1121" s="3038"/>
      <c r="D1121" s="3038"/>
      <c r="E1121" s="3038"/>
      <c r="H1121" s="3038"/>
      <c r="I1121" s="3038"/>
      <c r="J1121" s="3038"/>
      <c r="K1121" s="3038"/>
      <c r="M1121" s="3038"/>
      <c r="N1121" s="3038"/>
      <c r="O1121" s="3038"/>
      <c r="P1121" s="3038"/>
      <c r="Q1121" s="3038"/>
      <c r="R1121" s="3038"/>
      <c r="S1121" s="3038"/>
      <c r="T1121" s="3038"/>
      <c r="W1121" s="3038"/>
      <c r="X1121" s="3038"/>
      <c r="Y1121" s="3038"/>
      <c r="Z1121" s="3038"/>
      <c r="AA1121" s="3113"/>
      <c r="AB1121" s="3038"/>
      <c r="AC1121" s="3038"/>
      <c r="AD1121" s="3038"/>
      <c r="AE1121" s="3132"/>
      <c r="AF1121" s="3038"/>
      <c r="AG1121" s="3038"/>
      <c r="AH1121" s="3038"/>
      <c r="AK1121" s="3038"/>
      <c r="AL1121" s="3038"/>
      <c r="AM1121" s="3038"/>
      <c r="AN1121" s="3038"/>
      <c r="AO1121" s="3038"/>
      <c r="AP1121" s="3038"/>
      <c r="AQ1121" s="3038"/>
      <c r="AR1121" s="3038"/>
      <c r="AS1121" s="3038"/>
      <c r="AT1121" s="3038"/>
      <c r="AU1121" s="3038"/>
      <c r="AV1121" s="3038"/>
      <c r="AW1121" s="3038"/>
      <c r="AX1121" s="3038"/>
      <c r="AY1121" s="3038"/>
      <c r="AZ1121" s="3038"/>
      <c r="BA1121" s="3038"/>
      <c r="BB1121" s="3038"/>
      <c r="BC1121" s="3038"/>
      <c r="BD1121" s="3038"/>
      <c r="BE1121" s="3038"/>
      <c r="BF1121" s="3038"/>
      <c r="BG1121" s="3038"/>
      <c r="BH1121" s="3038"/>
      <c r="BI1121" s="3038"/>
      <c r="BJ1121" s="3038"/>
      <c r="BK1121" s="3038"/>
      <c r="BL1121" s="3038"/>
      <c r="BM1121" s="3038"/>
      <c r="BN1121" s="3038"/>
      <c r="BO1121" s="3038"/>
      <c r="BP1121" s="3038"/>
      <c r="BQ1121" s="3038"/>
      <c r="BR1121" s="3038"/>
      <c r="BS1121" s="3038"/>
      <c r="BT1121" s="3038"/>
      <c r="BU1121" s="3038"/>
    </row>
    <row r="1122" spans="3:73">
      <c r="C1122" s="3038"/>
      <c r="D1122" s="3038"/>
      <c r="E1122" s="3038"/>
      <c r="H1122" s="3038"/>
      <c r="I1122" s="3038"/>
      <c r="J1122" s="3038"/>
      <c r="K1122" s="3038"/>
      <c r="M1122" s="3038"/>
      <c r="N1122" s="3038"/>
      <c r="O1122" s="3038"/>
      <c r="P1122" s="3038"/>
      <c r="Q1122" s="3038"/>
      <c r="R1122" s="3038"/>
      <c r="S1122" s="3038"/>
      <c r="T1122" s="3038"/>
      <c r="W1122" s="3038"/>
      <c r="X1122" s="3038"/>
      <c r="Y1122" s="3038"/>
      <c r="Z1122" s="3038"/>
      <c r="AA1122" s="3113"/>
      <c r="AB1122" s="3038"/>
      <c r="AC1122" s="3038"/>
      <c r="AD1122" s="3038"/>
      <c r="AE1122" s="3132"/>
      <c r="AF1122" s="3038"/>
      <c r="AG1122" s="3038"/>
      <c r="AH1122" s="3038"/>
      <c r="AK1122" s="3038"/>
      <c r="AL1122" s="3038"/>
      <c r="AM1122" s="3038"/>
      <c r="AN1122" s="3038"/>
      <c r="AO1122" s="3038"/>
      <c r="AP1122" s="3038"/>
      <c r="AQ1122" s="3038"/>
      <c r="AR1122" s="3038"/>
      <c r="AS1122" s="3038"/>
      <c r="AT1122" s="3038"/>
      <c r="AU1122" s="3038"/>
      <c r="AV1122" s="3038"/>
      <c r="AW1122" s="3038"/>
      <c r="AX1122" s="3038"/>
      <c r="AY1122" s="3038"/>
      <c r="AZ1122" s="3038"/>
      <c r="BA1122" s="3038"/>
      <c r="BB1122" s="3038"/>
      <c r="BC1122" s="3038"/>
      <c r="BD1122" s="3038"/>
      <c r="BE1122" s="3038"/>
      <c r="BF1122" s="3038"/>
      <c r="BG1122" s="3038"/>
      <c r="BH1122" s="3038"/>
      <c r="BI1122" s="3038"/>
      <c r="BJ1122" s="3038"/>
      <c r="BK1122" s="3038"/>
      <c r="BL1122" s="3038"/>
      <c r="BM1122" s="3038"/>
      <c r="BN1122" s="3038"/>
      <c r="BO1122" s="3038"/>
      <c r="BP1122" s="3038"/>
      <c r="BQ1122" s="3038"/>
      <c r="BR1122" s="3038"/>
      <c r="BS1122" s="3038"/>
      <c r="BT1122" s="3038"/>
      <c r="BU1122" s="3038"/>
    </row>
    <row r="1123" spans="3:73">
      <c r="C1123" s="3038"/>
      <c r="D1123" s="3038"/>
      <c r="E1123" s="3038"/>
      <c r="H1123" s="3038"/>
      <c r="I1123" s="3038"/>
      <c r="J1123" s="3038"/>
      <c r="K1123" s="3038"/>
      <c r="M1123" s="3038"/>
      <c r="N1123" s="3038"/>
      <c r="O1123" s="3038"/>
      <c r="P1123" s="3038"/>
      <c r="Q1123" s="3038"/>
      <c r="R1123" s="3038"/>
      <c r="S1123" s="3038"/>
      <c r="T1123" s="3038"/>
      <c r="W1123" s="3038"/>
      <c r="X1123" s="3038"/>
      <c r="Y1123" s="3038"/>
      <c r="Z1123" s="3038"/>
      <c r="AA1123" s="3113"/>
      <c r="AB1123" s="3038"/>
      <c r="AC1123" s="3038"/>
      <c r="AD1123" s="3038"/>
      <c r="AE1123" s="3132"/>
      <c r="AF1123" s="3038"/>
      <c r="AG1123" s="3038"/>
      <c r="AH1123" s="3038"/>
      <c r="AK1123" s="3038"/>
      <c r="AL1123" s="3038"/>
      <c r="AM1123" s="3038"/>
      <c r="AN1123" s="3038"/>
      <c r="AO1123" s="3038"/>
      <c r="AP1123" s="3038"/>
      <c r="AQ1123" s="3038"/>
      <c r="AR1123" s="3038"/>
      <c r="AS1123" s="3038"/>
      <c r="AT1123" s="3038"/>
      <c r="AU1123" s="3038"/>
      <c r="AV1123" s="3038"/>
      <c r="AW1123" s="3038"/>
      <c r="AX1123" s="3038"/>
      <c r="AY1123" s="3038"/>
      <c r="AZ1123" s="3038"/>
      <c r="BA1123" s="3038"/>
      <c r="BB1123" s="3038"/>
      <c r="BC1123" s="3038"/>
      <c r="BD1123" s="3038"/>
      <c r="BE1123" s="3038"/>
      <c r="BF1123" s="3038"/>
      <c r="BG1123" s="3038"/>
      <c r="BH1123" s="3038"/>
      <c r="BI1123" s="3038"/>
      <c r="BJ1123" s="3038"/>
      <c r="BK1123" s="3038"/>
      <c r="BL1123" s="3038"/>
      <c r="BM1123" s="3038"/>
      <c r="BN1123" s="3038"/>
      <c r="BO1123" s="3038"/>
      <c r="BP1123" s="3038"/>
      <c r="BQ1123" s="3038"/>
      <c r="BR1123" s="3038"/>
      <c r="BS1123" s="3038"/>
      <c r="BT1123" s="3038"/>
      <c r="BU1123" s="3038"/>
    </row>
    <row r="1124" spans="3:73">
      <c r="C1124" s="3038"/>
      <c r="D1124" s="3038"/>
      <c r="E1124" s="3038"/>
      <c r="H1124" s="3038"/>
      <c r="I1124" s="3038"/>
      <c r="J1124" s="3038"/>
      <c r="K1124" s="3038"/>
      <c r="M1124" s="3038"/>
      <c r="N1124" s="3038"/>
      <c r="O1124" s="3038"/>
      <c r="P1124" s="3038"/>
      <c r="Q1124" s="3038"/>
      <c r="R1124" s="3038"/>
      <c r="S1124" s="3038"/>
      <c r="T1124" s="3038"/>
      <c r="W1124" s="3038"/>
      <c r="X1124" s="3038"/>
      <c r="Y1124" s="3038"/>
      <c r="Z1124" s="3038"/>
      <c r="AA1124" s="3113"/>
      <c r="AB1124" s="3038"/>
      <c r="AC1124" s="3038"/>
      <c r="AD1124" s="3038"/>
      <c r="AE1124" s="3132"/>
      <c r="AF1124" s="3038"/>
      <c r="AG1124" s="3038"/>
      <c r="AH1124" s="3038"/>
      <c r="AK1124" s="3038"/>
      <c r="AL1124" s="3038"/>
      <c r="AM1124" s="3038"/>
      <c r="AN1124" s="3038"/>
      <c r="AO1124" s="3038"/>
      <c r="AP1124" s="3038"/>
      <c r="AQ1124" s="3038"/>
      <c r="AR1124" s="3038"/>
      <c r="AS1124" s="3038"/>
      <c r="AT1124" s="3038"/>
      <c r="AU1124" s="3038"/>
      <c r="AV1124" s="3038"/>
      <c r="AW1124" s="3038"/>
      <c r="AX1124" s="3038"/>
      <c r="AY1124" s="3038"/>
      <c r="AZ1124" s="3038"/>
      <c r="BA1124" s="3038"/>
      <c r="BB1124" s="3038"/>
      <c r="BC1124" s="3038"/>
      <c r="BD1124" s="3038"/>
      <c r="BE1124" s="3038"/>
      <c r="BF1124" s="3038"/>
      <c r="BG1124" s="3038"/>
      <c r="BH1124" s="3038"/>
      <c r="BI1124" s="3038"/>
      <c r="BJ1124" s="3038"/>
      <c r="BK1124" s="3038"/>
      <c r="BL1124" s="3038"/>
      <c r="BM1124" s="3038"/>
      <c r="BN1124" s="3038"/>
      <c r="BO1124" s="3038"/>
      <c r="BP1124" s="3038"/>
      <c r="BQ1124" s="3038"/>
      <c r="BR1124" s="3038"/>
      <c r="BS1124" s="3038"/>
      <c r="BT1124" s="3038"/>
      <c r="BU1124" s="3038"/>
    </row>
    <row r="1125" spans="3:73">
      <c r="C1125" s="3038"/>
      <c r="D1125" s="3038"/>
      <c r="E1125" s="3038"/>
      <c r="H1125" s="3038"/>
      <c r="I1125" s="3038"/>
      <c r="J1125" s="3038"/>
      <c r="K1125" s="3038"/>
      <c r="M1125" s="3038"/>
      <c r="N1125" s="3038"/>
      <c r="O1125" s="3038"/>
      <c r="P1125" s="3038"/>
      <c r="Q1125" s="3038"/>
      <c r="R1125" s="3038"/>
      <c r="S1125" s="3038"/>
      <c r="T1125" s="3038"/>
      <c r="W1125" s="3038"/>
      <c r="X1125" s="3038"/>
      <c r="Y1125" s="3038"/>
      <c r="Z1125" s="3038"/>
      <c r="AA1125" s="3113"/>
      <c r="AB1125" s="3038"/>
      <c r="AC1125" s="3038"/>
      <c r="AD1125" s="3038"/>
      <c r="AE1125" s="3132"/>
      <c r="AF1125" s="3038"/>
      <c r="AG1125" s="3038"/>
      <c r="AH1125" s="3038"/>
      <c r="AK1125" s="3038"/>
      <c r="AL1125" s="3038"/>
      <c r="AM1125" s="3038"/>
      <c r="AN1125" s="3038"/>
      <c r="AO1125" s="3038"/>
      <c r="AP1125" s="3038"/>
      <c r="AQ1125" s="3038"/>
      <c r="AR1125" s="3038"/>
      <c r="AS1125" s="3038"/>
      <c r="AT1125" s="3038"/>
      <c r="AU1125" s="3038"/>
      <c r="AV1125" s="3038"/>
      <c r="AW1125" s="3038"/>
      <c r="AX1125" s="3038"/>
      <c r="AY1125" s="3038"/>
      <c r="AZ1125" s="3038"/>
      <c r="BA1125" s="3038"/>
      <c r="BB1125" s="3038"/>
      <c r="BC1125" s="3038"/>
      <c r="BD1125" s="3038"/>
      <c r="BE1125" s="3038"/>
      <c r="BF1125" s="3038"/>
      <c r="BG1125" s="3038"/>
      <c r="BH1125" s="3038"/>
      <c r="BI1125" s="3038"/>
      <c r="BJ1125" s="3038"/>
      <c r="BK1125" s="3038"/>
      <c r="BL1125" s="3038"/>
      <c r="BM1125" s="3038"/>
      <c r="BN1125" s="3038"/>
      <c r="BO1125" s="3038"/>
      <c r="BP1125" s="3038"/>
      <c r="BQ1125" s="3038"/>
      <c r="BR1125" s="3038"/>
      <c r="BS1125" s="3038"/>
      <c r="BT1125" s="3038"/>
      <c r="BU1125" s="3038"/>
    </row>
    <row r="1126" spans="3:73">
      <c r="C1126" s="3038"/>
      <c r="D1126" s="3038"/>
      <c r="E1126" s="3038"/>
      <c r="H1126" s="3038"/>
      <c r="I1126" s="3038"/>
      <c r="J1126" s="3038"/>
      <c r="K1126" s="3038"/>
      <c r="M1126" s="3038"/>
      <c r="N1126" s="3038"/>
      <c r="O1126" s="3038"/>
      <c r="P1126" s="3038"/>
      <c r="Q1126" s="3038"/>
      <c r="R1126" s="3038"/>
      <c r="S1126" s="3038"/>
      <c r="T1126" s="3038"/>
      <c r="W1126" s="3038"/>
      <c r="X1126" s="3038"/>
      <c r="Y1126" s="3038"/>
      <c r="Z1126" s="3038"/>
      <c r="AA1126" s="3113"/>
      <c r="AB1126" s="3038"/>
      <c r="AC1126" s="3038"/>
      <c r="AD1126" s="3038"/>
      <c r="AE1126" s="3132"/>
      <c r="AF1126" s="3038"/>
      <c r="AG1126" s="3038"/>
      <c r="AH1126" s="3038"/>
      <c r="AK1126" s="3038"/>
      <c r="AL1126" s="3038"/>
      <c r="AM1126" s="3038"/>
      <c r="AN1126" s="3038"/>
      <c r="AO1126" s="3038"/>
      <c r="AP1126" s="3038"/>
      <c r="AQ1126" s="3038"/>
      <c r="AR1126" s="3038"/>
      <c r="AS1126" s="3038"/>
      <c r="AT1126" s="3038"/>
      <c r="AU1126" s="3038"/>
      <c r="AV1126" s="3038"/>
      <c r="AW1126" s="3038"/>
      <c r="AX1126" s="3038"/>
      <c r="AY1126" s="3038"/>
      <c r="AZ1126" s="3038"/>
      <c r="BA1126" s="3038"/>
      <c r="BB1126" s="3038"/>
      <c r="BC1126" s="3038"/>
      <c r="BD1126" s="3038"/>
      <c r="BE1126" s="3038"/>
      <c r="BF1126" s="3038"/>
      <c r="BG1126" s="3038"/>
      <c r="BH1126" s="3038"/>
      <c r="BI1126" s="3038"/>
      <c r="BJ1126" s="3038"/>
      <c r="BK1126" s="3038"/>
      <c r="BL1126" s="3038"/>
      <c r="BM1126" s="3038"/>
      <c r="BN1126" s="3038"/>
      <c r="BO1126" s="3038"/>
      <c r="BP1126" s="3038"/>
      <c r="BQ1126" s="3038"/>
      <c r="BR1126" s="3038"/>
      <c r="BS1126" s="3038"/>
      <c r="BT1126" s="3038"/>
      <c r="BU1126" s="3038"/>
    </row>
    <row r="1127" spans="3:73">
      <c r="C1127" s="3038"/>
      <c r="D1127" s="3038"/>
      <c r="E1127" s="3038"/>
      <c r="H1127" s="3038"/>
      <c r="I1127" s="3038"/>
      <c r="J1127" s="3038"/>
      <c r="K1127" s="3038"/>
      <c r="M1127" s="3038"/>
      <c r="N1127" s="3038"/>
      <c r="O1127" s="3038"/>
      <c r="P1127" s="3038"/>
      <c r="Q1127" s="3038"/>
      <c r="R1127" s="3038"/>
      <c r="S1127" s="3038"/>
      <c r="T1127" s="3038"/>
      <c r="W1127" s="3038"/>
      <c r="X1127" s="3038"/>
      <c r="Y1127" s="3038"/>
      <c r="Z1127" s="3038"/>
      <c r="AA1127" s="3113"/>
      <c r="AB1127" s="3038"/>
      <c r="AC1127" s="3038"/>
      <c r="AD1127" s="3038"/>
      <c r="AE1127" s="3132"/>
      <c r="AF1127" s="3038"/>
      <c r="AG1127" s="3038"/>
      <c r="AH1127" s="3038"/>
      <c r="AK1127" s="3038"/>
      <c r="AL1127" s="3038"/>
      <c r="AM1127" s="3038"/>
      <c r="AN1127" s="3038"/>
      <c r="AO1127" s="3038"/>
      <c r="AP1127" s="3038"/>
      <c r="AQ1127" s="3038"/>
      <c r="AR1127" s="3038"/>
      <c r="AS1127" s="3038"/>
      <c r="AT1127" s="3038"/>
      <c r="AU1127" s="3038"/>
      <c r="AV1127" s="3038"/>
      <c r="AW1127" s="3038"/>
      <c r="AX1127" s="3038"/>
      <c r="AY1127" s="3038"/>
      <c r="AZ1127" s="3038"/>
      <c r="BA1127" s="3038"/>
      <c r="BB1127" s="3038"/>
      <c r="BC1127" s="3038"/>
      <c r="BD1127" s="3038"/>
      <c r="BE1127" s="3038"/>
      <c r="BF1127" s="3038"/>
      <c r="BG1127" s="3038"/>
      <c r="BH1127" s="3038"/>
      <c r="BI1127" s="3038"/>
      <c r="BJ1127" s="3038"/>
      <c r="BK1127" s="3038"/>
      <c r="BL1127" s="3038"/>
      <c r="BM1127" s="3038"/>
      <c r="BN1127" s="3038"/>
      <c r="BO1127" s="3038"/>
      <c r="BP1127" s="3038"/>
      <c r="BQ1127" s="3038"/>
      <c r="BR1127" s="3038"/>
      <c r="BS1127" s="3038"/>
      <c r="BT1127" s="3038"/>
      <c r="BU1127" s="3038"/>
    </row>
    <row r="1128" spans="3:73">
      <c r="C1128" s="3038"/>
      <c r="D1128" s="3038"/>
      <c r="E1128" s="3038"/>
      <c r="H1128" s="3038"/>
      <c r="I1128" s="3038"/>
      <c r="J1128" s="3038"/>
      <c r="K1128" s="3038"/>
      <c r="M1128" s="3038"/>
      <c r="N1128" s="3038"/>
      <c r="O1128" s="3038"/>
      <c r="P1128" s="3038"/>
      <c r="Q1128" s="3038"/>
      <c r="R1128" s="3038"/>
      <c r="S1128" s="3038"/>
      <c r="T1128" s="3038"/>
      <c r="W1128" s="3038"/>
      <c r="X1128" s="3038"/>
      <c r="Y1128" s="3038"/>
      <c r="Z1128" s="3038"/>
      <c r="AA1128" s="3113"/>
      <c r="AB1128" s="3038"/>
      <c r="AC1128" s="3038"/>
      <c r="AD1128" s="3038"/>
      <c r="AE1128" s="3132"/>
      <c r="AF1128" s="3038"/>
      <c r="AG1128" s="3038"/>
      <c r="AH1128" s="3038"/>
      <c r="AK1128" s="3038"/>
      <c r="AL1128" s="3038"/>
      <c r="AM1128" s="3038"/>
      <c r="AN1128" s="3038"/>
      <c r="AO1128" s="3038"/>
      <c r="AP1128" s="3038"/>
      <c r="AQ1128" s="3038"/>
      <c r="AR1128" s="3038"/>
      <c r="AS1128" s="3038"/>
      <c r="AT1128" s="3038"/>
      <c r="AU1128" s="3038"/>
      <c r="AV1128" s="3038"/>
      <c r="AW1128" s="3038"/>
      <c r="AX1128" s="3038"/>
      <c r="AY1128" s="3038"/>
      <c r="AZ1128" s="3038"/>
      <c r="BA1128" s="3038"/>
      <c r="BB1128" s="3038"/>
      <c r="BC1128" s="3038"/>
      <c r="BD1128" s="3038"/>
      <c r="BE1128" s="3038"/>
      <c r="BF1128" s="3038"/>
      <c r="BG1128" s="3038"/>
      <c r="BH1128" s="3038"/>
      <c r="BI1128" s="3038"/>
      <c r="BJ1128" s="3038"/>
      <c r="BK1128" s="3038"/>
      <c r="BL1128" s="3038"/>
      <c r="BM1128" s="3038"/>
      <c r="BN1128" s="3038"/>
      <c r="BO1128" s="3038"/>
      <c r="BP1128" s="3038"/>
      <c r="BQ1128" s="3038"/>
      <c r="BR1128" s="3038"/>
      <c r="BS1128" s="3038"/>
      <c r="BT1128" s="3038"/>
      <c r="BU1128" s="3038"/>
    </row>
    <row r="1129" spans="3:73">
      <c r="C1129" s="3038"/>
      <c r="D1129" s="3038"/>
      <c r="E1129" s="3038"/>
      <c r="H1129" s="3038"/>
      <c r="I1129" s="3038"/>
      <c r="J1129" s="3038"/>
      <c r="K1129" s="3038"/>
      <c r="M1129" s="3038"/>
      <c r="N1129" s="3038"/>
      <c r="O1129" s="3038"/>
      <c r="P1129" s="3038"/>
      <c r="Q1129" s="3038"/>
      <c r="R1129" s="3038"/>
      <c r="S1129" s="3038"/>
      <c r="T1129" s="3038"/>
      <c r="W1129" s="3038"/>
      <c r="X1129" s="3038"/>
      <c r="Y1129" s="3038"/>
      <c r="Z1129" s="3038"/>
      <c r="AA1129" s="3113"/>
      <c r="AB1129" s="3038"/>
      <c r="AC1129" s="3038"/>
      <c r="AD1129" s="3038"/>
      <c r="AE1129" s="3132"/>
      <c r="AF1129" s="3038"/>
      <c r="AG1129" s="3038"/>
      <c r="AH1129" s="3038"/>
      <c r="AK1129" s="3038"/>
      <c r="AL1129" s="3038"/>
      <c r="AM1129" s="3038"/>
      <c r="AN1129" s="3038"/>
      <c r="AO1129" s="3038"/>
      <c r="AP1129" s="3038"/>
      <c r="AQ1129" s="3038"/>
      <c r="AR1129" s="3038"/>
      <c r="AS1129" s="3038"/>
      <c r="AT1129" s="3038"/>
      <c r="AU1129" s="3038"/>
      <c r="AV1129" s="3038"/>
      <c r="AW1129" s="3038"/>
      <c r="AX1129" s="3038"/>
      <c r="AY1129" s="3038"/>
      <c r="AZ1129" s="3038"/>
      <c r="BA1129" s="3038"/>
      <c r="BB1129" s="3038"/>
      <c r="BC1129" s="3038"/>
      <c r="BD1129" s="3038"/>
      <c r="BE1129" s="3038"/>
      <c r="BF1129" s="3038"/>
      <c r="BG1129" s="3038"/>
      <c r="BH1129" s="3038"/>
      <c r="BI1129" s="3038"/>
      <c r="BJ1129" s="3038"/>
      <c r="BK1129" s="3038"/>
      <c r="BL1129" s="3038"/>
      <c r="BM1129" s="3038"/>
      <c r="BN1129" s="3038"/>
      <c r="BO1129" s="3038"/>
      <c r="BP1129" s="3038"/>
      <c r="BQ1129" s="3038"/>
      <c r="BR1129" s="3038"/>
      <c r="BS1129" s="3038"/>
      <c r="BT1129" s="3038"/>
      <c r="BU1129" s="3038"/>
    </row>
    <row r="1130" spans="3:73">
      <c r="C1130" s="3038"/>
      <c r="D1130" s="3038"/>
      <c r="E1130" s="3038"/>
      <c r="H1130" s="3038"/>
      <c r="I1130" s="3038"/>
      <c r="J1130" s="3038"/>
      <c r="K1130" s="3038"/>
      <c r="M1130" s="3038"/>
      <c r="N1130" s="3038"/>
      <c r="O1130" s="3038"/>
      <c r="P1130" s="3038"/>
      <c r="Q1130" s="3038"/>
      <c r="R1130" s="3038"/>
      <c r="S1130" s="3038"/>
      <c r="T1130" s="3038"/>
      <c r="W1130" s="3038"/>
      <c r="X1130" s="3038"/>
      <c r="Y1130" s="3038"/>
      <c r="Z1130" s="3038"/>
      <c r="AA1130" s="3113"/>
      <c r="AB1130" s="3038"/>
      <c r="AC1130" s="3038"/>
      <c r="AD1130" s="3038"/>
      <c r="AE1130" s="3132"/>
      <c r="AF1130" s="3038"/>
      <c r="AG1130" s="3038"/>
      <c r="AH1130" s="3038"/>
      <c r="AK1130" s="3038"/>
      <c r="AL1130" s="3038"/>
      <c r="AM1130" s="3038"/>
      <c r="AN1130" s="3038"/>
      <c r="AO1130" s="3038"/>
      <c r="AP1130" s="3038"/>
      <c r="AQ1130" s="3038"/>
      <c r="AR1130" s="3038"/>
      <c r="AS1130" s="3038"/>
      <c r="AT1130" s="3038"/>
      <c r="AU1130" s="3038"/>
      <c r="AV1130" s="3038"/>
      <c r="AW1130" s="3038"/>
      <c r="AX1130" s="3038"/>
      <c r="AY1130" s="3038"/>
      <c r="AZ1130" s="3038"/>
      <c r="BA1130" s="3038"/>
      <c r="BB1130" s="3038"/>
      <c r="BC1130" s="3038"/>
      <c r="BD1130" s="3038"/>
      <c r="BE1130" s="3038"/>
      <c r="BF1130" s="3038"/>
      <c r="BG1130" s="3038"/>
      <c r="BH1130" s="3038"/>
      <c r="BI1130" s="3038"/>
      <c r="BJ1130" s="3038"/>
      <c r="BK1130" s="3038"/>
      <c r="BL1130" s="3038"/>
      <c r="BM1130" s="3038"/>
      <c r="BN1130" s="3038"/>
      <c r="BO1130" s="3038"/>
      <c r="BP1130" s="3038"/>
      <c r="BQ1130" s="3038"/>
      <c r="BR1130" s="3038"/>
      <c r="BS1130" s="3038"/>
      <c r="BT1130" s="3038"/>
      <c r="BU1130" s="3038"/>
    </row>
    <row r="1131" spans="3:73">
      <c r="C1131" s="3038"/>
      <c r="D1131" s="3038"/>
      <c r="E1131" s="3038"/>
      <c r="H1131" s="3038"/>
      <c r="I1131" s="3038"/>
      <c r="J1131" s="3038"/>
      <c r="K1131" s="3038"/>
      <c r="M1131" s="3038"/>
      <c r="N1131" s="3038"/>
      <c r="O1131" s="3038"/>
      <c r="P1131" s="3038"/>
      <c r="Q1131" s="3038"/>
      <c r="R1131" s="3038"/>
      <c r="S1131" s="3038"/>
      <c r="T1131" s="3038"/>
      <c r="W1131" s="3038"/>
      <c r="X1131" s="3038"/>
      <c r="Y1131" s="3038"/>
      <c r="Z1131" s="3038"/>
      <c r="AA1131" s="3113"/>
      <c r="AB1131" s="3038"/>
      <c r="AC1131" s="3038"/>
      <c r="AD1131" s="3038"/>
      <c r="AE1131" s="3132"/>
      <c r="AF1131" s="3038"/>
      <c r="AG1131" s="3038"/>
      <c r="AH1131" s="3038"/>
      <c r="AK1131" s="3038"/>
      <c r="AL1131" s="3038"/>
      <c r="AM1131" s="3038"/>
      <c r="AN1131" s="3038"/>
      <c r="AO1131" s="3038"/>
      <c r="AP1131" s="3038"/>
      <c r="AQ1131" s="3038"/>
      <c r="AR1131" s="3038"/>
      <c r="AS1131" s="3038"/>
      <c r="AT1131" s="3038"/>
      <c r="AU1131" s="3038"/>
      <c r="AV1131" s="3038"/>
      <c r="AW1131" s="3038"/>
      <c r="AX1131" s="3038"/>
      <c r="AY1131" s="3038"/>
      <c r="AZ1131" s="3038"/>
      <c r="BA1131" s="3038"/>
      <c r="BB1131" s="3038"/>
      <c r="BC1131" s="3038"/>
      <c r="BD1131" s="3038"/>
      <c r="BE1131" s="3038"/>
      <c r="BF1131" s="3038"/>
      <c r="BG1131" s="3038"/>
      <c r="BH1131" s="3038"/>
      <c r="BI1131" s="3038"/>
      <c r="BJ1131" s="3038"/>
      <c r="BK1131" s="3038"/>
      <c r="BL1131" s="3038"/>
      <c r="BM1131" s="3038"/>
      <c r="BN1131" s="3038"/>
      <c r="BO1131" s="3038"/>
      <c r="BP1131" s="3038"/>
      <c r="BQ1131" s="3038"/>
      <c r="BR1131" s="3038"/>
      <c r="BS1131" s="3038"/>
      <c r="BT1131" s="3038"/>
      <c r="BU1131" s="3038"/>
    </row>
    <row r="1132" spans="3:73">
      <c r="C1132" s="3038"/>
      <c r="D1132" s="3038"/>
      <c r="E1132" s="3038"/>
      <c r="H1132" s="3038"/>
      <c r="I1132" s="3038"/>
      <c r="J1132" s="3038"/>
      <c r="K1132" s="3038"/>
      <c r="M1132" s="3038"/>
      <c r="N1132" s="3038"/>
      <c r="O1132" s="3038"/>
      <c r="P1132" s="3038"/>
      <c r="Q1132" s="3038"/>
      <c r="R1132" s="3038"/>
      <c r="S1132" s="3038"/>
      <c r="T1132" s="3038"/>
      <c r="W1132" s="3038"/>
      <c r="X1132" s="3038"/>
      <c r="Y1132" s="3038"/>
      <c r="Z1132" s="3038"/>
      <c r="AA1132" s="3113"/>
      <c r="AB1132" s="3038"/>
      <c r="AC1132" s="3038"/>
      <c r="AD1132" s="3038"/>
      <c r="AE1132" s="3132"/>
      <c r="AF1132" s="3038"/>
      <c r="AG1132" s="3038"/>
      <c r="AH1132" s="3038"/>
      <c r="AK1132" s="3038"/>
      <c r="AL1132" s="3038"/>
      <c r="AM1132" s="3038"/>
      <c r="AN1132" s="3038"/>
      <c r="AO1132" s="3038"/>
      <c r="AP1132" s="3038"/>
      <c r="AQ1132" s="3038"/>
      <c r="AR1132" s="3038"/>
      <c r="AS1132" s="3038"/>
      <c r="AT1132" s="3038"/>
      <c r="AU1132" s="3038"/>
      <c r="AV1132" s="3038"/>
      <c r="AW1132" s="3038"/>
      <c r="AX1132" s="3038"/>
      <c r="AY1132" s="3038"/>
      <c r="AZ1132" s="3038"/>
      <c r="BA1132" s="3038"/>
      <c r="BB1132" s="3038"/>
      <c r="BC1132" s="3038"/>
      <c r="BD1132" s="3038"/>
      <c r="BE1132" s="3038"/>
      <c r="BF1132" s="3038"/>
      <c r="BG1132" s="3038"/>
      <c r="BH1132" s="3038"/>
      <c r="BI1132" s="3038"/>
      <c r="BJ1132" s="3038"/>
      <c r="BK1132" s="3038"/>
      <c r="BL1132" s="3038"/>
      <c r="BM1132" s="3038"/>
      <c r="BN1132" s="3038"/>
      <c r="BO1132" s="3038"/>
      <c r="BP1132" s="3038"/>
      <c r="BQ1132" s="3038"/>
      <c r="BR1132" s="3038"/>
      <c r="BS1132" s="3038"/>
      <c r="BT1132" s="3038"/>
      <c r="BU1132" s="3038"/>
    </row>
    <row r="1133" spans="3:73">
      <c r="C1133" s="3038"/>
      <c r="D1133" s="3038"/>
      <c r="E1133" s="3038"/>
      <c r="H1133" s="3038"/>
      <c r="I1133" s="3038"/>
      <c r="J1133" s="3038"/>
      <c r="K1133" s="3038"/>
      <c r="M1133" s="3038"/>
      <c r="N1133" s="3038"/>
      <c r="O1133" s="3038"/>
      <c r="P1133" s="3038"/>
      <c r="Q1133" s="3038"/>
      <c r="R1133" s="3038"/>
      <c r="S1133" s="3038"/>
      <c r="T1133" s="3038"/>
      <c r="W1133" s="3038"/>
      <c r="X1133" s="3038"/>
      <c r="Y1133" s="3038"/>
      <c r="Z1133" s="3038"/>
      <c r="AA1133" s="3113"/>
      <c r="AB1133" s="3038"/>
      <c r="AC1133" s="3038"/>
      <c r="AD1133" s="3038"/>
      <c r="AE1133" s="3132"/>
      <c r="AF1133" s="3038"/>
      <c r="AG1133" s="3038"/>
      <c r="AH1133" s="3038"/>
      <c r="AK1133" s="3038"/>
      <c r="AL1133" s="3038"/>
      <c r="AM1133" s="3038"/>
      <c r="AN1133" s="3038"/>
      <c r="AO1133" s="3038"/>
      <c r="AP1133" s="3038"/>
      <c r="AQ1133" s="3038"/>
      <c r="AR1133" s="3038"/>
      <c r="AS1133" s="3038"/>
      <c r="AT1133" s="3038"/>
      <c r="AU1133" s="3038"/>
      <c r="AV1133" s="3038"/>
      <c r="AW1133" s="3038"/>
      <c r="AX1133" s="3038"/>
      <c r="AY1133" s="3038"/>
      <c r="AZ1133" s="3038"/>
      <c r="BA1133" s="3038"/>
      <c r="BB1133" s="3038"/>
      <c r="BC1133" s="3038"/>
      <c r="BD1133" s="3038"/>
      <c r="BE1133" s="3038"/>
      <c r="BF1133" s="3038"/>
      <c r="BG1133" s="3038"/>
      <c r="BH1133" s="3038"/>
      <c r="BI1133" s="3038"/>
      <c r="BJ1133" s="3038"/>
      <c r="BK1133" s="3038"/>
      <c r="BL1133" s="3038"/>
      <c r="BM1133" s="3038"/>
      <c r="BN1133" s="3038"/>
      <c r="BO1133" s="3038"/>
      <c r="BP1133" s="3038"/>
      <c r="BQ1133" s="3038"/>
      <c r="BR1133" s="3038"/>
      <c r="BS1133" s="3038"/>
      <c r="BT1133" s="3038"/>
      <c r="BU1133" s="3038"/>
    </row>
    <row r="1134" spans="3:73">
      <c r="C1134" s="3038"/>
      <c r="D1134" s="3038"/>
      <c r="E1134" s="3038"/>
      <c r="H1134" s="3038"/>
      <c r="I1134" s="3038"/>
      <c r="J1134" s="3038"/>
      <c r="K1134" s="3038"/>
      <c r="M1134" s="3038"/>
      <c r="N1134" s="3038"/>
      <c r="O1134" s="3038"/>
      <c r="P1134" s="3038"/>
      <c r="Q1134" s="3038"/>
      <c r="R1134" s="3038"/>
      <c r="S1134" s="3038"/>
      <c r="T1134" s="3038"/>
      <c r="W1134" s="3038"/>
      <c r="X1134" s="3038"/>
      <c r="Y1134" s="3038"/>
      <c r="Z1134" s="3038"/>
      <c r="AA1134" s="3113"/>
      <c r="AB1134" s="3038"/>
      <c r="AC1134" s="3038"/>
      <c r="AD1134" s="3038"/>
      <c r="AE1134" s="3132"/>
      <c r="AF1134" s="3038"/>
      <c r="AG1134" s="3038"/>
      <c r="AH1134" s="3038"/>
      <c r="AK1134" s="3038"/>
      <c r="AL1134" s="3038"/>
      <c r="AM1134" s="3038"/>
      <c r="AN1134" s="3038"/>
      <c r="AO1134" s="3038"/>
      <c r="AP1134" s="3038"/>
      <c r="AQ1134" s="3038"/>
      <c r="AR1134" s="3038"/>
      <c r="AS1134" s="3038"/>
      <c r="AT1134" s="3038"/>
      <c r="AU1134" s="3038"/>
      <c r="AV1134" s="3038"/>
      <c r="AW1134" s="3038"/>
      <c r="AX1134" s="3038"/>
      <c r="AY1134" s="3038"/>
      <c r="AZ1134" s="3038"/>
      <c r="BA1134" s="3038"/>
      <c r="BB1134" s="3038"/>
      <c r="BC1134" s="3038"/>
      <c r="BD1134" s="3038"/>
      <c r="BE1134" s="3038"/>
      <c r="BF1134" s="3038"/>
      <c r="BG1134" s="3038"/>
      <c r="BH1134" s="3038"/>
      <c r="BI1134" s="3038"/>
      <c r="BJ1134" s="3038"/>
      <c r="BK1134" s="3038"/>
      <c r="BL1134" s="3038"/>
      <c r="BM1134" s="3038"/>
      <c r="BN1134" s="3038"/>
      <c r="BO1134" s="3038"/>
      <c r="BP1134" s="3038"/>
      <c r="BQ1134" s="3038"/>
      <c r="BR1134" s="3038"/>
      <c r="BS1134" s="3038"/>
      <c r="BT1134" s="3038"/>
      <c r="BU1134" s="3038"/>
    </row>
    <row r="1135" spans="3:73">
      <c r="C1135" s="3038"/>
      <c r="D1135" s="3038"/>
      <c r="E1135" s="3038"/>
      <c r="H1135" s="3038"/>
      <c r="I1135" s="3038"/>
      <c r="J1135" s="3038"/>
      <c r="K1135" s="3038"/>
      <c r="M1135" s="3038"/>
      <c r="N1135" s="3038"/>
      <c r="O1135" s="3038"/>
      <c r="P1135" s="3038"/>
      <c r="Q1135" s="3038"/>
      <c r="R1135" s="3038"/>
      <c r="S1135" s="3038"/>
      <c r="T1135" s="3038"/>
      <c r="W1135" s="3038"/>
      <c r="X1135" s="3038"/>
      <c r="Y1135" s="3038"/>
      <c r="Z1135" s="3038"/>
      <c r="AA1135" s="3113"/>
      <c r="AB1135" s="3038"/>
      <c r="AC1135" s="3038"/>
      <c r="AD1135" s="3038"/>
      <c r="AE1135" s="3132"/>
      <c r="AF1135" s="3038"/>
      <c r="AG1135" s="3038"/>
      <c r="AH1135" s="3038"/>
      <c r="AK1135" s="3038"/>
      <c r="AL1135" s="3038"/>
      <c r="AM1135" s="3038"/>
      <c r="AN1135" s="3038"/>
      <c r="AO1135" s="3038"/>
      <c r="AP1135" s="3038"/>
      <c r="AQ1135" s="3038"/>
      <c r="AR1135" s="3038"/>
      <c r="AS1135" s="3038"/>
      <c r="AT1135" s="3038"/>
      <c r="AU1135" s="3038"/>
      <c r="AV1135" s="3038"/>
      <c r="AW1135" s="3038"/>
      <c r="AX1135" s="3038"/>
      <c r="AY1135" s="3038"/>
      <c r="AZ1135" s="3038"/>
      <c r="BA1135" s="3038"/>
      <c r="BB1135" s="3038"/>
      <c r="BC1135" s="3038"/>
      <c r="BD1135" s="3038"/>
      <c r="BE1135" s="3038"/>
      <c r="BF1135" s="3038"/>
      <c r="BG1135" s="3038"/>
      <c r="BH1135" s="3038"/>
      <c r="BI1135" s="3038"/>
      <c r="BJ1135" s="3038"/>
      <c r="BK1135" s="3038"/>
      <c r="BL1135" s="3038"/>
      <c r="BM1135" s="3038"/>
      <c r="BN1135" s="3038"/>
      <c r="BO1135" s="3038"/>
      <c r="BP1135" s="3038"/>
      <c r="BQ1135" s="3038"/>
      <c r="BR1135" s="3038"/>
      <c r="BS1135" s="3038"/>
      <c r="BT1135" s="3038"/>
      <c r="BU1135" s="3038"/>
    </row>
    <row r="1136" spans="3:73">
      <c r="C1136" s="3038"/>
      <c r="D1136" s="3038"/>
      <c r="E1136" s="3038"/>
      <c r="H1136" s="3038"/>
      <c r="I1136" s="3038"/>
      <c r="J1136" s="3038"/>
      <c r="K1136" s="3038"/>
      <c r="M1136" s="3038"/>
      <c r="N1136" s="3038"/>
      <c r="O1136" s="3038"/>
      <c r="P1136" s="3038"/>
      <c r="Q1136" s="3038"/>
      <c r="R1136" s="3038"/>
      <c r="S1136" s="3038"/>
      <c r="T1136" s="3038"/>
      <c r="W1136" s="3038"/>
      <c r="X1136" s="3038"/>
      <c r="Y1136" s="3038"/>
      <c r="Z1136" s="3038"/>
      <c r="AA1136" s="3113"/>
      <c r="AB1136" s="3038"/>
      <c r="AC1136" s="3038"/>
      <c r="AD1136" s="3038"/>
      <c r="AE1136" s="3132"/>
      <c r="AF1136" s="3038"/>
      <c r="AG1136" s="3038"/>
      <c r="AH1136" s="3038"/>
      <c r="AK1136" s="3038"/>
      <c r="AL1136" s="3038"/>
      <c r="AM1136" s="3038"/>
      <c r="AN1136" s="3038"/>
      <c r="AO1136" s="3038"/>
      <c r="AP1136" s="3038"/>
      <c r="AQ1136" s="3038"/>
      <c r="AR1136" s="3038"/>
      <c r="AS1136" s="3038"/>
      <c r="AT1136" s="3038"/>
      <c r="AU1136" s="3038"/>
      <c r="AV1136" s="3038"/>
      <c r="AW1136" s="3038"/>
      <c r="AX1136" s="3038"/>
      <c r="AY1136" s="3038"/>
      <c r="AZ1136" s="3038"/>
      <c r="BA1136" s="3038"/>
      <c r="BB1136" s="3038"/>
      <c r="BC1136" s="3038"/>
      <c r="BD1136" s="3038"/>
      <c r="BE1136" s="3038"/>
      <c r="BF1136" s="3038"/>
      <c r="BG1136" s="3038"/>
      <c r="BH1136" s="3038"/>
      <c r="BI1136" s="3038"/>
      <c r="BJ1136" s="3038"/>
      <c r="BK1136" s="3038"/>
      <c r="BL1136" s="3038"/>
      <c r="BM1136" s="3038"/>
      <c r="BN1136" s="3038"/>
      <c r="BO1136" s="3038"/>
      <c r="BP1136" s="3038"/>
      <c r="BQ1136" s="3038"/>
      <c r="BR1136" s="3038"/>
      <c r="BS1136" s="3038"/>
      <c r="BT1136" s="3038"/>
      <c r="BU1136" s="3038"/>
    </row>
    <row r="1137" spans="3:73">
      <c r="C1137" s="3038"/>
      <c r="D1137" s="3038"/>
      <c r="E1137" s="3038"/>
      <c r="H1137" s="3038"/>
      <c r="I1137" s="3038"/>
      <c r="J1137" s="3038"/>
      <c r="K1137" s="3038"/>
      <c r="M1137" s="3038"/>
      <c r="N1137" s="3038"/>
      <c r="O1137" s="3038"/>
      <c r="P1137" s="3038"/>
      <c r="Q1137" s="3038"/>
      <c r="R1137" s="3038"/>
      <c r="S1137" s="3038"/>
      <c r="T1137" s="3038"/>
      <c r="W1137" s="3038"/>
      <c r="X1137" s="3038"/>
      <c r="Y1137" s="3038"/>
      <c r="Z1137" s="3038"/>
      <c r="AA1137" s="3113"/>
      <c r="AB1137" s="3038"/>
      <c r="AC1137" s="3038"/>
      <c r="AD1137" s="3038"/>
      <c r="AE1137" s="3132"/>
      <c r="AF1137" s="3038"/>
      <c r="AG1137" s="3038"/>
      <c r="AH1137" s="3038"/>
      <c r="AK1137" s="3038"/>
      <c r="AL1137" s="3038"/>
      <c r="AM1137" s="3038"/>
      <c r="AN1137" s="3038"/>
      <c r="AO1137" s="3038"/>
      <c r="AP1137" s="3038"/>
      <c r="AQ1137" s="3038"/>
      <c r="AR1137" s="3038"/>
      <c r="AS1137" s="3038"/>
      <c r="AT1137" s="3038"/>
      <c r="AU1137" s="3038"/>
      <c r="AV1137" s="3038"/>
      <c r="AW1137" s="3038"/>
      <c r="AX1137" s="3038"/>
      <c r="AY1137" s="3038"/>
      <c r="AZ1137" s="3038"/>
      <c r="BA1137" s="3038"/>
      <c r="BB1137" s="3038"/>
      <c r="BC1137" s="3038"/>
      <c r="BD1137" s="3038"/>
      <c r="BE1137" s="3038"/>
      <c r="BF1137" s="3038"/>
      <c r="BG1137" s="3038"/>
      <c r="BH1137" s="3038"/>
      <c r="BI1137" s="3038"/>
      <c r="BJ1137" s="3038"/>
      <c r="BK1137" s="3038"/>
      <c r="BL1137" s="3038"/>
      <c r="BM1137" s="3038"/>
      <c r="BN1137" s="3038"/>
      <c r="BO1137" s="3038"/>
      <c r="BP1137" s="3038"/>
      <c r="BQ1137" s="3038"/>
      <c r="BR1137" s="3038"/>
      <c r="BS1137" s="3038"/>
      <c r="BT1137" s="3038"/>
      <c r="BU1137" s="3038"/>
    </row>
    <row r="1138" spans="3:73">
      <c r="C1138" s="3038"/>
      <c r="D1138" s="3038"/>
      <c r="E1138" s="3038"/>
      <c r="H1138" s="3038"/>
      <c r="I1138" s="3038"/>
      <c r="J1138" s="3038"/>
      <c r="K1138" s="3038"/>
      <c r="M1138" s="3038"/>
      <c r="N1138" s="3038"/>
      <c r="O1138" s="3038"/>
      <c r="P1138" s="3038"/>
      <c r="Q1138" s="3038"/>
      <c r="R1138" s="3038"/>
      <c r="S1138" s="3038"/>
      <c r="T1138" s="3038"/>
      <c r="W1138" s="3038"/>
      <c r="X1138" s="3038"/>
      <c r="Y1138" s="3038"/>
      <c r="Z1138" s="3038"/>
      <c r="AA1138" s="3113"/>
      <c r="AB1138" s="3038"/>
      <c r="AC1138" s="3038"/>
      <c r="AD1138" s="3038"/>
      <c r="AE1138" s="3132"/>
      <c r="AF1138" s="3038"/>
      <c r="AG1138" s="3038"/>
      <c r="AH1138" s="3038"/>
      <c r="AK1138" s="3038"/>
      <c r="AL1138" s="3038"/>
      <c r="AM1138" s="3038"/>
      <c r="AN1138" s="3038"/>
      <c r="AO1138" s="3038"/>
      <c r="AP1138" s="3038"/>
      <c r="AQ1138" s="3038"/>
      <c r="AR1138" s="3038"/>
      <c r="AS1138" s="3038"/>
      <c r="AT1138" s="3038"/>
      <c r="AU1138" s="3038"/>
      <c r="AV1138" s="3038"/>
      <c r="AW1138" s="3038"/>
      <c r="AX1138" s="3038"/>
      <c r="AY1138" s="3038"/>
      <c r="AZ1138" s="3038"/>
      <c r="BA1138" s="3038"/>
      <c r="BB1138" s="3038"/>
      <c r="BC1138" s="3038"/>
      <c r="BD1138" s="3038"/>
      <c r="BE1138" s="3038"/>
      <c r="BF1138" s="3038"/>
      <c r="BG1138" s="3038"/>
      <c r="BH1138" s="3038"/>
      <c r="BI1138" s="3038"/>
      <c r="BJ1138" s="3038"/>
      <c r="BK1138" s="3038"/>
      <c r="BL1138" s="3038"/>
      <c r="BM1138" s="3038"/>
      <c r="BN1138" s="3038"/>
      <c r="BO1138" s="3038"/>
      <c r="BP1138" s="3038"/>
      <c r="BQ1138" s="3038"/>
      <c r="BR1138" s="3038"/>
      <c r="BS1138" s="3038"/>
      <c r="BT1138" s="3038"/>
      <c r="BU1138" s="3038"/>
    </row>
    <row r="1139" spans="3:73">
      <c r="C1139" s="3038"/>
      <c r="D1139" s="3038"/>
      <c r="E1139" s="3038"/>
      <c r="H1139" s="3038"/>
      <c r="I1139" s="3038"/>
      <c r="J1139" s="3038"/>
      <c r="K1139" s="3038"/>
      <c r="M1139" s="3038"/>
      <c r="N1139" s="3038"/>
      <c r="O1139" s="3038"/>
      <c r="P1139" s="3038"/>
      <c r="Q1139" s="3038"/>
      <c r="R1139" s="3038"/>
      <c r="S1139" s="3038"/>
      <c r="T1139" s="3038"/>
      <c r="W1139" s="3038"/>
      <c r="X1139" s="3038"/>
      <c r="Y1139" s="3038"/>
      <c r="Z1139" s="3038"/>
      <c r="AA1139" s="3113"/>
      <c r="AB1139" s="3038"/>
      <c r="AC1139" s="3038"/>
      <c r="AD1139" s="3038"/>
      <c r="AE1139" s="3132"/>
      <c r="AF1139" s="3038"/>
      <c r="AG1139" s="3038"/>
      <c r="AH1139" s="3038"/>
      <c r="AK1139" s="3038"/>
      <c r="AL1139" s="3038"/>
      <c r="AM1139" s="3038"/>
      <c r="AN1139" s="3038"/>
      <c r="AO1139" s="3038"/>
      <c r="AP1139" s="3038"/>
      <c r="AQ1139" s="3038"/>
      <c r="AR1139" s="3038"/>
      <c r="AS1139" s="3038"/>
      <c r="AT1139" s="3038"/>
      <c r="AU1139" s="3038"/>
      <c r="AV1139" s="3038"/>
      <c r="AW1139" s="3038"/>
      <c r="AX1139" s="3038"/>
      <c r="AY1139" s="3038"/>
      <c r="AZ1139" s="3038"/>
      <c r="BA1139" s="3038"/>
      <c r="BB1139" s="3038"/>
      <c r="BC1139" s="3038"/>
      <c r="BD1139" s="3038"/>
      <c r="BE1139" s="3038"/>
      <c r="BF1139" s="3038"/>
      <c r="BG1139" s="3038"/>
      <c r="BH1139" s="3038"/>
      <c r="BI1139" s="3038"/>
      <c r="BJ1139" s="3038"/>
      <c r="BK1139" s="3038"/>
      <c r="BL1139" s="3038"/>
      <c r="BM1139" s="3038"/>
      <c r="BN1139" s="3038"/>
      <c r="BO1139" s="3038"/>
      <c r="BP1139" s="3038"/>
      <c r="BQ1139" s="3038"/>
      <c r="BR1139" s="3038"/>
      <c r="BS1139" s="3038"/>
      <c r="BT1139" s="3038"/>
      <c r="BU1139" s="3038"/>
    </row>
    <row r="1140" spans="3:73">
      <c r="C1140" s="3038"/>
      <c r="D1140" s="3038"/>
      <c r="E1140" s="3038"/>
      <c r="H1140" s="3038"/>
      <c r="I1140" s="3038"/>
      <c r="J1140" s="3038"/>
      <c r="K1140" s="3038"/>
      <c r="M1140" s="3038"/>
      <c r="N1140" s="3038"/>
      <c r="O1140" s="3038"/>
      <c r="P1140" s="3038"/>
      <c r="Q1140" s="3038"/>
      <c r="R1140" s="3038"/>
      <c r="S1140" s="3038"/>
      <c r="T1140" s="3038"/>
      <c r="W1140" s="3038"/>
      <c r="X1140" s="3038"/>
      <c r="Y1140" s="3038"/>
      <c r="Z1140" s="3038"/>
      <c r="AA1140" s="3113"/>
      <c r="AB1140" s="3038"/>
      <c r="AC1140" s="3038"/>
      <c r="AD1140" s="3038"/>
      <c r="AE1140" s="3132"/>
      <c r="AF1140" s="3038"/>
      <c r="AG1140" s="3038"/>
      <c r="AH1140" s="3038"/>
      <c r="AK1140" s="3038"/>
      <c r="AL1140" s="3038"/>
      <c r="AM1140" s="3038"/>
      <c r="AN1140" s="3038"/>
      <c r="AO1140" s="3038"/>
      <c r="AP1140" s="3038"/>
      <c r="AQ1140" s="3038"/>
      <c r="AR1140" s="3038"/>
      <c r="AS1140" s="3038"/>
      <c r="AT1140" s="3038"/>
      <c r="AU1140" s="3038"/>
      <c r="AV1140" s="3038"/>
      <c r="AW1140" s="3038"/>
      <c r="AX1140" s="3038"/>
      <c r="AY1140" s="3038"/>
      <c r="AZ1140" s="3038"/>
      <c r="BA1140" s="3038"/>
      <c r="BB1140" s="3038"/>
      <c r="BC1140" s="3038"/>
      <c r="BD1140" s="3038"/>
      <c r="BE1140" s="3038"/>
      <c r="BF1140" s="3038"/>
      <c r="BG1140" s="3038"/>
      <c r="BH1140" s="3038"/>
      <c r="BI1140" s="3038"/>
      <c r="BJ1140" s="3038"/>
      <c r="BK1140" s="3038"/>
      <c r="BL1140" s="3038"/>
      <c r="BM1140" s="3038"/>
      <c r="BN1140" s="3038"/>
      <c r="BO1140" s="3038"/>
      <c r="BP1140" s="3038"/>
      <c r="BQ1140" s="3038"/>
      <c r="BR1140" s="3038"/>
      <c r="BS1140" s="3038"/>
      <c r="BT1140" s="3038"/>
      <c r="BU1140" s="3038"/>
    </row>
    <row r="1141" spans="3:73">
      <c r="C1141" s="3038"/>
      <c r="D1141" s="3038"/>
      <c r="E1141" s="3038"/>
      <c r="H1141" s="3038"/>
      <c r="I1141" s="3038"/>
      <c r="J1141" s="3038"/>
      <c r="K1141" s="3038"/>
      <c r="M1141" s="3038"/>
      <c r="N1141" s="3038"/>
      <c r="O1141" s="3038"/>
      <c r="P1141" s="3038"/>
      <c r="Q1141" s="3038"/>
      <c r="R1141" s="3038"/>
      <c r="S1141" s="3038"/>
      <c r="T1141" s="3038"/>
      <c r="W1141" s="3038"/>
      <c r="X1141" s="3038"/>
      <c r="Y1141" s="3038"/>
      <c r="Z1141" s="3038"/>
      <c r="AA1141" s="3113"/>
      <c r="AB1141" s="3038"/>
      <c r="AC1141" s="3038"/>
      <c r="AD1141" s="3038"/>
      <c r="AE1141" s="3132"/>
      <c r="AF1141" s="3038"/>
      <c r="AG1141" s="3038"/>
      <c r="AH1141" s="3038"/>
      <c r="AK1141" s="3038"/>
      <c r="AL1141" s="3038"/>
      <c r="AM1141" s="3038"/>
      <c r="AN1141" s="3038"/>
      <c r="AO1141" s="3038"/>
      <c r="AP1141" s="3038"/>
      <c r="AQ1141" s="3038"/>
      <c r="AR1141" s="3038"/>
      <c r="AS1141" s="3038"/>
      <c r="AT1141" s="3038"/>
      <c r="AU1141" s="3038"/>
      <c r="AV1141" s="3038"/>
      <c r="AW1141" s="3038"/>
      <c r="AX1141" s="3038"/>
      <c r="AY1141" s="3038"/>
      <c r="AZ1141" s="3038"/>
      <c r="BA1141" s="3038"/>
      <c r="BB1141" s="3038"/>
      <c r="BC1141" s="3038"/>
      <c r="BD1141" s="3038"/>
      <c r="BE1141" s="3038"/>
      <c r="BF1141" s="3038"/>
      <c r="BG1141" s="3038"/>
      <c r="BH1141" s="3038"/>
      <c r="BI1141" s="3038"/>
      <c r="BJ1141" s="3038"/>
      <c r="BK1141" s="3038"/>
      <c r="BL1141" s="3038"/>
      <c r="BM1141" s="3038"/>
      <c r="BN1141" s="3038"/>
      <c r="BO1141" s="3038"/>
      <c r="BP1141" s="3038"/>
      <c r="BQ1141" s="3038"/>
      <c r="BR1141" s="3038"/>
      <c r="BS1141" s="3038"/>
      <c r="BT1141" s="3038"/>
      <c r="BU1141" s="3038"/>
    </row>
    <row r="1142" spans="3:73">
      <c r="C1142" s="3038"/>
      <c r="D1142" s="3038"/>
      <c r="E1142" s="3038"/>
      <c r="H1142" s="3038"/>
      <c r="I1142" s="3038"/>
      <c r="J1142" s="3038"/>
      <c r="K1142" s="3038"/>
      <c r="M1142" s="3038"/>
      <c r="N1142" s="3038"/>
      <c r="O1142" s="3038"/>
      <c r="P1142" s="3038"/>
      <c r="Q1142" s="3038"/>
      <c r="R1142" s="3038"/>
      <c r="S1142" s="3038"/>
      <c r="T1142" s="3038"/>
      <c r="W1142" s="3038"/>
      <c r="X1142" s="3038"/>
      <c r="Y1142" s="3038"/>
      <c r="Z1142" s="3038"/>
      <c r="AA1142" s="3113"/>
      <c r="AB1142" s="3038"/>
      <c r="AC1142" s="3038"/>
      <c r="AD1142" s="3038"/>
      <c r="AE1142" s="3132"/>
      <c r="AF1142" s="3038"/>
      <c r="AG1142" s="3038"/>
      <c r="AH1142" s="3038"/>
      <c r="AK1142" s="3038"/>
      <c r="AL1142" s="3038"/>
      <c r="AM1142" s="3038"/>
      <c r="AN1142" s="3038"/>
      <c r="AO1142" s="3038"/>
      <c r="AP1142" s="3038"/>
      <c r="AQ1142" s="3038"/>
      <c r="AR1142" s="3038"/>
      <c r="AS1142" s="3038"/>
      <c r="AT1142" s="3038"/>
      <c r="AU1142" s="3038"/>
      <c r="AV1142" s="3038"/>
      <c r="AW1142" s="3038"/>
      <c r="AX1142" s="3038"/>
      <c r="AY1142" s="3038"/>
      <c r="AZ1142" s="3038"/>
      <c r="BA1142" s="3038"/>
      <c r="BB1142" s="3038"/>
      <c r="BC1142" s="3038"/>
      <c r="BD1142" s="3038"/>
      <c r="BE1142" s="3038"/>
      <c r="BF1142" s="3038"/>
      <c r="BG1142" s="3038"/>
      <c r="BH1142" s="3038"/>
      <c r="BI1142" s="3038"/>
      <c r="BJ1142" s="3038"/>
      <c r="BK1142" s="3038"/>
      <c r="BL1142" s="3038"/>
      <c r="BM1142" s="3038"/>
      <c r="BN1142" s="3038"/>
      <c r="BO1142" s="3038"/>
      <c r="BP1142" s="3038"/>
      <c r="BQ1142" s="3038"/>
      <c r="BR1142" s="3038"/>
      <c r="BS1142" s="3038"/>
      <c r="BT1142" s="3038"/>
      <c r="BU1142" s="3038"/>
    </row>
    <row r="1143" spans="3:73">
      <c r="C1143" s="3038"/>
      <c r="D1143" s="3038"/>
      <c r="E1143" s="3038"/>
      <c r="H1143" s="3038"/>
      <c r="I1143" s="3038"/>
      <c r="J1143" s="3038"/>
      <c r="K1143" s="3038"/>
      <c r="M1143" s="3038"/>
      <c r="N1143" s="3038"/>
      <c r="O1143" s="3038"/>
      <c r="P1143" s="3038"/>
      <c r="Q1143" s="3038"/>
      <c r="R1143" s="3038"/>
      <c r="S1143" s="3038"/>
      <c r="T1143" s="3038"/>
      <c r="W1143" s="3038"/>
      <c r="X1143" s="3038"/>
      <c r="Y1143" s="3038"/>
      <c r="Z1143" s="3038"/>
      <c r="AA1143" s="3113"/>
      <c r="AB1143" s="3038"/>
      <c r="AC1143" s="3038"/>
      <c r="AD1143" s="3038"/>
      <c r="AE1143" s="3132"/>
      <c r="AF1143" s="3038"/>
      <c r="AG1143" s="3038"/>
      <c r="AH1143" s="3038"/>
      <c r="AK1143" s="3038"/>
      <c r="AL1143" s="3038"/>
      <c r="AM1143" s="3038"/>
      <c r="AN1143" s="3038"/>
      <c r="AO1143" s="3038"/>
      <c r="AP1143" s="3038"/>
      <c r="AQ1143" s="3038"/>
      <c r="AR1143" s="3038"/>
      <c r="AS1143" s="3038"/>
      <c r="AT1143" s="3038"/>
      <c r="AU1143" s="3038"/>
      <c r="AV1143" s="3038"/>
      <c r="AW1143" s="3038"/>
      <c r="AX1143" s="3038"/>
      <c r="AY1143" s="3038"/>
      <c r="AZ1143" s="3038"/>
      <c r="BA1143" s="3038"/>
      <c r="BB1143" s="3038"/>
      <c r="BC1143" s="3038"/>
      <c r="BD1143" s="3038"/>
      <c r="BE1143" s="3038"/>
      <c r="BF1143" s="3038"/>
      <c r="BG1143" s="3038"/>
      <c r="BH1143" s="3038"/>
      <c r="BI1143" s="3038"/>
      <c r="BJ1143" s="3038"/>
      <c r="BK1143" s="3038"/>
      <c r="BL1143" s="3038"/>
      <c r="BM1143" s="3038"/>
      <c r="BN1143" s="3038"/>
      <c r="BO1143" s="3038"/>
      <c r="BP1143" s="3038"/>
      <c r="BQ1143" s="3038"/>
      <c r="BR1143" s="3038"/>
      <c r="BS1143" s="3038"/>
      <c r="BT1143" s="3038"/>
      <c r="BU1143" s="3038"/>
    </row>
    <row r="1144" spans="3:73">
      <c r="C1144" s="3038"/>
      <c r="D1144" s="3038"/>
      <c r="E1144" s="3038"/>
      <c r="H1144" s="3038"/>
      <c r="I1144" s="3038"/>
      <c r="J1144" s="3038"/>
      <c r="K1144" s="3038"/>
      <c r="M1144" s="3038"/>
      <c r="N1144" s="3038"/>
      <c r="O1144" s="3038"/>
      <c r="P1144" s="3038"/>
      <c r="Q1144" s="3038"/>
      <c r="R1144" s="3038"/>
      <c r="S1144" s="3038"/>
      <c r="T1144" s="3038"/>
      <c r="W1144" s="3038"/>
      <c r="X1144" s="3038"/>
      <c r="Y1144" s="3038"/>
      <c r="Z1144" s="3038"/>
      <c r="AA1144" s="3113"/>
      <c r="AB1144" s="3038"/>
      <c r="AC1144" s="3038"/>
      <c r="AD1144" s="3038"/>
      <c r="AE1144" s="3132"/>
      <c r="AF1144" s="3038"/>
      <c r="AG1144" s="3038"/>
      <c r="AH1144" s="3038"/>
      <c r="AK1144" s="3038"/>
      <c r="AL1144" s="3038"/>
      <c r="AM1144" s="3038"/>
      <c r="AN1144" s="3038"/>
      <c r="AO1144" s="3038"/>
      <c r="AP1144" s="3038"/>
      <c r="AQ1144" s="3038"/>
      <c r="AR1144" s="3038"/>
      <c r="AS1144" s="3038"/>
      <c r="AT1144" s="3038"/>
      <c r="AU1144" s="3038"/>
      <c r="AV1144" s="3038"/>
      <c r="AW1144" s="3038"/>
      <c r="AX1144" s="3038"/>
      <c r="AY1144" s="3038"/>
      <c r="AZ1144" s="3038"/>
      <c r="BA1144" s="3038"/>
      <c r="BB1144" s="3038"/>
      <c r="BC1144" s="3038"/>
      <c r="BD1144" s="3038"/>
      <c r="BE1144" s="3038"/>
      <c r="BF1144" s="3038"/>
      <c r="BG1144" s="3038"/>
      <c r="BH1144" s="3038"/>
      <c r="BI1144" s="3038"/>
      <c r="BJ1144" s="3038"/>
      <c r="BK1144" s="3038"/>
      <c r="BL1144" s="3038"/>
      <c r="BM1144" s="3038"/>
      <c r="BN1144" s="3038"/>
      <c r="BO1144" s="3038"/>
      <c r="BP1144" s="3038"/>
      <c r="BQ1144" s="3038"/>
      <c r="BR1144" s="3038"/>
      <c r="BS1144" s="3038"/>
      <c r="BT1144" s="3038"/>
      <c r="BU1144" s="3038"/>
    </row>
    <row r="1145" spans="3:73">
      <c r="C1145" s="3038"/>
      <c r="D1145" s="3038"/>
      <c r="E1145" s="3038"/>
      <c r="H1145" s="3038"/>
      <c r="I1145" s="3038"/>
      <c r="J1145" s="3038"/>
      <c r="K1145" s="3038"/>
      <c r="M1145" s="3038"/>
      <c r="N1145" s="3038"/>
      <c r="O1145" s="3038"/>
      <c r="P1145" s="3038"/>
      <c r="Q1145" s="3038"/>
      <c r="R1145" s="3038"/>
      <c r="S1145" s="3038"/>
      <c r="T1145" s="3038"/>
      <c r="W1145" s="3038"/>
      <c r="X1145" s="3038"/>
      <c r="Y1145" s="3038"/>
      <c r="Z1145" s="3038"/>
      <c r="AA1145" s="3113"/>
      <c r="AB1145" s="3038"/>
      <c r="AC1145" s="3038"/>
      <c r="AD1145" s="3038"/>
      <c r="AE1145" s="3132"/>
      <c r="AF1145" s="3038"/>
      <c r="AG1145" s="3038"/>
      <c r="AH1145" s="3038"/>
      <c r="AK1145" s="3038"/>
      <c r="AL1145" s="3038"/>
      <c r="AM1145" s="3038"/>
      <c r="AN1145" s="3038"/>
      <c r="AO1145" s="3038"/>
      <c r="AP1145" s="3038"/>
      <c r="AQ1145" s="3038"/>
      <c r="AR1145" s="3038"/>
      <c r="AS1145" s="3038"/>
      <c r="AT1145" s="3038"/>
      <c r="AU1145" s="3038"/>
      <c r="AV1145" s="3038"/>
      <c r="AW1145" s="3038"/>
      <c r="AX1145" s="3038"/>
      <c r="AY1145" s="3038"/>
      <c r="AZ1145" s="3038"/>
      <c r="BA1145" s="3038"/>
      <c r="BB1145" s="3038"/>
      <c r="BC1145" s="3038"/>
      <c r="BD1145" s="3038"/>
      <c r="BE1145" s="3038"/>
      <c r="BF1145" s="3038"/>
      <c r="BG1145" s="3038"/>
      <c r="BH1145" s="3038"/>
      <c r="BI1145" s="3038"/>
      <c r="BJ1145" s="3038"/>
      <c r="BK1145" s="3038"/>
      <c r="BL1145" s="3038"/>
      <c r="BM1145" s="3038"/>
      <c r="BN1145" s="3038"/>
      <c r="BO1145" s="3038"/>
      <c r="BP1145" s="3038"/>
      <c r="BQ1145" s="3038"/>
      <c r="BR1145" s="3038"/>
      <c r="BS1145" s="3038"/>
      <c r="BT1145" s="3038"/>
      <c r="BU1145" s="3038"/>
    </row>
    <row r="1146" spans="3:73">
      <c r="C1146" s="3038"/>
      <c r="D1146" s="3038"/>
      <c r="E1146" s="3038"/>
      <c r="H1146" s="3038"/>
      <c r="I1146" s="3038"/>
      <c r="J1146" s="3038"/>
      <c r="K1146" s="3038"/>
      <c r="M1146" s="3038"/>
      <c r="N1146" s="3038"/>
      <c r="O1146" s="3038"/>
      <c r="P1146" s="3038"/>
      <c r="Q1146" s="3038"/>
      <c r="R1146" s="3038"/>
      <c r="S1146" s="3038"/>
      <c r="T1146" s="3038"/>
      <c r="W1146" s="3038"/>
      <c r="X1146" s="3038"/>
      <c r="Y1146" s="3038"/>
      <c r="Z1146" s="3038"/>
      <c r="AA1146" s="3113"/>
      <c r="AB1146" s="3038"/>
      <c r="AC1146" s="3038"/>
      <c r="AD1146" s="3038"/>
      <c r="AE1146" s="3132"/>
      <c r="AF1146" s="3038"/>
      <c r="AG1146" s="3038"/>
      <c r="AH1146" s="3038"/>
      <c r="AK1146" s="3038"/>
      <c r="AL1146" s="3038"/>
      <c r="AM1146" s="3038"/>
      <c r="AN1146" s="3038"/>
      <c r="AO1146" s="3038"/>
      <c r="AP1146" s="3038"/>
      <c r="AQ1146" s="3038"/>
      <c r="AR1146" s="3038"/>
      <c r="AS1146" s="3038"/>
      <c r="AT1146" s="3038"/>
      <c r="AU1146" s="3038"/>
      <c r="AV1146" s="3038"/>
      <c r="AW1146" s="3038"/>
      <c r="AX1146" s="3038"/>
      <c r="AY1146" s="3038"/>
      <c r="AZ1146" s="3038"/>
      <c r="BA1146" s="3038"/>
      <c r="BB1146" s="3038"/>
      <c r="BC1146" s="3038"/>
      <c r="BD1146" s="3038"/>
      <c r="BE1146" s="3038"/>
      <c r="BF1146" s="3038"/>
      <c r="BG1146" s="3038"/>
      <c r="BH1146" s="3038"/>
      <c r="BI1146" s="3038"/>
      <c r="BJ1146" s="3038"/>
      <c r="BK1146" s="3038"/>
      <c r="BL1146" s="3038"/>
      <c r="BM1146" s="3038"/>
      <c r="BN1146" s="3038"/>
      <c r="BO1146" s="3038"/>
      <c r="BP1146" s="3038"/>
      <c r="BQ1146" s="3038"/>
      <c r="BR1146" s="3038"/>
      <c r="BS1146" s="3038"/>
      <c r="BT1146" s="3038"/>
      <c r="BU1146" s="3038"/>
    </row>
    <row r="1147" spans="3:73">
      <c r="C1147" s="3038"/>
      <c r="D1147" s="3038"/>
      <c r="E1147" s="3038"/>
      <c r="H1147" s="3038"/>
      <c r="I1147" s="3038"/>
      <c r="J1147" s="3038"/>
      <c r="K1147" s="3038"/>
      <c r="M1147" s="3038"/>
      <c r="N1147" s="3038"/>
      <c r="O1147" s="3038"/>
      <c r="P1147" s="3038"/>
      <c r="Q1147" s="3038"/>
      <c r="R1147" s="3038"/>
      <c r="S1147" s="3038"/>
      <c r="T1147" s="3038"/>
      <c r="W1147" s="3038"/>
      <c r="X1147" s="3038"/>
      <c r="Y1147" s="3038"/>
      <c r="Z1147" s="3038"/>
      <c r="AA1147" s="3113"/>
      <c r="AB1147" s="3038"/>
      <c r="AC1147" s="3038"/>
      <c r="AD1147" s="3038"/>
      <c r="AE1147" s="3132"/>
      <c r="AF1147" s="3038"/>
      <c r="AG1147" s="3038"/>
      <c r="AH1147" s="3038"/>
      <c r="AK1147" s="3038"/>
      <c r="AL1147" s="3038"/>
      <c r="AM1147" s="3038"/>
      <c r="AN1147" s="3038"/>
      <c r="AO1147" s="3038"/>
      <c r="AP1147" s="3038"/>
      <c r="AQ1147" s="3038"/>
      <c r="AR1147" s="3038"/>
      <c r="AS1147" s="3038"/>
      <c r="AT1147" s="3038"/>
      <c r="AU1147" s="3038"/>
      <c r="AV1147" s="3038"/>
      <c r="AW1147" s="3038"/>
      <c r="AX1147" s="3038"/>
      <c r="AY1147" s="3038"/>
      <c r="AZ1147" s="3038"/>
      <c r="BA1147" s="3038"/>
      <c r="BB1147" s="3038"/>
      <c r="BC1147" s="3038"/>
      <c r="BD1147" s="3038"/>
      <c r="BE1147" s="3038"/>
      <c r="BF1147" s="3038"/>
      <c r="BG1147" s="3038"/>
      <c r="BH1147" s="3038"/>
      <c r="BI1147" s="3038"/>
      <c r="BJ1147" s="3038"/>
      <c r="BK1147" s="3038"/>
      <c r="BL1147" s="3038"/>
      <c r="BM1147" s="3038"/>
      <c r="BN1147" s="3038"/>
      <c r="BO1147" s="3038"/>
      <c r="BP1147" s="3038"/>
      <c r="BQ1147" s="3038"/>
      <c r="BR1147" s="3038"/>
      <c r="BS1147" s="3038"/>
      <c r="BT1147" s="3038"/>
      <c r="BU1147" s="3038"/>
    </row>
    <row r="1148" spans="3:73">
      <c r="C1148" s="3038"/>
      <c r="D1148" s="3038"/>
      <c r="E1148" s="3038"/>
      <c r="H1148" s="3038"/>
      <c r="I1148" s="3038"/>
      <c r="J1148" s="3038"/>
      <c r="K1148" s="3038"/>
      <c r="M1148" s="3038"/>
      <c r="N1148" s="3038"/>
      <c r="O1148" s="3038"/>
      <c r="P1148" s="3038"/>
      <c r="Q1148" s="3038"/>
      <c r="R1148" s="3038"/>
      <c r="S1148" s="3038"/>
      <c r="T1148" s="3038"/>
      <c r="W1148" s="3038"/>
      <c r="X1148" s="3038"/>
      <c r="Y1148" s="3038"/>
      <c r="Z1148" s="3038"/>
      <c r="AA1148" s="3113"/>
      <c r="AB1148" s="3038"/>
      <c r="AC1148" s="3038"/>
      <c r="AD1148" s="3038"/>
      <c r="AE1148" s="3132"/>
      <c r="AF1148" s="3038"/>
      <c r="AG1148" s="3038"/>
      <c r="AH1148" s="3038"/>
      <c r="AK1148" s="3038"/>
      <c r="AL1148" s="3038"/>
      <c r="AM1148" s="3038"/>
      <c r="AN1148" s="3038"/>
      <c r="AO1148" s="3038"/>
      <c r="AP1148" s="3038"/>
      <c r="AQ1148" s="3038"/>
      <c r="AR1148" s="3038"/>
      <c r="AS1148" s="3038"/>
      <c r="AT1148" s="3038"/>
      <c r="AU1148" s="3038"/>
      <c r="AV1148" s="3038"/>
      <c r="AW1148" s="3038"/>
      <c r="AX1148" s="3038"/>
      <c r="AY1148" s="3038"/>
      <c r="AZ1148" s="3038"/>
      <c r="BA1148" s="3038"/>
      <c r="BB1148" s="3038"/>
      <c r="BC1148" s="3038"/>
      <c r="BD1148" s="3038"/>
      <c r="BE1148" s="3038"/>
      <c r="BF1148" s="3038"/>
      <c r="BG1148" s="3038"/>
      <c r="BH1148" s="3038"/>
      <c r="BI1148" s="3038"/>
      <c r="BJ1148" s="3038"/>
      <c r="BK1148" s="3038"/>
      <c r="BL1148" s="3038"/>
      <c r="BM1148" s="3038"/>
      <c r="BN1148" s="3038"/>
      <c r="BO1148" s="3038"/>
      <c r="BP1148" s="3038"/>
      <c r="BQ1148" s="3038"/>
      <c r="BR1148" s="3038"/>
      <c r="BS1148" s="3038"/>
      <c r="BT1148" s="3038"/>
      <c r="BU1148" s="3038"/>
    </row>
    <row r="1149" spans="3:73">
      <c r="C1149" s="3038"/>
      <c r="D1149" s="3038"/>
      <c r="E1149" s="3038"/>
      <c r="H1149" s="3038"/>
      <c r="I1149" s="3038"/>
      <c r="J1149" s="3038"/>
      <c r="K1149" s="3038"/>
      <c r="M1149" s="3038"/>
      <c r="N1149" s="3038"/>
      <c r="O1149" s="3038"/>
      <c r="P1149" s="3038"/>
      <c r="Q1149" s="3038"/>
      <c r="R1149" s="3038"/>
      <c r="S1149" s="3038"/>
      <c r="T1149" s="3038"/>
      <c r="W1149" s="3038"/>
      <c r="X1149" s="3038"/>
      <c r="Y1149" s="3038"/>
      <c r="Z1149" s="3038"/>
      <c r="AA1149" s="3113"/>
      <c r="AB1149" s="3038"/>
      <c r="AC1149" s="3038"/>
      <c r="AD1149" s="3038"/>
      <c r="AE1149" s="3132"/>
      <c r="AF1149" s="3038"/>
      <c r="AG1149" s="3038"/>
      <c r="AH1149" s="3038"/>
      <c r="AK1149" s="3038"/>
      <c r="AL1149" s="3038"/>
      <c r="AM1149" s="3038"/>
      <c r="AN1149" s="3038"/>
      <c r="AO1149" s="3038"/>
      <c r="AP1149" s="3038"/>
      <c r="AQ1149" s="3038"/>
      <c r="AR1149" s="3038"/>
      <c r="AS1149" s="3038"/>
      <c r="AT1149" s="3038"/>
      <c r="AU1149" s="3038"/>
      <c r="AV1149" s="3038"/>
      <c r="AW1149" s="3038"/>
      <c r="AX1149" s="3038"/>
      <c r="AY1149" s="3038"/>
      <c r="AZ1149" s="3038"/>
      <c r="BA1149" s="3038"/>
      <c r="BB1149" s="3038"/>
      <c r="BC1149" s="3038"/>
      <c r="BD1149" s="3038"/>
      <c r="BE1149" s="3038"/>
      <c r="BF1149" s="3038"/>
      <c r="BG1149" s="3038"/>
      <c r="BH1149" s="3038"/>
      <c r="BI1149" s="3038"/>
      <c r="BJ1149" s="3038"/>
      <c r="BK1149" s="3038"/>
      <c r="BL1149" s="3038"/>
      <c r="BM1149" s="3038"/>
      <c r="BN1149" s="3038"/>
      <c r="BO1149" s="3038"/>
      <c r="BP1149" s="3038"/>
      <c r="BQ1149" s="3038"/>
      <c r="BR1149" s="3038"/>
      <c r="BS1149" s="3038"/>
      <c r="BT1149" s="3038"/>
      <c r="BU1149" s="3038"/>
    </row>
    <row r="1150" spans="3:73">
      <c r="C1150" s="3038"/>
      <c r="D1150" s="3038"/>
      <c r="E1150" s="3038"/>
      <c r="H1150" s="3038"/>
      <c r="I1150" s="3038"/>
      <c r="J1150" s="3038"/>
      <c r="K1150" s="3038"/>
      <c r="M1150" s="3038"/>
      <c r="N1150" s="3038"/>
      <c r="O1150" s="3038"/>
      <c r="P1150" s="3038"/>
      <c r="Q1150" s="3038"/>
      <c r="R1150" s="3038"/>
      <c r="S1150" s="3038"/>
      <c r="T1150" s="3038"/>
      <c r="W1150" s="3038"/>
      <c r="X1150" s="3038"/>
      <c r="Y1150" s="3038"/>
      <c r="Z1150" s="3038"/>
      <c r="AA1150" s="3113"/>
      <c r="AB1150" s="3038"/>
      <c r="AC1150" s="3038"/>
      <c r="AD1150" s="3038"/>
      <c r="AE1150" s="3132"/>
      <c r="AF1150" s="3038"/>
      <c r="AG1150" s="3038"/>
      <c r="AH1150" s="3038"/>
      <c r="AK1150" s="3038"/>
      <c r="AL1150" s="3038"/>
      <c r="AM1150" s="3038"/>
      <c r="AN1150" s="3038"/>
      <c r="AO1150" s="3038"/>
      <c r="AP1150" s="3038"/>
      <c r="AQ1150" s="3038"/>
      <c r="AR1150" s="3038"/>
      <c r="AS1150" s="3038"/>
      <c r="AT1150" s="3038"/>
      <c r="AU1150" s="3038"/>
      <c r="AV1150" s="3038"/>
      <c r="AW1150" s="3038"/>
      <c r="AX1150" s="3038"/>
      <c r="AY1150" s="3038"/>
      <c r="AZ1150" s="3038"/>
      <c r="BA1150" s="3038"/>
      <c r="BB1150" s="3038"/>
      <c r="BC1150" s="3038"/>
      <c r="BD1150" s="3038"/>
      <c r="BE1150" s="3038"/>
      <c r="BF1150" s="3038"/>
      <c r="BG1150" s="3038"/>
      <c r="BH1150" s="3038"/>
      <c r="BI1150" s="3038"/>
      <c r="BJ1150" s="3038"/>
      <c r="BK1150" s="3038"/>
      <c r="BL1150" s="3038"/>
      <c r="BM1150" s="3038"/>
      <c r="BN1150" s="3038"/>
      <c r="BO1150" s="3038"/>
      <c r="BP1150" s="3038"/>
      <c r="BQ1150" s="3038"/>
      <c r="BR1150" s="3038"/>
      <c r="BS1150" s="3038"/>
      <c r="BT1150" s="3038"/>
      <c r="BU1150" s="3038"/>
    </row>
    <row r="1151" spans="3:73">
      <c r="C1151" s="3038"/>
      <c r="D1151" s="3038"/>
      <c r="E1151" s="3038"/>
      <c r="H1151" s="3038"/>
      <c r="I1151" s="3038"/>
      <c r="J1151" s="3038"/>
      <c r="K1151" s="3038"/>
      <c r="M1151" s="3038"/>
      <c r="N1151" s="3038"/>
      <c r="O1151" s="3038"/>
      <c r="P1151" s="3038"/>
      <c r="Q1151" s="3038"/>
      <c r="R1151" s="3038"/>
      <c r="S1151" s="3038"/>
      <c r="T1151" s="3038"/>
      <c r="W1151" s="3038"/>
      <c r="X1151" s="3038"/>
      <c r="Y1151" s="3038"/>
      <c r="Z1151" s="3038"/>
      <c r="AA1151" s="3113"/>
      <c r="AB1151" s="3038"/>
      <c r="AC1151" s="3038"/>
      <c r="AD1151" s="3038"/>
      <c r="AE1151" s="3132"/>
      <c r="AF1151" s="3038"/>
      <c r="AG1151" s="3038"/>
      <c r="AH1151" s="3038"/>
      <c r="AK1151" s="3038"/>
      <c r="AL1151" s="3038"/>
      <c r="AM1151" s="3038"/>
      <c r="AN1151" s="3038"/>
      <c r="AO1151" s="3038"/>
      <c r="AP1151" s="3038"/>
      <c r="AQ1151" s="3038"/>
      <c r="AR1151" s="3038"/>
      <c r="AS1151" s="3038"/>
      <c r="AT1151" s="3038"/>
      <c r="AU1151" s="3038"/>
      <c r="AV1151" s="3038"/>
      <c r="AW1151" s="3038"/>
      <c r="AX1151" s="3038"/>
      <c r="AY1151" s="3038"/>
      <c r="AZ1151" s="3038"/>
      <c r="BA1151" s="3038"/>
      <c r="BB1151" s="3038"/>
      <c r="BC1151" s="3038"/>
      <c r="BD1151" s="3038"/>
      <c r="BE1151" s="3038"/>
      <c r="BF1151" s="3038"/>
      <c r="BG1151" s="3038"/>
      <c r="BH1151" s="3038"/>
      <c r="BI1151" s="3038"/>
      <c r="BJ1151" s="3038"/>
      <c r="BK1151" s="3038"/>
      <c r="BL1151" s="3038"/>
      <c r="BM1151" s="3038"/>
      <c r="BN1151" s="3038"/>
      <c r="BO1151" s="3038"/>
      <c r="BP1151" s="3038"/>
      <c r="BQ1151" s="3038"/>
      <c r="BR1151" s="3038"/>
      <c r="BS1151" s="3038"/>
      <c r="BT1151" s="3038"/>
      <c r="BU1151" s="3038"/>
    </row>
    <row r="1152" spans="3:73">
      <c r="C1152" s="3038"/>
      <c r="D1152" s="3038"/>
      <c r="E1152" s="3038"/>
      <c r="H1152" s="3038"/>
      <c r="I1152" s="3038"/>
      <c r="J1152" s="3038"/>
      <c r="K1152" s="3038"/>
      <c r="M1152" s="3038"/>
      <c r="N1152" s="3038"/>
      <c r="O1152" s="3038"/>
      <c r="P1152" s="3038"/>
      <c r="Q1152" s="3038"/>
      <c r="R1152" s="3038"/>
      <c r="S1152" s="3038"/>
      <c r="T1152" s="3038"/>
      <c r="W1152" s="3038"/>
      <c r="X1152" s="3038"/>
      <c r="Y1152" s="3038"/>
      <c r="Z1152" s="3038"/>
      <c r="AA1152" s="3113"/>
      <c r="AB1152" s="3038"/>
      <c r="AC1152" s="3038"/>
      <c r="AD1152" s="3038"/>
      <c r="AE1152" s="3132"/>
      <c r="AF1152" s="3038"/>
      <c r="AG1152" s="3038"/>
      <c r="AH1152" s="3038"/>
      <c r="AK1152" s="3038"/>
      <c r="AL1152" s="3038"/>
      <c r="AM1152" s="3038"/>
      <c r="AN1152" s="3038"/>
      <c r="AO1152" s="3038"/>
      <c r="AP1152" s="3038"/>
      <c r="AQ1152" s="3038"/>
      <c r="AR1152" s="3038"/>
      <c r="AS1152" s="3038"/>
      <c r="AT1152" s="3038"/>
      <c r="AU1152" s="3038"/>
      <c r="AV1152" s="3038"/>
      <c r="AW1152" s="3038"/>
      <c r="AX1152" s="3038"/>
      <c r="AY1152" s="3038"/>
      <c r="AZ1152" s="3038"/>
      <c r="BA1152" s="3038"/>
      <c r="BB1152" s="3038"/>
      <c r="BC1152" s="3038"/>
      <c r="BD1152" s="3038"/>
      <c r="BE1152" s="3038"/>
      <c r="BF1152" s="3038"/>
      <c r="BG1152" s="3038"/>
      <c r="BH1152" s="3038"/>
      <c r="BI1152" s="3038"/>
      <c r="BJ1152" s="3038"/>
      <c r="BK1152" s="3038"/>
      <c r="BL1152" s="3038"/>
      <c r="BM1152" s="3038"/>
      <c r="BN1152" s="3038"/>
      <c r="BO1152" s="3038"/>
      <c r="BP1152" s="3038"/>
      <c r="BQ1152" s="3038"/>
      <c r="BR1152" s="3038"/>
      <c r="BS1152" s="3038"/>
      <c r="BT1152" s="3038"/>
      <c r="BU1152" s="3038"/>
    </row>
    <row r="1153" spans="3:73">
      <c r="C1153" s="3038"/>
      <c r="D1153" s="3038"/>
      <c r="E1153" s="3038"/>
      <c r="H1153" s="3038"/>
      <c r="I1153" s="3038"/>
      <c r="J1153" s="3038"/>
      <c r="K1153" s="3038"/>
      <c r="M1153" s="3038"/>
      <c r="N1153" s="3038"/>
      <c r="O1153" s="3038"/>
      <c r="P1153" s="3038"/>
      <c r="Q1153" s="3038"/>
      <c r="R1153" s="3038"/>
      <c r="S1153" s="3038"/>
      <c r="T1153" s="3038"/>
      <c r="W1153" s="3038"/>
      <c r="X1153" s="3038"/>
      <c r="Y1153" s="3038"/>
      <c r="Z1153" s="3038"/>
      <c r="AA1153" s="3113"/>
      <c r="AB1153" s="3038"/>
      <c r="AC1153" s="3038"/>
      <c r="AD1153" s="3038"/>
      <c r="AE1153" s="3132"/>
      <c r="AF1153" s="3038"/>
      <c r="AG1153" s="3038"/>
      <c r="AH1153" s="3038"/>
      <c r="AK1153" s="3038"/>
      <c r="AL1153" s="3038"/>
      <c r="AM1153" s="3038"/>
      <c r="AN1153" s="3038"/>
      <c r="AO1153" s="3038"/>
      <c r="AP1153" s="3038"/>
      <c r="AQ1153" s="3038"/>
      <c r="AR1153" s="3038"/>
      <c r="AS1153" s="3038"/>
      <c r="AT1153" s="3038"/>
      <c r="AU1153" s="3038"/>
      <c r="AV1153" s="3038"/>
      <c r="AW1153" s="3038"/>
      <c r="AX1153" s="3038"/>
      <c r="AY1153" s="3038"/>
      <c r="AZ1153" s="3038"/>
      <c r="BA1153" s="3038"/>
      <c r="BB1153" s="3038"/>
      <c r="BC1153" s="3038"/>
      <c r="BD1153" s="3038"/>
      <c r="BE1153" s="3038"/>
      <c r="BF1153" s="3038"/>
      <c r="BG1153" s="3038"/>
      <c r="BH1153" s="3038"/>
      <c r="BI1153" s="3038"/>
      <c r="BJ1153" s="3038"/>
      <c r="BK1153" s="3038"/>
      <c r="BL1153" s="3038"/>
      <c r="BM1153" s="3038"/>
      <c r="BN1153" s="3038"/>
      <c r="BO1153" s="3038"/>
      <c r="BP1153" s="3038"/>
      <c r="BQ1153" s="3038"/>
      <c r="BR1153" s="3038"/>
      <c r="BS1153" s="3038"/>
      <c r="BT1153" s="3038"/>
      <c r="BU1153" s="3038"/>
    </row>
    <row r="1154" spans="3:73">
      <c r="C1154" s="3038"/>
      <c r="D1154" s="3038"/>
      <c r="E1154" s="3038"/>
      <c r="H1154" s="3038"/>
      <c r="I1154" s="3038"/>
      <c r="J1154" s="3038"/>
      <c r="K1154" s="3038"/>
      <c r="M1154" s="3038"/>
      <c r="N1154" s="3038"/>
      <c r="O1154" s="3038"/>
      <c r="P1154" s="3038"/>
      <c r="Q1154" s="3038"/>
      <c r="R1154" s="3038"/>
      <c r="S1154" s="3038"/>
      <c r="T1154" s="3038"/>
      <c r="W1154" s="3038"/>
      <c r="X1154" s="3038"/>
      <c r="Y1154" s="3038"/>
      <c r="Z1154" s="3038"/>
      <c r="AA1154" s="3113"/>
      <c r="AB1154" s="3038"/>
      <c r="AC1154" s="3038"/>
      <c r="AD1154" s="3038"/>
      <c r="AE1154" s="3132"/>
      <c r="AF1154" s="3038"/>
      <c r="AG1154" s="3038"/>
      <c r="AH1154" s="3038"/>
      <c r="AK1154" s="3038"/>
      <c r="AL1154" s="3038"/>
      <c r="AM1154" s="3038"/>
      <c r="AN1154" s="3038"/>
      <c r="AO1154" s="3038"/>
      <c r="AP1154" s="3038"/>
      <c r="AQ1154" s="3038"/>
      <c r="AR1154" s="3038"/>
      <c r="AS1154" s="3038"/>
      <c r="AT1154" s="3038"/>
      <c r="AU1154" s="3038"/>
      <c r="AV1154" s="3038"/>
      <c r="AW1154" s="3038"/>
      <c r="AX1154" s="3038"/>
      <c r="AY1154" s="3038"/>
      <c r="AZ1154" s="3038"/>
      <c r="BA1154" s="3038"/>
      <c r="BB1154" s="3038"/>
      <c r="BC1154" s="3038"/>
      <c r="BD1154" s="3038"/>
      <c r="BE1154" s="3038"/>
      <c r="BF1154" s="3038"/>
      <c r="BG1154" s="3038"/>
      <c r="BH1154" s="3038"/>
      <c r="BI1154" s="3038"/>
      <c r="BJ1154" s="3038"/>
      <c r="BK1154" s="3038"/>
      <c r="BL1154" s="3038"/>
      <c r="BM1154" s="3038"/>
      <c r="BN1154" s="3038"/>
      <c r="BO1154" s="3038"/>
      <c r="BP1154" s="3038"/>
      <c r="BQ1154" s="3038"/>
      <c r="BR1154" s="3038"/>
      <c r="BS1154" s="3038"/>
      <c r="BT1154" s="3038"/>
      <c r="BU1154" s="3038"/>
    </row>
    <row r="1155" spans="3:73">
      <c r="C1155" s="3038"/>
      <c r="D1155" s="3038"/>
      <c r="E1155" s="3038"/>
      <c r="H1155" s="3038"/>
      <c r="I1155" s="3038"/>
      <c r="J1155" s="3038"/>
      <c r="K1155" s="3038"/>
      <c r="M1155" s="3038"/>
      <c r="N1155" s="3038"/>
      <c r="O1155" s="3038"/>
      <c r="P1155" s="3038"/>
      <c r="Q1155" s="3038"/>
      <c r="R1155" s="3038"/>
      <c r="S1155" s="3038"/>
      <c r="T1155" s="3038"/>
      <c r="W1155" s="3038"/>
      <c r="X1155" s="3038"/>
      <c r="Y1155" s="3038"/>
      <c r="Z1155" s="3038"/>
      <c r="AA1155" s="3113"/>
      <c r="AB1155" s="3038"/>
      <c r="AC1155" s="3038"/>
      <c r="AD1155" s="3038"/>
      <c r="AE1155" s="3132"/>
      <c r="AF1155" s="3038"/>
      <c r="AG1155" s="3038"/>
      <c r="AH1155" s="3038"/>
      <c r="AK1155" s="3038"/>
      <c r="AL1155" s="3038"/>
      <c r="AM1155" s="3038"/>
      <c r="AN1155" s="3038"/>
      <c r="AO1155" s="3038"/>
      <c r="AP1155" s="3038"/>
      <c r="AQ1155" s="3038"/>
      <c r="AR1155" s="3038"/>
      <c r="AS1155" s="3038"/>
      <c r="AT1155" s="3038"/>
      <c r="AU1155" s="3038"/>
      <c r="AV1155" s="3038"/>
      <c r="AW1155" s="3038"/>
      <c r="AX1155" s="3038"/>
      <c r="AY1155" s="3038"/>
      <c r="AZ1155" s="3038"/>
      <c r="BA1155" s="3038"/>
      <c r="BB1155" s="3038"/>
      <c r="BC1155" s="3038"/>
      <c r="BD1155" s="3038"/>
      <c r="BE1155" s="3038"/>
      <c r="BF1155" s="3038"/>
      <c r="BG1155" s="3038"/>
      <c r="BH1155" s="3038"/>
      <c r="BI1155" s="3038"/>
      <c r="BJ1155" s="3038"/>
      <c r="BK1155" s="3038"/>
      <c r="BL1155" s="3038"/>
      <c r="BM1155" s="3038"/>
      <c r="BN1155" s="3038"/>
      <c r="BO1155" s="3038"/>
      <c r="BP1155" s="3038"/>
      <c r="BQ1155" s="3038"/>
      <c r="BR1155" s="3038"/>
      <c r="BS1155" s="3038"/>
      <c r="BT1155" s="3038"/>
      <c r="BU1155" s="3038"/>
    </row>
    <row r="1156" spans="3:73">
      <c r="C1156" s="3038"/>
      <c r="D1156" s="3038"/>
      <c r="E1156" s="3038"/>
      <c r="H1156" s="3038"/>
      <c r="I1156" s="3038"/>
      <c r="J1156" s="3038"/>
      <c r="K1156" s="3038"/>
      <c r="M1156" s="3038"/>
      <c r="N1156" s="3038"/>
      <c r="O1156" s="3038"/>
      <c r="P1156" s="3038"/>
      <c r="Q1156" s="3038"/>
      <c r="R1156" s="3038"/>
      <c r="S1156" s="3038"/>
      <c r="T1156" s="3038"/>
      <c r="W1156" s="3038"/>
      <c r="X1156" s="3038"/>
      <c r="Y1156" s="3038"/>
      <c r="Z1156" s="3038"/>
      <c r="AA1156" s="3113"/>
      <c r="AB1156" s="3038"/>
      <c r="AC1156" s="3038"/>
      <c r="AD1156" s="3038"/>
      <c r="AE1156" s="3132"/>
      <c r="AF1156" s="3038"/>
      <c r="AG1156" s="3038"/>
      <c r="AH1156" s="3038"/>
      <c r="AK1156" s="3038"/>
      <c r="AL1156" s="3038"/>
      <c r="AM1156" s="3038"/>
      <c r="AN1156" s="3038"/>
      <c r="AO1156" s="3038"/>
      <c r="AP1156" s="3038"/>
      <c r="AQ1156" s="3038"/>
      <c r="AR1156" s="3038"/>
      <c r="AS1156" s="3038"/>
      <c r="AT1156" s="3038"/>
      <c r="AU1156" s="3038"/>
      <c r="AV1156" s="3038"/>
      <c r="AW1156" s="3038"/>
      <c r="AX1156" s="3038"/>
      <c r="AY1156" s="3038"/>
      <c r="AZ1156" s="3038"/>
      <c r="BA1156" s="3038"/>
      <c r="BB1156" s="3038"/>
      <c r="BC1156" s="3038"/>
      <c r="BD1156" s="3038"/>
      <c r="BE1156" s="3038"/>
      <c r="BF1156" s="3038"/>
      <c r="BG1156" s="3038"/>
      <c r="BH1156" s="3038"/>
      <c r="BI1156" s="3038"/>
      <c r="BJ1156" s="3038"/>
      <c r="BK1156" s="3038"/>
      <c r="BL1156" s="3038"/>
      <c r="BM1156" s="3038"/>
      <c r="BN1156" s="3038"/>
      <c r="BO1156" s="3038"/>
      <c r="BP1156" s="3038"/>
      <c r="BQ1156" s="3038"/>
      <c r="BR1156" s="3038"/>
      <c r="BS1156" s="3038"/>
      <c r="BT1156" s="3038"/>
      <c r="BU1156" s="3038"/>
    </row>
    <row r="1157" spans="3:73">
      <c r="C1157" s="3038"/>
      <c r="D1157" s="3038"/>
      <c r="E1157" s="3038"/>
      <c r="H1157" s="3038"/>
      <c r="I1157" s="3038"/>
      <c r="J1157" s="3038"/>
      <c r="K1157" s="3038"/>
      <c r="M1157" s="3038"/>
      <c r="N1157" s="3038"/>
      <c r="O1157" s="3038"/>
      <c r="P1157" s="3038"/>
      <c r="Q1157" s="3038"/>
      <c r="R1157" s="3038"/>
      <c r="S1157" s="3038"/>
      <c r="T1157" s="3038"/>
      <c r="W1157" s="3038"/>
      <c r="X1157" s="3038"/>
      <c r="Y1157" s="3038"/>
      <c r="Z1157" s="3038"/>
      <c r="AA1157" s="3113"/>
      <c r="AB1157" s="3038"/>
      <c r="AC1157" s="3038"/>
      <c r="AD1157" s="3038"/>
      <c r="AE1157" s="3132"/>
      <c r="AF1157" s="3038"/>
      <c r="AG1157" s="3038"/>
      <c r="AH1157" s="3038"/>
      <c r="AK1157" s="3038"/>
      <c r="AL1157" s="3038"/>
      <c r="AM1157" s="3038"/>
      <c r="AN1157" s="3038"/>
      <c r="AO1157" s="3038"/>
      <c r="AP1157" s="3038"/>
      <c r="AQ1157" s="3038"/>
      <c r="AR1157" s="3038"/>
      <c r="AS1157" s="3038"/>
      <c r="AT1157" s="3038"/>
      <c r="AU1157" s="3038"/>
      <c r="AV1157" s="3038"/>
      <c r="AW1157" s="3038"/>
      <c r="AX1157" s="3038"/>
      <c r="AY1157" s="3038"/>
      <c r="AZ1157" s="3038"/>
      <c r="BA1157" s="3038"/>
      <c r="BB1157" s="3038"/>
      <c r="BC1157" s="3038"/>
      <c r="BD1157" s="3038"/>
      <c r="BE1157" s="3038"/>
      <c r="BF1157" s="3038"/>
      <c r="BG1157" s="3038"/>
      <c r="BH1157" s="3038"/>
      <c r="BI1157" s="3038"/>
      <c r="BJ1157" s="3038"/>
      <c r="BK1157" s="3038"/>
      <c r="BL1157" s="3038"/>
      <c r="BM1157" s="3038"/>
      <c r="BN1157" s="3038"/>
      <c r="BO1157" s="3038"/>
      <c r="BP1157" s="3038"/>
      <c r="BQ1157" s="3038"/>
      <c r="BR1157" s="3038"/>
      <c r="BS1157" s="3038"/>
      <c r="BT1157" s="3038"/>
      <c r="BU1157" s="3038"/>
    </row>
    <row r="1158" spans="3:73">
      <c r="C1158" s="3038"/>
      <c r="D1158" s="3038"/>
      <c r="E1158" s="3038"/>
      <c r="H1158" s="3038"/>
      <c r="I1158" s="3038"/>
      <c r="J1158" s="3038"/>
      <c r="K1158" s="3038"/>
      <c r="M1158" s="3038"/>
      <c r="N1158" s="3038"/>
      <c r="O1158" s="3038"/>
      <c r="P1158" s="3038"/>
      <c r="Q1158" s="3038"/>
      <c r="R1158" s="3038"/>
      <c r="S1158" s="3038"/>
      <c r="T1158" s="3038"/>
      <c r="W1158" s="3038"/>
      <c r="X1158" s="3038"/>
      <c r="Y1158" s="3038"/>
      <c r="Z1158" s="3038"/>
      <c r="AA1158" s="3113"/>
      <c r="AB1158" s="3038"/>
      <c r="AC1158" s="3038"/>
      <c r="AD1158" s="3038"/>
      <c r="AE1158" s="3132"/>
      <c r="AF1158" s="3038"/>
      <c r="AG1158" s="3038"/>
      <c r="AH1158" s="3038"/>
      <c r="AK1158" s="3038"/>
      <c r="AL1158" s="3038"/>
      <c r="AM1158" s="3038"/>
      <c r="AN1158" s="3038"/>
      <c r="AO1158" s="3038"/>
      <c r="AP1158" s="3038"/>
      <c r="AQ1158" s="3038"/>
      <c r="AR1158" s="3038"/>
      <c r="AS1158" s="3038"/>
      <c r="AT1158" s="3038"/>
      <c r="AU1158" s="3038"/>
      <c r="AV1158" s="3038"/>
      <c r="AW1158" s="3038"/>
      <c r="AX1158" s="3038"/>
      <c r="AY1158" s="3038"/>
      <c r="AZ1158" s="3038"/>
      <c r="BA1158" s="3038"/>
      <c r="BB1158" s="3038"/>
      <c r="BC1158" s="3038"/>
      <c r="BD1158" s="3038"/>
      <c r="BE1158" s="3038"/>
      <c r="BF1158" s="3038"/>
      <c r="BG1158" s="3038"/>
      <c r="BH1158" s="3038"/>
      <c r="BI1158" s="3038"/>
      <c r="BJ1158" s="3038"/>
      <c r="BK1158" s="3038"/>
      <c r="BL1158" s="3038"/>
      <c r="BM1158" s="3038"/>
      <c r="BN1158" s="3038"/>
      <c r="BO1158" s="3038"/>
      <c r="BP1158" s="3038"/>
      <c r="BQ1158" s="3038"/>
      <c r="BR1158" s="3038"/>
      <c r="BS1158" s="3038"/>
      <c r="BT1158" s="3038"/>
      <c r="BU1158" s="3038"/>
    </row>
    <row r="1159" spans="3:73">
      <c r="C1159" s="3038"/>
      <c r="D1159" s="3038"/>
      <c r="E1159" s="3038"/>
      <c r="H1159" s="3038"/>
      <c r="I1159" s="3038"/>
      <c r="J1159" s="3038"/>
      <c r="K1159" s="3038"/>
      <c r="M1159" s="3038"/>
      <c r="N1159" s="3038"/>
      <c r="O1159" s="3038"/>
      <c r="P1159" s="3038"/>
      <c r="Q1159" s="3038"/>
      <c r="R1159" s="3038"/>
      <c r="S1159" s="3038"/>
      <c r="T1159" s="3038"/>
      <c r="W1159" s="3038"/>
      <c r="X1159" s="3038"/>
      <c r="Y1159" s="3038"/>
      <c r="Z1159" s="3038"/>
      <c r="AA1159" s="3113"/>
      <c r="AB1159" s="3038"/>
      <c r="AC1159" s="3038"/>
      <c r="AD1159" s="3038"/>
      <c r="AE1159" s="3132"/>
      <c r="AF1159" s="3038"/>
      <c r="AG1159" s="3038"/>
      <c r="AH1159" s="3038"/>
      <c r="AK1159" s="3038"/>
      <c r="AL1159" s="3038"/>
      <c r="AM1159" s="3038"/>
      <c r="AN1159" s="3038"/>
      <c r="AO1159" s="3038"/>
      <c r="AP1159" s="3038"/>
      <c r="AQ1159" s="3038"/>
      <c r="AR1159" s="3038"/>
      <c r="AS1159" s="3038"/>
      <c r="AT1159" s="3038"/>
      <c r="AU1159" s="3038"/>
      <c r="AV1159" s="3038"/>
      <c r="AW1159" s="3038"/>
      <c r="AX1159" s="3038"/>
      <c r="AY1159" s="3038"/>
      <c r="AZ1159" s="3038"/>
      <c r="BA1159" s="3038"/>
      <c r="BB1159" s="3038"/>
      <c r="BC1159" s="3038"/>
      <c r="BD1159" s="3038"/>
      <c r="BE1159" s="3038"/>
      <c r="BF1159" s="3038"/>
      <c r="BG1159" s="3038"/>
      <c r="BH1159" s="3038"/>
      <c r="BI1159" s="3038"/>
      <c r="BJ1159" s="3038"/>
      <c r="BK1159" s="3038"/>
      <c r="BL1159" s="3038"/>
      <c r="BM1159" s="3038"/>
      <c r="BN1159" s="3038"/>
      <c r="BO1159" s="3038"/>
      <c r="BP1159" s="3038"/>
      <c r="BQ1159" s="3038"/>
      <c r="BR1159" s="3038"/>
      <c r="BS1159" s="3038"/>
      <c r="BT1159" s="3038"/>
      <c r="BU1159" s="3038"/>
    </row>
    <row r="1160" spans="3:73">
      <c r="C1160" s="3038"/>
      <c r="D1160" s="3038"/>
      <c r="E1160" s="3038"/>
      <c r="H1160" s="3038"/>
      <c r="I1160" s="3038"/>
      <c r="J1160" s="3038"/>
      <c r="K1160" s="3038"/>
      <c r="M1160" s="3038"/>
      <c r="N1160" s="3038"/>
      <c r="O1160" s="3038"/>
      <c r="P1160" s="3038"/>
      <c r="Q1160" s="3038"/>
      <c r="R1160" s="3038"/>
      <c r="S1160" s="3038"/>
      <c r="T1160" s="3038"/>
      <c r="W1160" s="3038"/>
      <c r="X1160" s="3038"/>
      <c r="Y1160" s="3038"/>
      <c r="Z1160" s="3038"/>
      <c r="AA1160" s="3113"/>
      <c r="AB1160" s="3038"/>
      <c r="AC1160" s="3038"/>
      <c r="AD1160" s="3038"/>
      <c r="AE1160" s="3132"/>
      <c r="AF1160" s="3038"/>
      <c r="AG1160" s="3038"/>
      <c r="AH1160" s="3038"/>
      <c r="AK1160" s="3038"/>
      <c r="AL1160" s="3038"/>
      <c r="AM1160" s="3038"/>
      <c r="AN1160" s="3038"/>
      <c r="AO1160" s="3038"/>
      <c r="AP1160" s="3038"/>
      <c r="AQ1160" s="3038"/>
      <c r="AR1160" s="3038"/>
      <c r="AS1160" s="3038"/>
      <c r="AT1160" s="3038"/>
      <c r="AU1160" s="3038"/>
      <c r="AV1160" s="3038"/>
      <c r="AW1160" s="3038"/>
      <c r="AX1160" s="3038"/>
      <c r="AY1160" s="3038"/>
      <c r="AZ1160" s="3038"/>
      <c r="BA1160" s="3038"/>
      <c r="BB1160" s="3038"/>
      <c r="BC1160" s="3038"/>
      <c r="BD1160" s="3038"/>
      <c r="BE1160" s="3038"/>
      <c r="BF1160" s="3038"/>
      <c r="BG1160" s="3038"/>
      <c r="BH1160" s="3038"/>
      <c r="BI1160" s="3038"/>
      <c r="BJ1160" s="3038"/>
      <c r="BK1160" s="3038"/>
      <c r="BL1160" s="3038"/>
      <c r="BM1160" s="3038"/>
      <c r="BN1160" s="3038"/>
      <c r="BO1160" s="3038"/>
      <c r="BP1160" s="3038"/>
      <c r="BQ1160" s="3038"/>
      <c r="BR1160" s="3038"/>
      <c r="BS1160" s="3038"/>
      <c r="BT1160" s="3038"/>
      <c r="BU1160" s="3038"/>
    </row>
    <row r="1161" spans="3:73">
      <c r="C1161" s="3038"/>
      <c r="D1161" s="3038"/>
      <c r="E1161" s="3038"/>
      <c r="H1161" s="3038"/>
      <c r="I1161" s="3038"/>
      <c r="J1161" s="3038"/>
      <c r="K1161" s="3038"/>
      <c r="M1161" s="3038"/>
      <c r="N1161" s="3038"/>
      <c r="O1161" s="3038"/>
      <c r="P1161" s="3038"/>
      <c r="Q1161" s="3038"/>
      <c r="R1161" s="3038"/>
      <c r="S1161" s="3038"/>
      <c r="T1161" s="3038"/>
      <c r="W1161" s="3038"/>
      <c r="X1161" s="3038"/>
      <c r="Y1161" s="3038"/>
      <c r="Z1161" s="3038"/>
      <c r="AA1161" s="3113"/>
      <c r="AB1161" s="3038"/>
      <c r="AC1161" s="3038"/>
      <c r="AD1161" s="3038"/>
      <c r="AE1161" s="3132"/>
      <c r="AF1161" s="3038"/>
      <c r="AG1161" s="3038"/>
      <c r="AH1161" s="3038"/>
      <c r="AK1161" s="3038"/>
      <c r="AL1161" s="3038"/>
      <c r="AM1161" s="3038"/>
      <c r="AN1161" s="3038"/>
      <c r="AO1161" s="3038"/>
      <c r="AP1161" s="3038"/>
      <c r="AQ1161" s="3038"/>
      <c r="AR1161" s="3038"/>
      <c r="AS1161" s="3038"/>
      <c r="AT1161" s="3038"/>
      <c r="AU1161" s="3038"/>
      <c r="AV1161" s="3038"/>
      <c r="AW1161" s="3038"/>
      <c r="AX1161" s="3038"/>
      <c r="AY1161" s="3038"/>
      <c r="AZ1161" s="3038"/>
      <c r="BA1161" s="3038"/>
      <c r="BB1161" s="3038"/>
      <c r="BC1161" s="3038"/>
      <c r="BD1161" s="3038"/>
      <c r="BE1161" s="3038"/>
      <c r="BF1161" s="3038"/>
      <c r="BG1161" s="3038"/>
      <c r="BH1161" s="3038"/>
      <c r="BI1161" s="3038"/>
      <c r="BJ1161" s="3038"/>
      <c r="BK1161" s="3038"/>
      <c r="BL1161" s="3038"/>
      <c r="BM1161" s="3038"/>
      <c r="BN1161" s="3038"/>
      <c r="BO1161" s="3038"/>
      <c r="BP1161" s="3038"/>
      <c r="BQ1161" s="3038"/>
      <c r="BR1161" s="3038"/>
      <c r="BS1161" s="3038"/>
      <c r="BT1161" s="3038"/>
      <c r="BU1161" s="3038"/>
    </row>
    <row r="1162" spans="3:73">
      <c r="C1162" s="3038"/>
      <c r="D1162" s="3038"/>
      <c r="E1162" s="3038"/>
      <c r="H1162" s="3038"/>
      <c r="I1162" s="3038"/>
      <c r="J1162" s="3038"/>
      <c r="K1162" s="3038"/>
      <c r="M1162" s="3038"/>
      <c r="N1162" s="3038"/>
      <c r="O1162" s="3038"/>
      <c r="P1162" s="3038"/>
      <c r="Q1162" s="3038"/>
      <c r="R1162" s="3038"/>
      <c r="S1162" s="3038"/>
      <c r="T1162" s="3038"/>
      <c r="W1162" s="3038"/>
      <c r="X1162" s="3038"/>
      <c r="Y1162" s="3038"/>
      <c r="Z1162" s="3038"/>
      <c r="AA1162" s="3113"/>
      <c r="AB1162" s="3038"/>
      <c r="AC1162" s="3038"/>
      <c r="AD1162" s="3038"/>
      <c r="AE1162" s="3132"/>
      <c r="AF1162" s="3038"/>
      <c r="AG1162" s="3038"/>
      <c r="AH1162" s="3038"/>
      <c r="AK1162" s="3038"/>
      <c r="AL1162" s="3038"/>
      <c r="AM1162" s="3038"/>
      <c r="AN1162" s="3038"/>
      <c r="AO1162" s="3038"/>
      <c r="AP1162" s="3038"/>
      <c r="AQ1162" s="3038"/>
      <c r="AR1162" s="3038"/>
      <c r="AS1162" s="3038"/>
      <c r="AT1162" s="3038"/>
      <c r="AU1162" s="3038"/>
      <c r="AV1162" s="3038"/>
      <c r="AW1162" s="3038"/>
      <c r="AX1162" s="3038"/>
      <c r="AY1162" s="3038"/>
      <c r="AZ1162" s="3038"/>
      <c r="BA1162" s="3038"/>
      <c r="BB1162" s="3038"/>
      <c r="BC1162" s="3038"/>
      <c r="BD1162" s="3038"/>
      <c r="BE1162" s="3038"/>
      <c r="BF1162" s="3038"/>
      <c r="BG1162" s="3038"/>
      <c r="BH1162" s="3038"/>
      <c r="BI1162" s="3038"/>
      <c r="BJ1162" s="3038"/>
      <c r="BK1162" s="3038"/>
      <c r="BL1162" s="3038"/>
      <c r="BM1162" s="3038"/>
      <c r="BN1162" s="3038"/>
      <c r="BO1162" s="3038"/>
      <c r="BP1162" s="3038"/>
      <c r="BQ1162" s="3038"/>
      <c r="BR1162" s="3038"/>
      <c r="BS1162" s="3038"/>
      <c r="BT1162" s="3038"/>
      <c r="BU1162" s="3038"/>
    </row>
    <row r="1163" spans="3:73">
      <c r="C1163" s="3038"/>
      <c r="D1163" s="3038"/>
      <c r="E1163" s="3038"/>
      <c r="H1163" s="3038"/>
      <c r="I1163" s="3038"/>
      <c r="J1163" s="3038"/>
      <c r="K1163" s="3038"/>
      <c r="M1163" s="3038"/>
      <c r="N1163" s="3038"/>
      <c r="O1163" s="3038"/>
      <c r="P1163" s="3038"/>
      <c r="Q1163" s="3038"/>
      <c r="R1163" s="3038"/>
      <c r="S1163" s="3038"/>
      <c r="T1163" s="3038"/>
      <c r="W1163" s="3038"/>
      <c r="X1163" s="3038"/>
      <c r="Y1163" s="3038"/>
      <c r="Z1163" s="3038"/>
      <c r="AA1163" s="3113"/>
      <c r="AB1163" s="3038"/>
      <c r="AC1163" s="3038"/>
      <c r="AD1163" s="3038"/>
      <c r="AE1163" s="3132"/>
      <c r="AF1163" s="3038"/>
      <c r="AG1163" s="3038"/>
      <c r="AH1163" s="3038"/>
      <c r="AK1163" s="3038"/>
      <c r="AL1163" s="3038"/>
      <c r="AM1163" s="3038"/>
      <c r="AN1163" s="3038"/>
      <c r="AO1163" s="3038"/>
      <c r="AP1163" s="3038"/>
      <c r="AQ1163" s="3038"/>
      <c r="AR1163" s="3038"/>
      <c r="AS1163" s="3038"/>
      <c r="AT1163" s="3038"/>
      <c r="AU1163" s="3038"/>
      <c r="AV1163" s="3038"/>
      <c r="AW1163" s="3038"/>
      <c r="AX1163" s="3038"/>
      <c r="AY1163" s="3038"/>
      <c r="AZ1163" s="3038"/>
      <c r="BA1163" s="3038"/>
      <c r="BB1163" s="3038"/>
      <c r="BC1163" s="3038"/>
      <c r="BD1163" s="3038"/>
      <c r="BE1163" s="3038"/>
      <c r="BF1163" s="3038"/>
      <c r="BG1163" s="3038"/>
      <c r="BH1163" s="3038"/>
      <c r="BI1163" s="3038"/>
      <c r="BJ1163" s="3038"/>
      <c r="BK1163" s="3038"/>
      <c r="BL1163" s="3038"/>
      <c r="BM1163" s="3038"/>
      <c r="BN1163" s="3038"/>
      <c r="BO1163" s="3038"/>
      <c r="BP1163" s="3038"/>
      <c r="BQ1163" s="3038"/>
      <c r="BR1163" s="3038"/>
      <c r="BS1163" s="3038"/>
      <c r="BT1163" s="3038"/>
      <c r="BU1163" s="3038"/>
    </row>
    <row r="1164" spans="3:73">
      <c r="C1164" s="3038"/>
      <c r="D1164" s="3038"/>
      <c r="E1164" s="3038"/>
      <c r="H1164" s="3038"/>
      <c r="I1164" s="3038"/>
      <c r="J1164" s="3038"/>
      <c r="K1164" s="3038"/>
      <c r="M1164" s="3038"/>
      <c r="N1164" s="3038"/>
      <c r="O1164" s="3038"/>
      <c r="P1164" s="3038"/>
      <c r="Q1164" s="3038"/>
      <c r="R1164" s="3038"/>
      <c r="S1164" s="3038"/>
      <c r="T1164" s="3038"/>
      <c r="W1164" s="3038"/>
      <c r="X1164" s="3038"/>
      <c r="Y1164" s="3038"/>
      <c r="Z1164" s="3038"/>
      <c r="AA1164" s="3113"/>
      <c r="AB1164" s="3038"/>
      <c r="AC1164" s="3038"/>
      <c r="AD1164" s="3038"/>
      <c r="AE1164" s="3132"/>
      <c r="AF1164" s="3038"/>
      <c r="AG1164" s="3038"/>
      <c r="AH1164" s="3038"/>
      <c r="AK1164" s="3038"/>
      <c r="AL1164" s="3038"/>
      <c r="AM1164" s="3038"/>
      <c r="AN1164" s="3038"/>
      <c r="AO1164" s="3038"/>
      <c r="AP1164" s="3038"/>
      <c r="AQ1164" s="3038"/>
      <c r="AR1164" s="3038"/>
      <c r="AS1164" s="3038"/>
      <c r="AT1164" s="3038"/>
      <c r="AU1164" s="3038"/>
      <c r="AV1164" s="3038"/>
      <c r="AW1164" s="3038"/>
      <c r="AX1164" s="3038"/>
      <c r="AY1164" s="3038"/>
      <c r="AZ1164" s="3038"/>
      <c r="BA1164" s="3038"/>
      <c r="BB1164" s="3038"/>
      <c r="BC1164" s="3038"/>
      <c r="BD1164" s="3038"/>
      <c r="BE1164" s="3038"/>
      <c r="BF1164" s="3038"/>
      <c r="BG1164" s="3038"/>
      <c r="BH1164" s="3038"/>
      <c r="BI1164" s="3038"/>
      <c r="BJ1164" s="3038"/>
      <c r="BK1164" s="3038"/>
      <c r="BL1164" s="3038"/>
      <c r="BM1164" s="3038"/>
      <c r="BN1164" s="3038"/>
      <c r="BO1164" s="3038"/>
      <c r="BP1164" s="3038"/>
      <c r="BQ1164" s="3038"/>
      <c r="BR1164" s="3038"/>
      <c r="BS1164" s="3038"/>
      <c r="BT1164" s="3038"/>
      <c r="BU1164" s="3038"/>
    </row>
    <row r="1165" spans="3:73">
      <c r="C1165" s="3038"/>
      <c r="D1165" s="3038"/>
      <c r="E1165" s="3038"/>
      <c r="H1165" s="3038"/>
      <c r="I1165" s="3038"/>
      <c r="J1165" s="3038"/>
      <c r="K1165" s="3038"/>
      <c r="M1165" s="3038"/>
      <c r="N1165" s="3038"/>
      <c r="O1165" s="3038"/>
      <c r="P1165" s="3038"/>
      <c r="Q1165" s="3038"/>
      <c r="R1165" s="3038"/>
      <c r="S1165" s="3038"/>
      <c r="T1165" s="3038"/>
      <c r="W1165" s="3038"/>
      <c r="X1165" s="3038"/>
      <c r="Y1165" s="3038"/>
      <c r="Z1165" s="3038"/>
      <c r="AA1165" s="3113"/>
      <c r="AB1165" s="3038"/>
      <c r="AC1165" s="3038"/>
      <c r="AD1165" s="3038"/>
      <c r="AE1165" s="3132"/>
      <c r="AF1165" s="3038"/>
      <c r="AG1165" s="3038"/>
      <c r="AH1165" s="3038"/>
      <c r="AK1165" s="3038"/>
      <c r="AL1165" s="3038"/>
      <c r="AM1165" s="3038"/>
      <c r="AN1165" s="3038"/>
      <c r="AO1165" s="3038"/>
      <c r="AP1165" s="3038"/>
      <c r="AQ1165" s="3038"/>
      <c r="AR1165" s="3038"/>
      <c r="AS1165" s="3038"/>
      <c r="AT1165" s="3038"/>
      <c r="AU1165" s="3038"/>
      <c r="AV1165" s="3038"/>
      <c r="AW1165" s="3038"/>
      <c r="AX1165" s="3038"/>
      <c r="AY1165" s="3038"/>
      <c r="AZ1165" s="3038"/>
      <c r="BA1165" s="3038"/>
      <c r="BB1165" s="3038"/>
      <c r="BC1165" s="3038"/>
      <c r="BD1165" s="3038"/>
      <c r="BE1165" s="3038"/>
      <c r="BF1165" s="3038"/>
      <c r="BG1165" s="3038"/>
      <c r="BH1165" s="3038"/>
      <c r="BI1165" s="3038"/>
      <c r="BJ1165" s="3038"/>
      <c r="BK1165" s="3038"/>
      <c r="BL1165" s="3038"/>
      <c r="BM1165" s="3038"/>
      <c r="BN1165" s="3038"/>
      <c r="BO1165" s="3038"/>
      <c r="BP1165" s="3038"/>
      <c r="BQ1165" s="3038"/>
      <c r="BR1165" s="3038"/>
      <c r="BS1165" s="3038"/>
      <c r="BT1165" s="3038"/>
      <c r="BU1165" s="3038"/>
    </row>
    <row r="1166" spans="3:73">
      <c r="C1166" s="3038"/>
      <c r="D1166" s="3038"/>
      <c r="E1166" s="3038"/>
      <c r="H1166" s="3038"/>
      <c r="I1166" s="3038"/>
      <c r="J1166" s="3038"/>
      <c r="K1166" s="3038"/>
      <c r="M1166" s="3038"/>
      <c r="N1166" s="3038"/>
      <c r="O1166" s="3038"/>
      <c r="P1166" s="3038"/>
      <c r="Q1166" s="3038"/>
      <c r="R1166" s="3038"/>
      <c r="S1166" s="3038"/>
      <c r="T1166" s="3038"/>
      <c r="W1166" s="3038"/>
      <c r="X1166" s="3038"/>
      <c r="Y1166" s="3038"/>
      <c r="Z1166" s="3038"/>
      <c r="AA1166" s="3113"/>
      <c r="AB1166" s="3038"/>
      <c r="AC1166" s="3038"/>
      <c r="AD1166" s="3038"/>
      <c r="AE1166" s="3132"/>
      <c r="AF1166" s="3038"/>
      <c r="AG1166" s="3038"/>
      <c r="AH1166" s="3038"/>
      <c r="AK1166" s="3038"/>
      <c r="AL1166" s="3038"/>
      <c r="AM1166" s="3038"/>
      <c r="AN1166" s="3038"/>
      <c r="AO1166" s="3038"/>
      <c r="AP1166" s="3038"/>
      <c r="AQ1166" s="3038"/>
      <c r="AR1166" s="3038"/>
      <c r="AS1166" s="3038"/>
      <c r="AT1166" s="3038"/>
      <c r="AU1166" s="3038"/>
      <c r="AV1166" s="3038"/>
      <c r="AW1166" s="3038"/>
      <c r="AX1166" s="3038"/>
      <c r="AY1166" s="3038"/>
      <c r="AZ1166" s="3038"/>
      <c r="BA1166" s="3038"/>
      <c r="BB1166" s="3038"/>
      <c r="BC1166" s="3038"/>
      <c r="BD1166" s="3038"/>
      <c r="BE1166" s="3038"/>
      <c r="BF1166" s="3038"/>
      <c r="BG1166" s="3038"/>
      <c r="BH1166" s="3038"/>
      <c r="BI1166" s="3038"/>
      <c r="BJ1166" s="3038"/>
      <c r="BK1166" s="3038"/>
      <c r="BL1166" s="3038"/>
      <c r="BM1166" s="3038"/>
      <c r="BN1166" s="3038"/>
      <c r="BO1166" s="3038"/>
      <c r="BP1166" s="3038"/>
      <c r="BQ1166" s="3038"/>
      <c r="BR1166" s="3038"/>
      <c r="BS1166" s="3038"/>
      <c r="BT1166" s="3038"/>
      <c r="BU1166" s="3038"/>
    </row>
    <row r="1167" spans="3:73">
      <c r="C1167" s="3038"/>
      <c r="D1167" s="3038"/>
      <c r="E1167" s="3038"/>
      <c r="H1167" s="3038"/>
      <c r="I1167" s="3038"/>
      <c r="J1167" s="3038"/>
      <c r="K1167" s="3038"/>
      <c r="M1167" s="3038"/>
      <c r="N1167" s="3038"/>
      <c r="O1167" s="3038"/>
      <c r="P1167" s="3038"/>
      <c r="Q1167" s="3038"/>
      <c r="R1167" s="3038"/>
      <c r="S1167" s="3038"/>
      <c r="T1167" s="3038"/>
      <c r="W1167" s="3038"/>
      <c r="X1167" s="3038"/>
      <c r="Y1167" s="3038"/>
      <c r="Z1167" s="3038"/>
      <c r="AA1167" s="3113"/>
      <c r="AB1167" s="3038"/>
      <c r="AC1167" s="3038"/>
      <c r="AD1167" s="3038"/>
      <c r="AE1167" s="3132"/>
      <c r="AF1167" s="3038"/>
      <c r="AG1167" s="3038"/>
      <c r="AH1167" s="3038"/>
      <c r="AK1167" s="3038"/>
      <c r="AL1167" s="3038"/>
      <c r="AM1167" s="3038"/>
      <c r="AN1167" s="3038"/>
      <c r="AO1167" s="3038"/>
      <c r="AP1167" s="3038"/>
      <c r="AQ1167" s="3038"/>
      <c r="AR1167" s="3038"/>
      <c r="AS1167" s="3038"/>
      <c r="AT1167" s="3038"/>
      <c r="AU1167" s="3038"/>
      <c r="AV1167" s="3038"/>
      <c r="AW1167" s="3038"/>
      <c r="AX1167" s="3038"/>
      <c r="AY1167" s="3038"/>
      <c r="AZ1167" s="3038"/>
      <c r="BA1167" s="3038"/>
      <c r="BB1167" s="3038"/>
      <c r="BC1167" s="3038"/>
      <c r="BD1167" s="3038"/>
      <c r="BE1167" s="3038"/>
      <c r="BF1167" s="3038"/>
      <c r="BG1167" s="3038"/>
      <c r="BH1167" s="3038"/>
      <c r="BI1167" s="3038"/>
      <c r="BJ1167" s="3038"/>
      <c r="BK1167" s="3038"/>
      <c r="BL1167" s="3038"/>
      <c r="BM1167" s="3038"/>
      <c r="BN1167" s="3038"/>
      <c r="BO1167" s="3038"/>
      <c r="BP1167" s="3038"/>
      <c r="BQ1167" s="3038"/>
      <c r="BR1167" s="3038"/>
      <c r="BS1167" s="3038"/>
      <c r="BT1167" s="3038"/>
      <c r="BU1167" s="3038"/>
    </row>
    <row r="1168" spans="3:73">
      <c r="C1168" s="3038"/>
      <c r="D1168" s="3038"/>
      <c r="E1168" s="3038"/>
      <c r="H1168" s="3038"/>
      <c r="I1168" s="3038"/>
      <c r="J1168" s="3038"/>
      <c r="K1168" s="3038"/>
      <c r="M1168" s="3038"/>
      <c r="N1168" s="3038"/>
      <c r="O1168" s="3038"/>
      <c r="P1168" s="3038"/>
      <c r="Q1168" s="3038"/>
      <c r="R1168" s="3038"/>
      <c r="S1168" s="3038"/>
      <c r="T1168" s="3038"/>
      <c r="W1168" s="3038"/>
      <c r="X1168" s="3038"/>
      <c r="Y1168" s="3038"/>
      <c r="Z1168" s="3038"/>
      <c r="AA1168" s="3113"/>
      <c r="AB1168" s="3038"/>
      <c r="AC1168" s="3038"/>
      <c r="AD1168" s="3038"/>
      <c r="AE1168" s="3132"/>
      <c r="AF1168" s="3038"/>
      <c r="AG1168" s="3038"/>
      <c r="AH1168" s="3038"/>
      <c r="AK1168" s="3038"/>
      <c r="AL1168" s="3038"/>
      <c r="AM1168" s="3038"/>
      <c r="AN1168" s="3038"/>
      <c r="AO1168" s="3038"/>
      <c r="AP1168" s="3038"/>
      <c r="AQ1168" s="3038"/>
      <c r="AR1168" s="3038"/>
      <c r="AS1168" s="3038"/>
      <c r="AT1168" s="3038"/>
      <c r="AU1168" s="3038"/>
      <c r="AV1168" s="3038"/>
      <c r="AW1168" s="3038"/>
      <c r="AX1168" s="3038"/>
      <c r="AY1168" s="3038"/>
      <c r="AZ1168" s="3038"/>
      <c r="BA1168" s="3038"/>
      <c r="BB1168" s="3038"/>
      <c r="BC1168" s="3038"/>
      <c r="BD1168" s="3038"/>
      <c r="BE1168" s="3038"/>
      <c r="BF1168" s="3038"/>
      <c r="BG1168" s="3038"/>
      <c r="BH1168" s="3038"/>
      <c r="BI1168" s="3038"/>
      <c r="BJ1168" s="3038"/>
      <c r="BK1168" s="3038"/>
      <c r="BL1168" s="3038"/>
      <c r="BM1168" s="3038"/>
      <c r="BN1168" s="3038"/>
      <c r="BO1168" s="3038"/>
      <c r="BP1168" s="3038"/>
      <c r="BQ1168" s="3038"/>
      <c r="BR1168" s="3038"/>
      <c r="BS1168" s="3038"/>
      <c r="BT1168" s="3038"/>
      <c r="BU1168" s="3038"/>
    </row>
    <row r="1169" spans="3:73">
      <c r="C1169" s="3038"/>
      <c r="D1169" s="3038"/>
      <c r="E1169" s="3038"/>
      <c r="H1169" s="3038"/>
      <c r="I1169" s="3038"/>
      <c r="J1169" s="3038"/>
      <c r="K1169" s="3038"/>
      <c r="M1169" s="3038"/>
      <c r="N1169" s="3038"/>
      <c r="O1169" s="3038"/>
      <c r="P1169" s="3038"/>
      <c r="Q1169" s="3038"/>
      <c r="R1169" s="3038"/>
      <c r="S1169" s="3038"/>
      <c r="T1169" s="3038"/>
      <c r="W1169" s="3038"/>
      <c r="X1169" s="3038"/>
      <c r="Y1169" s="3038"/>
      <c r="Z1169" s="3038"/>
      <c r="AA1169" s="3113"/>
      <c r="AB1169" s="3038"/>
      <c r="AC1169" s="3038"/>
      <c r="AD1169" s="3038"/>
      <c r="AE1169" s="3132"/>
      <c r="AF1169" s="3038"/>
      <c r="AG1169" s="3038"/>
      <c r="AH1169" s="3038"/>
      <c r="AK1169" s="3038"/>
      <c r="AL1169" s="3038"/>
      <c r="AM1169" s="3038"/>
      <c r="AN1169" s="3038"/>
      <c r="AO1169" s="3038"/>
      <c r="AP1169" s="3038"/>
      <c r="AQ1169" s="3038"/>
      <c r="AR1169" s="3038"/>
      <c r="AS1169" s="3038"/>
      <c r="AT1169" s="3038"/>
      <c r="AU1169" s="3038"/>
      <c r="AV1169" s="3038"/>
      <c r="AW1169" s="3038"/>
      <c r="AX1169" s="3038"/>
      <c r="AY1169" s="3038"/>
      <c r="AZ1169" s="3038"/>
      <c r="BA1169" s="3038"/>
      <c r="BB1169" s="3038"/>
      <c r="BC1169" s="3038"/>
      <c r="BD1169" s="3038"/>
      <c r="BE1169" s="3038"/>
      <c r="BF1169" s="3038"/>
      <c r="BG1169" s="3038"/>
      <c r="BH1169" s="3038"/>
      <c r="BI1169" s="3038"/>
      <c r="BJ1169" s="3038"/>
      <c r="BK1169" s="3038"/>
      <c r="BL1169" s="3038"/>
      <c r="BM1169" s="3038"/>
      <c r="BN1169" s="3038"/>
      <c r="BO1169" s="3038"/>
      <c r="BP1169" s="3038"/>
      <c r="BQ1169" s="3038"/>
      <c r="BR1169" s="3038"/>
      <c r="BS1169" s="3038"/>
      <c r="BT1169" s="3038"/>
      <c r="BU1169" s="3038"/>
    </row>
    <row r="1170" spans="3:73">
      <c r="C1170" s="3038"/>
      <c r="D1170" s="3038"/>
      <c r="E1170" s="3038"/>
      <c r="H1170" s="3038"/>
      <c r="I1170" s="3038"/>
      <c r="J1170" s="3038"/>
      <c r="K1170" s="3038"/>
      <c r="M1170" s="3038"/>
      <c r="N1170" s="3038"/>
      <c r="O1170" s="3038"/>
      <c r="P1170" s="3038"/>
      <c r="Q1170" s="3038"/>
      <c r="R1170" s="3038"/>
      <c r="S1170" s="3038"/>
      <c r="T1170" s="3038"/>
      <c r="W1170" s="3038"/>
      <c r="X1170" s="3038"/>
      <c r="Y1170" s="3038"/>
      <c r="Z1170" s="3038"/>
      <c r="AA1170" s="3113"/>
      <c r="AB1170" s="3038"/>
      <c r="AC1170" s="3038"/>
      <c r="AD1170" s="3038"/>
      <c r="AE1170" s="3132"/>
      <c r="AF1170" s="3038"/>
      <c r="AG1170" s="3038"/>
      <c r="AH1170" s="3038"/>
      <c r="AK1170" s="3038"/>
      <c r="AL1170" s="3038"/>
      <c r="AM1170" s="3038"/>
      <c r="AN1170" s="3038"/>
      <c r="AO1170" s="3038"/>
      <c r="AP1170" s="3038"/>
      <c r="AQ1170" s="3038"/>
      <c r="AR1170" s="3038"/>
      <c r="AS1170" s="3038"/>
      <c r="AT1170" s="3038"/>
      <c r="AU1170" s="3038"/>
      <c r="AV1170" s="3038"/>
      <c r="AW1170" s="3038"/>
      <c r="AX1170" s="3038"/>
      <c r="AY1170" s="3038"/>
      <c r="AZ1170" s="3038"/>
      <c r="BA1170" s="3038"/>
      <c r="BB1170" s="3038"/>
      <c r="BC1170" s="3038"/>
      <c r="BD1170" s="3038"/>
      <c r="BE1170" s="3038"/>
      <c r="BF1170" s="3038"/>
      <c r="BG1170" s="3038"/>
      <c r="BH1170" s="3038"/>
      <c r="BI1170" s="3038"/>
      <c r="BJ1170" s="3038"/>
      <c r="BK1170" s="3038"/>
      <c r="BL1170" s="3038"/>
      <c r="BM1170" s="3038"/>
      <c r="BN1170" s="3038"/>
      <c r="BO1170" s="3038"/>
      <c r="BP1170" s="3038"/>
      <c r="BQ1170" s="3038"/>
      <c r="BR1170" s="3038"/>
      <c r="BS1170" s="3038"/>
      <c r="BT1170" s="3038"/>
      <c r="BU1170" s="3038"/>
    </row>
    <row r="1171" spans="3:73">
      <c r="C1171" s="3038"/>
      <c r="D1171" s="3038"/>
      <c r="E1171" s="3038"/>
      <c r="H1171" s="3038"/>
      <c r="I1171" s="3038"/>
      <c r="J1171" s="3038"/>
      <c r="K1171" s="3038"/>
      <c r="M1171" s="3038"/>
      <c r="N1171" s="3038"/>
      <c r="O1171" s="3038"/>
      <c r="P1171" s="3038"/>
      <c r="Q1171" s="3038"/>
      <c r="R1171" s="3038"/>
      <c r="S1171" s="3038"/>
      <c r="T1171" s="3038"/>
      <c r="W1171" s="3038"/>
      <c r="X1171" s="3038"/>
      <c r="Y1171" s="3038"/>
      <c r="Z1171" s="3038"/>
      <c r="AA1171" s="3113"/>
      <c r="AB1171" s="3038"/>
      <c r="AC1171" s="3038"/>
      <c r="AD1171" s="3038"/>
      <c r="AE1171" s="3132"/>
      <c r="AF1171" s="3038"/>
      <c r="AG1171" s="3038"/>
      <c r="AH1171" s="3038"/>
      <c r="AK1171" s="3038"/>
      <c r="AL1171" s="3038"/>
      <c r="AM1171" s="3038"/>
      <c r="AN1171" s="3038"/>
      <c r="AO1171" s="3038"/>
      <c r="AP1171" s="3038"/>
      <c r="AQ1171" s="3038"/>
      <c r="AR1171" s="3038"/>
      <c r="AS1171" s="3038"/>
      <c r="AT1171" s="3038"/>
      <c r="AU1171" s="3038"/>
      <c r="AV1171" s="3038"/>
      <c r="AW1171" s="3038"/>
      <c r="AX1171" s="3038"/>
      <c r="AY1171" s="3038"/>
      <c r="AZ1171" s="3038"/>
      <c r="BA1171" s="3038"/>
      <c r="BB1171" s="3038"/>
      <c r="BC1171" s="3038"/>
      <c r="BD1171" s="3038"/>
      <c r="BE1171" s="3038"/>
      <c r="BF1171" s="3038"/>
      <c r="BG1171" s="3038"/>
      <c r="BH1171" s="3038"/>
      <c r="BI1171" s="3038"/>
      <c r="BJ1171" s="3038"/>
      <c r="BK1171" s="3038"/>
      <c r="BL1171" s="3038"/>
      <c r="BM1171" s="3038"/>
      <c r="BN1171" s="3038"/>
      <c r="BO1171" s="3038"/>
      <c r="BP1171" s="3038"/>
      <c r="BQ1171" s="3038"/>
      <c r="BR1171" s="3038"/>
      <c r="BS1171" s="3038"/>
      <c r="BT1171" s="3038"/>
      <c r="BU1171" s="3038"/>
    </row>
    <row r="1172" spans="3:73">
      <c r="C1172" s="3038"/>
      <c r="D1172" s="3038"/>
      <c r="E1172" s="3038"/>
      <c r="H1172" s="3038"/>
      <c r="I1172" s="3038"/>
      <c r="J1172" s="3038"/>
      <c r="K1172" s="3038"/>
      <c r="M1172" s="3038"/>
      <c r="N1172" s="3038"/>
      <c r="O1172" s="3038"/>
      <c r="P1172" s="3038"/>
      <c r="Q1172" s="3038"/>
      <c r="R1172" s="3038"/>
      <c r="S1172" s="3038"/>
      <c r="T1172" s="3038"/>
      <c r="W1172" s="3038"/>
      <c r="X1172" s="3038"/>
      <c r="Y1172" s="3038"/>
      <c r="Z1172" s="3038"/>
      <c r="AA1172" s="3113"/>
      <c r="AB1172" s="3038"/>
      <c r="AC1172" s="3038"/>
      <c r="AD1172" s="3038"/>
      <c r="AE1172" s="3132"/>
      <c r="AF1172" s="3038"/>
      <c r="AG1172" s="3038"/>
      <c r="AH1172" s="3038"/>
      <c r="AK1172" s="3038"/>
      <c r="AL1172" s="3038"/>
      <c r="AM1172" s="3038"/>
      <c r="AN1172" s="3038"/>
      <c r="AO1172" s="3038"/>
      <c r="AP1172" s="3038"/>
      <c r="AQ1172" s="3038"/>
      <c r="AR1172" s="3038"/>
      <c r="AS1172" s="3038"/>
      <c r="AT1172" s="3038"/>
      <c r="AU1172" s="3038"/>
      <c r="AV1172" s="3038"/>
      <c r="AW1172" s="3038"/>
      <c r="AX1172" s="3038"/>
      <c r="AY1172" s="3038"/>
      <c r="AZ1172" s="3038"/>
      <c r="BA1172" s="3038"/>
      <c r="BB1172" s="3038"/>
      <c r="BC1172" s="3038"/>
      <c r="BD1172" s="3038"/>
      <c r="BE1172" s="3038"/>
      <c r="BF1172" s="3038"/>
      <c r="BG1172" s="3038"/>
      <c r="BH1172" s="3038"/>
      <c r="BI1172" s="3038"/>
      <c r="BJ1172" s="3038"/>
      <c r="BK1172" s="3038"/>
      <c r="BL1172" s="3038"/>
      <c r="BM1172" s="3038"/>
      <c r="BN1172" s="3038"/>
      <c r="BO1172" s="3038"/>
      <c r="BP1172" s="3038"/>
      <c r="BQ1172" s="3038"/>
      <c r="BR1172" s="3038"/>
      <c r="BS1172" s="3038"/>
      <c r="BT1172" s="3038"/>
      <c r="BU1172" s="3038"/>
    </row>
    <row r="1173" spans="3:73">
      <c r="C1173" s="3038"/>
      <c r="D1173" s="3038"/>
      <c r="E1173" s="3038"/>
      <c r="H1173" s="3038"/>
      <c r="I1173" s="3038"/>
      <c r="J1173" s="3038"/>
      <c r="K1173" s="3038"/>
      <c r="M1173" s="3038"/>
      <c r="N1173" s="3038"/>
      <c r="O1173" s="3038"/>
      <c r="P1173" s="3038"/>
      <c r="Q1173" s="3038"/>
      <c r="R1173" s="3038"/>
      <c r="S1173" s="3038"/>
      <c r="T1173" s="3038"/>
      <c r="W1173" s="3038"/>
      <c r="X1173" s="3038"/>
      <c r="Y1173" s="3038"/>
      <c r="Z1173" s="3038"/>
      <c r="AA1173" s="3113"/>
      <c r="AB1173" s="3038"/>
      <c r="AC1173" s="3038"/>
      <c r="AD1173" s="3038"/>
      <c r="AE1173" s="3132"/>
      <c r="AF1173" s="3038"/>
      <c r="AG1173" s="3038"/>
      <c r="AH1173" s="3038"/>
      <c r="AK1173" s="3038"/>
      <c r="AL1173" s="3038"/>
      <c r="AM1173" s="3038"/>
      <c r="AN1173" s="3038"/>
      <c r="AO1173" s="3038"/>
      <c r="AP1173" s="3038"/>
      <c r="AQ1173" s="3038"/>
      <c r="AR1173" s="3038"/>
      <c r="AS1173" s="3038"/>
      <c r="AT1173" s="3038"/>
      <c r="AU1173" s="3038"/>
      <c r="AV1173" s="3038"/>
      <c r="AW1173" s="3038"/>
      <c r="AX1173" s="3038"/>
      <c r="AY1173" s="3038"/>
      <c r="AZ1173" s="3038"/>
      <c r="BA1173" s="3038"/>
      <c r="BB1173" s="3038"/>
      <c r="BC1173" s="3038"/>
      <c r="BD1173" s="3038"/>
      <c r="BE1173" s="3038"/>
      <c r="BF1173" s="3038"/>
      <c r="BG1173" s="3038"/>
      <c r="BH1173" s="3038"/>
      <c r="BI1173" s="3038"/>
      <c r="BJ1173" s="3038"/>
      <c r="BK1173" s="3038"/>
      <c r="BL1173" s="3038"/>
      <c r="BM1173" s="3038"/>
      <c r="BN1173" s="3038"/>
      <c r="BO1173" s="3038"/>
      <c r="BP1173" s="3038"/>
      <c r="BQ1173" s="3038"/>
      <c r="BR1173" s="3038"/>
      <c r="BS1173" s="3038"/>
      <c r="BT1173" s="3038"/>
      <c r="BU1173" s="3038"/>
    </row>
    <row r="1174" spans="3:73">
      <c r="C1174" s="3038"/>
      <c r="D1174" s="3038"/>
      <c r="E1174" s="3038"/>
      <c r="H1174" s="3038"/>
      <c r="I1174" s="3038"/>
      <c r="J1174" s="3038"/>
      <c r="K1174" s="3038"/>
      <c r="M1174" s="3038"/>
      <c r="N1174" s="3038"/>
      <c r="O1174" s="3038"/>
      <c r="P1174" s="3038"/>
      <c r="Q1174" s="3038"/>
      <c r="R1174" s="3038"/>
      <c r="S1174" s="3038"/>
      <c r="T1174" s="3038"/>
      <c r="W1174" s="3038"/>
      <c r="X1174" s="3038"/>
      <c r="Y1174" s="3038"/>
      <c r="Z1174" s="3038"/>
      <c r="AA1174" s="3113"/>
      <c r="AB1174" s="3038"/>
      <c r="AC1174" s="3038"/>
      <c r="AD1174" s="3038"/>
      <c r="AE1174" s="3132"/>
      <c r="AF1174" s="3038"/>
      <c r="AG1174" s="3038"/>
      <c r="AH1174" s="3038"/>
      <c r="AK1174" s="3038"/>
      <c r="AL1174" s="3038"/>
      <c r="AM1174" s="3038"/>
      <c r="AN1174" s="3038"/>
      <c r="AO1174" s="3038"/>
      <c r="AP1174" s="3038"/>
      <c r="AQ1174" s="3038"/>
      <c r="AR1174" s="3038"/>
      <c r="AS1174" s="3038"/>
      <c r="AT1174" s="3038"/>
      <c r="AU1174" s="3038"/>
      <c r="AV1174" s="3038"/>
      <c r="AW1174" s="3038"/>
      <c r="AX1174" s="3038"/>
      <c r="AY1174" s="3038"/>
      <c r="AZ1174" s="3038"/>
      <c r="BA1174" s="3038"/>
      <c r="BB1174" s="3038"/>
      <c r="BC1174" s="3038"/>
      <c r="BD1174" s="3038"/>
      <c r="BE1174" s="3038"/>
      <c r="BF1174" s="3038"/>
      <c r="BG1174" s="3038"/>
      <c r="BH1174" s="3038"/>
      <c r="BI1174" s="3038"/>
      <c r="BJ1174" s="3038"/>
      <c r="BK1174" s="3038"/>
      <c r="BL1174" s="3038"/>
      <c r="BM1174" s="3038"/>
      <c r="BN1174" s="3038"/>
      <c r="BO1174" s="3038"/>
      <c r="BP1174" s="3038"/>
      <c r="BQ1174" s="3038"/>
      <c r="BR1174" s="3038"/>
      <c r="BS1174" s="3038"/>
      <c r="BT1174" s="3038"/>
      <c r="BU1174" s="3038"/>
    </row>
    <row r="1175" spans="3:73">
      <c r="C1175" s="3038"/>
      <c r="D1175" s="3038"/>
      <c r="E1175" s="3038"/>
      <c r="H1175" s="3038"/>
      <c r="I1175" s="3038"/>
      <c r="J1175" s="3038"/>
      <c r="K1175" s="3038"/>
      <c r="M1175" s="3038"/>
      <c r="N1175" s="3038"/>
      <c r="O1175" s="3038"/>
      <c r="P1175" s="3038"/>
      <c r="Q1175" s="3038"/>
      <c r="R1175" s="3038"/>
      <c r="S1175" s="3038"/>
      <c r="T1175" s="3038"/>
      <c r="W1175" s="3038"/>
      <c r="X1175" s="3038"/>
      <c r="Y1175" s="3038"/>
      <c r="Z1175" s="3038"/>
      <c r="AA1175" s="3113"/>
      <c r="AB1175" s="3038"/>
      <c r="AC1175" s="3038"/>
      <c r="AD1175" s="3038"/>
      <c r="AE1175" s="3132"/>
      <c r="AF1175" s="3038"/>
      <c r="AG1175" s="3038"/>
      <c r="AH1175" s="3038"/>
      <c r="AK1175" s="3038"/>
      <c r="AL1175" s="3038"/>
      <c r="AM1175" s="3038"/>
      <c r="AN1175" s="3038"/>
      <c r="AO1175" s="3038"/>
      <c r="AP1175" s="3038"/>
      <c r="AQ1175" s="3038"/>
      <c r="AR1175" s="3038"/>
      <c r="AS1175" s="3038"/>
      <c r="AT1175" s="3038"/>
      <c r="AU1175" s="3038"/>
      <c r="AV1175" s="3038"/>
      <c r="AW1175" s="3038"/>
      <c r="AX1175" s="3038"/>
      <c r="AY1175" s="3038"/>
      <c r="AZ1175" s="3038"/>
      <c r="BA1175" s="3038"/>
      <c r="BB1175" s="3038"/>
      <c r="BC1175" s="3038"/>
      <c r="BD1175" s="3038"/>
      <c r="BE1175" s="3038"/>
      <c r="BF1175" s="3038"/>
      <c r="BG1175" s="3038"/>
      <c r="BH1175" s="3038"/>
      <c r="BI1175" s="3038"/>
      <c r="BJ1175" s="3038"/>
      <c r="BK1175" s="3038"/>
      <c r="BL1175" s="3038"/>
      <c r="BM1175" s="3038"/>
      <c r="BN1175" s="3038"/>
      <c r="BO1175" s="3038"/>
      <c r="BP1175" s="3038"/>
      <c r="BQ1175" s="3038"/>
      <c r="BR1175" s="3038"/>
      <c r="BS1175" s="3038"/>
      <c r="BT1175" s="3038"/>
      <c r="BU1175" s="3038"/>
    </row>
    <row r="1176" spans="3:73">
      <c r="C1176" s="3038"/>
      <c r="D1176" s="3038"/>
      <c r="E1176" s="3038"/>
      <c r="H1176" s="3038"/>
      <c r="I1176" s="3038"/>
      <c r="J1176" s="3038"/>
      <c r="K1176" s="3038"/>
      <c r="M1176" s="3038"/>
      <c r="N1176" s="3038"/>
      <c r="O1176" s="3038"/>
      <c r="P1176" s="3038"/>
      <c r="Q1176" s="3038"/>
      <c r="R1176" s="3038"/>
      <c r="S1176" s="3038"/>
      <c r="T1176" s="3038"/>
      <c r="W1176" s="3038"/>
      <c r="X1176" s="3038"/>
      <c r="Y1176" s="3038"/>
      <c r="Z1176" s="3038"/>
      <c r="AA1176" s="3113"/>
      <c r="AB1176" s="3038"/>
      <c r="AC1176" s="3038"/>
      <c r="AD1176" s="3038"/>
      <c r="AE1176" s="3132"/>
      <c r="AF1176" s="3038"/>
      <c r="AG1176" s="3038"/>
      <c r="AH1176" s="3038"/>
      <c r="AK1176" s="3038"/>
      <c r="AL1176" s="3038"/>
      <c r="AM1176" s="3038"/>
      <c r="AN1176" s="3038"/>
      <c r="AO1176" s="3038"/>
      <c r="AP1176" s="3038"/>
      <c r="AQ1176" s="3038"/>
      <c r="AR1176" s="3038"/>
      <c r="AS1176" s="3038"/>
      <c r="AT1176" s="3038"/>
      <c r="AU1176" s="3038"/>
      <c r="AV1176" s="3038"/>
      <c r="AW1176" s="3038"/>
      <c r="AX1176" s="3038"/>
      <c r="AY1176" s="3038"/>
      <c r="AZ1176" s="3038"/>
      <c r="BA1176" s="3038"/>
      <c r="BB1176" s="3038"/>
      <c r="BC1176" s="3038"/>
      <c r="BD1176" s="3038"/>
      <c r="BE1176" s="3038"/>
      <c r="BF1176" s="3038"/>
      <c r="BG1176" s="3038"/>
      <c r="BH1176" s="3038"/>
      <c r="BI1176" s="3038"/>
      <c r="BJ1176" s="3038"/>
      <c r="BK1176" s="3038"/>
      <c r="BL1176" s="3038"/>
      <c r="BM1176" s="3038"/>
      <c r="BN1176" s="3038"/>
      <c r="BO1176" s="3038"/>
      <c r="BP1176" s="3038"/>
      <c r="BQ1176" s="3038"/>
      <c r="BR1176" s="3038"/>
      <c r="BS1176" s="3038"/>
      <c r="BT1176" s="3038"/>
      <c r="BU1176" s="3038"/>
    </row>
    <row r="1177" spans="3:73">
      <c r="C1177" s="3038"/>
      <c r="D1177" s="3038"/>
      <c r="E1177" s="3038"/>
      <c r="H1177" s="3038"/>
      <c r="I1177" s="3038"/>
      <c r="J1177" s="3038"/>
      <c r="K1177" s="3038"/>
      <c r="M1177" s="3038"/>
      <c r="N1177" s="3038"/>
      <c r="O1177" s="3038"/>
      <c r="P1177" s="3038"/>
      <c r="Q1177" s="3038"/>
      <c r="R1177" s="3038"/>
      <c r="S1177" s="3038"/>
      <c r="T1177" s="3038"/>
      <c r="W1177" s="3038"/>
      <c r="X1177" s="3038"/>
      <c r="Y1177" s="3038"/>
      <c r="Z1177" s="3038"/>
      <c r="AA1177" s="3113"/>
      <c r="AB1177" s="3038"/>
      <c r="AC1177" s="3038"/>
      <c r="AD1177" s="3038"/>
      <c r="AE1177" s="3132"/>
      <c r="AF1177" s="3038"/>
      <c r="AG1177" s="3038"/>
      <c r="AH1177" s="3038"/>
      <c r="AK1177" s="3038"/>
      <c r="AL1177" s="3038"/>
      <c r="AM1177" s="3038"/>
      <c r="AN1177" s="3038"/>
      <c r="AO1177" s="3038"/>
      <c r="AP1177" s="3038"/>
      <c r="AQ1177" s="3038"/>
      <c r="AR1177" s="3038"/>
      <c r="AS1177" s="3038"/>
      <c r="AT1177" s="3038"/>
      <c r="AU1177" s="3038"/>
      <c r="AV1177" s="3038"/>
      <c r="AW1177" s="3038"/>
      <c r="AX1177" s="3038"/>
      <c r="AY1177" s="3038"/>
      <c r="AZ1177" s="3038"/>
      <c r="BA1177" s="3038"/>
      <c r="BB1177" s="3038"/>
      <c r="BC1177" s="3038"/>
      <c r="BD1177" s="3038"/>
      <c r="BE1177" s="3038"/>
      <c r="BF1177" s="3038"/>
      <c r="BG1177" s="3038"/>
      <c r="BH1177" s="3038"/>
      <c r="BI1177" s="3038"/>
      <c r="BJ1177" s="3038"/>
      <c r="BK1177" s="3038"/>
      <c r="BL1177" s="3038"/>
      <c r="BM1177" s="3038"/>
      <c r="BN1177" s="3038"/>
      <c r="BO1177" s="3038"/>
      <c r="BP1177" s="3038"/>
      <c r="BQ1177" s="3038"/>
      <c r="BR1177" s="3038"/>
      <c r="BS1177" s="3038"/>
      <c r="BT1177" s="3038"/>
      <c r="BU1177" s="3038"/>
    </row>
    <row r="1178" spans="3:73">
      <c r="C1178" s="3038"/>
      <c r="D1178" s="3038"/>
      <c r="E1178" s="3038"/>
      <c r="H1178" s="3038"/>
      <c r="I1178" s="3038"/>
      <c r="J1178" s="3038"/>
      <c r="K1178" s="3038"/>
      <c r="M1178" s="3038"/>
      <c r="N1178" s="3038"/>
      <c r="O1178" s="3038"/>
      <c r="P1178" s="3038"/>
      <c r="Q1178" s="3038"/>
      <c r="R1178" s="3038"/>
      <c r="S1178" s="3038"/>
      <c r="T1178" s="3038"/>
      <c r="W1178" s="3038"/>
      <c r="X1178" s="3038"/>
      <c r="Y1178" s="3038"/>
      <c r="Z1178" s="3038"/>
      <c r="AA1178" s="3113"/>
      <c r="AB1178" s="3038"/>
      <c r="AC1178" s="3038"/>
      <c r="AD1178" s="3038"/>
      <c r="AE1178" s="3132"/>
      <c r="AF1178" s="3038"/>
      <c r="AG1178" s="3038"/>
      <c r="AH1178" s="3038"/>
      <c r="AK1178" s="3038"/>
      <c r="AL1178" s="3038"/>
      <c r="AM1178" s="3038"/>
      <c r="AN1178" s="3038"/>
      <c r="AO1178" s="3038"/>
      <c r="AP1178" s="3038"/>
      <c r="AQ1178" s="3038"/>
      <c r="AR1178" s="3038"/>
      <c r="AS1178" s="3038"/>
      <c r="AT1178" s="3038"/>
      <c r="AU1178" s="3038"/>
      <c r="AV1178" s="3038"/>
      <c r="AW1178" s="3038"/>
      <c r="AX1178" s="3038"/>
      <c r="AY1178" s="3038"/>
      <c r="AZ1178" s="3038"/>
      <c r="BA1178" s="3038"/>
      <c r="BB1178" s="3038"/>
      <c r="BC1178" s="3038"/>
      <c r="BD1178" s="3038"/>
      <c r="BE1178" s="3038"/>
      <c r="BF1178" s="3038"/>
      <c r="BG1178" s="3038"/>
      <c r="BH1178" s="3038"/>
      <c r="BI1178" s="3038"/>
      <c r="BJ1178" s="3038"/>
      <c r="BK1178" s="3038"/>
      <c r="BL1178" s="3038"/>
      <c r="BM1178" s="3038"/>
      <c r="BN1178" s="3038"/>
      <c r="BO1178" s="3038"/>
      <c r="BP1178" s="3038"/>
      <c r="BQ1178" s="3038"/>
      <c r="BR1178" s="3038"/>
      <c r="BS1178" s="3038"/>
      <c r="BT1178" s="3038"/>
      <c r="BU1178" s="3038"/>
    </row>
    <row r="1179" spans="3:73">
      <c r="C1179" s="3038"/>
      <c r="D1179" s="3038"/>
      <c r="E1179" s="3038"/>
      <c r="H1179" s="3038"/>
      <c r="I1179" s="3038"/>
      <c r="J1179" s="3038"/>
      <c r="K1179" s="3038"/>
      <c r="M1179" s="3038"/>
      <c r="N1179" s="3038"/>
      <c r="O1179" s="3038"/>
      <c r="P1179" s="3038"/>
      <c r="Q1179" s="3038"/>
      <c r="R1179" s="3038"/>
      <c r="S1179" s="3038"/>
      <c r="T1179" s="3038"/>
      <c r="W1179" s="3038"/>
      <c r="X1179" s="3038"/>
      <c r="Y1179" s="3038"/>
      <c r="Z1179" s="3038"/>
      <c r="AA1179" s="3113"/>
      <c r="AB1179" s="3038"/>
      <c r="AC1179" s="3038"/>
      <c r="AD1179" s="3038"/>
      <c r="AE1179" s="3132"/>
      <c r="AF1179" s="3038"/>
      <c r="AG1179" s="3038"/>
      <c r="AH1179" s="3038"/>
      <c r="AK1179" s="3038"/>
      <c r="AL1179" s="3038"/>
      <c r="AM1179" s="3038"/>
      <c r="AN1179" s="3038"/>
      <c r="AO1179" s="3038"/>
      <c r="AP1179" s="3038"/>
      <c r="AQ1179" s="3038"/>
      <c r="AR1179" s="3038"/>
      <c r="AS1179" s="3038"/>
      <c r="AT1179" s="3038"/>
      <c r="AU1179" s="3038"/>
      <c r="AV1179" s="3038"/>
      <c r="AW1179" s="3038"/>
      <c r="AX1179" s="3038"/>
      <c r="AY1179" s="3038"/>
      <c r="AZ1179" s="3038"/>
      <c r="BA1179" s="3038"/>
      <c r="BB1179" s="3038"/>
      <c r="BC1179" s="3038"/>
      <c r="BD1179" s="3038"/>
      <c r="BE1179" s="3038"/>
      <c r="BF1179" s="3038"/>
      <c r="BG1179" s="3038"/>
      <c r="BH1179" s="3038"/>
      <c r="BI1179" s="3038"/>
      <c r="BJ1179" s="3038"/>
      <c r="BK1179" s="3038"/>
      <c r="BL1179" s="3038"/>
      <c r="BM1179" s="3038"/>
      <c r="BN1179" s="3038"/>
      <c r="BO1179" s="3038"/>
      <c r="BP1179" s="3038"/>
      <c r="BQ1179" s="3038"/>
      <c r="BR1179" s="3038"/>
      <c r="BS1179" s="3038"/>
      <c r="BT1179" s="3038"/>
      <c r="BU1179" s="3038"/>
    </row>
    <row r="1180" spans="3:73">
      <c r="C1180" s="3038"/>
      <c r="D1180" s="3038"/>
      <c r="E1180" s="3038"/>
      <c r="H1180" s="3038"/>
      <c r="I1180" s="3038"/>
      <c r="J1180" s="3038"/>
      <c r="K1180" s="3038"/>
      <c r="M1180" s="3038"/>
      <c r="N1180" s="3038"/>
      <c r="O1180" s="3038"/>
      <c r="P1180" s="3038"/>
      <c r="Q1180" s="3038"/>
      <c r="R1180" s="3038"/>
      <c r="S1180" s="3038"/>
      <c r="T1180" s="3038"/>
      <c r="W1180" s="3038"/>
      <c r="X1180" s="3038"/>
      <c r="Y1180" s="3038"/>
      <c r="Z1180" s="3038"/>
      <c r="AA1180" s="3113"/>
      <c r="AB1180" s="3038"/>
      <c r="AC1180" s="3038"/>
      <c r="AD1180" s="3038"/>
      <c r="AE1180" s="3132"/>
      <c r="AF1180" s="3038"/>
      <c r="AG1180" s="3038"/>
      <c r="AH1180" s="3038"/>
      <c r="AK1180" s="3038"/>
      <c r="AL1180" s="3038"/>
      <c r="AM1180" s="3038"/>
      <c r="AN1180" s="3038"/>
      <c r="AO1180" s="3038"/>
      <c r="AP1180" s="3038"/>
      <c r="AQ1180" s="3038"/>
      <c r="AR1180" s="3038"/>
      <c r="AS1180" s="3038"/>
      <c r="AT1180" s="3038"/>
      <c r="AU1180" s="3038"/>
      <c r="AV1180" s="3038"/>
      <c r="AW1180" s="3038"/>
      <c r="AX1180" s="3038"/>
      <c r="AY1180" s="3038"/>
      <c r="AZ1180" s="3038"/>
      <c r="BA1180" s="3038"/>
      <c r="BB1180" s="3038"/>
      <c r="BC1180" s="3038"/>
      <c r="BD1180" s="3038"/>
      <c r="BE1180" s="3038"/>
      <c r="BF1180" s="3038"/>
      <c r="BG1180" s="3038"/>
      <c r="BH1180" s="3038"/>
      <c r="BI1180" s="3038"/>
      <c r="BJ1180" s="3038"/>
      <c r="BK1180" s="3038"/>
      <c r="BL1180" s="3038"/>
      <c r="BM1180" s="3038"/>
      <c r="BN1180" s="3038"/>
      <c r="BO1180" s="3038"/>
      <c r="BP1180" s="3038"/>
      <c r="BQ1180" s="3038"/>
      <c r="BR1180" s="3038"/>
      <c r="BS1180" s="3038"/>
      <c r="BT1180" s="3038"/>
      <c r="BU1180" s="3038"/>
    </row>
    <row r="1181" spans="3:73">
      <c r="C1181" s="3038"/>
      <c r="D1181" s="3038"/>
      <c r="E1181" s="3038"/>
      <c r="H1181" s="3038"/>
      <c r="I1181" s="3038"/>
      <c r="J1181" s="3038"/>
      <c r="K1181" s="3038"/>
      <c r="M1181" s="3038"/>
      <c r="N1181" s="3038"/>
      <c r="O1181" s="3038"/>
      <c r="P1181" s="3038"/>
      <c r="Q1181" s="3038"/>
      <c r="R1181" s="3038"/>
      <c r="S1181" s="3038"/>
      <c r="T1181" s="3038"/>
      <c r="W1181" s="3038"/>
      <c r="X1181" s="3038"/>
      <c r="Y1181" s="3038"/>
      <c r="Z1181" s="3038"/>
      <c r="AA1181" s="3113"/>
      <c r="AB1181" s="3038"/>
      <c r="AC1181" s="3038"/>
      <c r="AD1181" s="3038"/>
      <c r="AE1181" s="3132"/>
      <c r="AF1181" s="3038"/>
      <c r="AG1181" s="3038"/>
      <c r="AH1181" s="3038"/>
      <c r="AK1181" s="3038"/>
      <c r="AL1181" s="3038"/>
      <c r="AM1181" s="3038"/>
      <c r="AN1181" s="3038"/>
      <c r="AO1181" s="3038"/>
      <c r="AP1181" s="3038"/>
      <c r="AQ1181" s="3038"/>
      <c r="AR1181" s="3038"/>
      <c r="AS1181" s="3038"/>
      <c r="AT1181" s="3038"/>
      <c r="AU1181" s="3038"/>
      <c r="AV1181" s="3038"/>
      <c r="AW1181" s="3038"/>
      <c r="AX1181" s="3038"/>
      <c r="AY1181" s="3038"/>
      <c r="AZ1181" s="3038"/>
      <c r="BA1181" s="3038"/>
      <c r="BB1181" s="3038"/>
      <c r="BC1181" s="3038"/>
      <c r="BD1181" s="3038"/>
      <c r="BE1181" s="3038"/>
      <c r="BF1181" s="3038"/>
      <c r="BG1181" s="3038"/>
      <c r="BH1181" s="3038"/>
      <c r="BI1181" s="3038"/>
      <c r="BJ1181" s="3038"/>
      <c r="BK1181" s="3038"/>
      <c r="BL1181" s="3038"/>
      <c r="BM1181" s="3038"/>
      <c r="BN1181" s="3038"/>
      <c r="BO1181" s="3038"/>
      <c r="BP1181" s="3038"/>
      <c r="BQ1181" s="3038"/>
      <c r="BR1181" s="3038"/>
      <c r="BS1181" s="3038"/>
      <c r="BT1181" s="3038"/>
      <c r="BU1181" s="3038"/>
    </row>
    <row r="1182" spans="3:73">
      <c r="C1182" s="3038"/>
      <c r="D1182" s="3038"/>
      <c r="E1182" s="3038"/>
      <c r="H1182" s="3038"/>
      <c r="I1182" s="3038"/>
      <c r="J1182" s="3038"/>
      <c r="K1182" s="3038"/>
      <c r="M1182" s="3038"/>
      <c r="N1182" s="3038"/>
      <c r="O1182" s="3038"/>
      <c r="P1182" s="3038"/>
      <c r="Q1182" s="3038"/>
      <c r="R1182" s="3038"/>
      <c r="S1182" s="3038"/>
      <c r="T1182" s="3038"/>
      <c r="W1182" s="3038"/>
      <c r="X1182" s="3038"/>
      <c r="Y1182" s="3038"/>
      <c r="Z1182" s="3038"/>
      <c r="AA1182" s="3113"/>
      <c r="AB1182" s="3038"/>
      <c r="AC1182" s="3038"/>
      <c r="AD1182" s="3038"/>
      <c r="AE1182" s="3132"/>
      <c r="AF1182" s="3038"/>
      <c r="AG1182" s="3038"/>
      <c r="AH1182" s="3038"/>
      <c r="AK1182" s="3038"/>
      <c r="AL1182" s="3038"/>
      <c r="AM1182" s="3038"/>
      <c r="AN1182" s="3038"/>
      <c r="AO1182" s="3038"/>
      <c r="AP1182" s="3038"/>
      <c r="AQ1182" s="3038"/>
      <c r="AR1182" s="3038"/>
      <c r="AS1182" s="3038"/>
      <c r="AT1182" s="3038"/>
      <c r="AU1182" s="3038"/>
      <c r="AV1182" s="3038"/>
      <c r="AW1182" s="3038"/>
      <c r="AX1182" s="3038"/>
      <c r="AY1182" s="3038"/>
      <c r="AZ1182" s="3038"/>
      <c r="BA1182" s="3038"/>
      <c r="BB1182" s="3038"/>
      <c r="BC1182" s="3038"/>
      <c r="BD1182" s="3038"/>
      <c r="BE1182" s="3038"/>
      <c r="BF1182" s="3038"/>
      <c r="BG1182" s="3038"/>
      <c r="BH1182" s="3038"/>
      <c r="BI1182" s="3038"/>
      <c r="BJ1182" s="3038"/>
      <c r="BK1182" s="3038"/>
      <c r="BL1182" s="3038"/>
      <c r="BM1182" s="3038"/>
      <c r="BN1182" s="3038"/>
      <c r="BO1182" s="3038"/>
      <c r="BP1182" s="3038"/>
      <c r="BQ1182" s="3038"/>
      <c r="BR1182" s="3038"/>
      <c r="BS1182" s="3038"/>
      <c r="BT1182" s="3038"/>
      <c r="BU1182" s="3038"/>
    </row>
    <row r="1183" spans="3:73">
      <c r="C1183" s="3038"/>
      <c r="D1183" s="3038"/>
      <c r="E1183" s="3038"/>
      <c r="H1183" s="3038"/>
      <c r="I1183" s="3038"/>
      <c r="J1183" s="3038"/>
      <c r="K1183" s="3038"/>
      <c r="M1183" s="3038"/>
      <c r="N1183" s="3038"/>
      <c r="O1183" s="3038"/>
      <c r="P1183" s="3038"/>
      <c r="Q1183" s="3038"/>
      <c r="R1183" s="3038"/>
      <c r="S1183" s="3038"/>
      <c r="T1183" s="3038"/>
      <c r="W1183" s="3038"/>
      <c r="X1183" s="3038"/>
      <c r="Y1183" s="3038"/>
      <c r="Z1183" s="3038"/>
      <c r="AA1183" s="3113"/>
      <c r="AB1183" s="3038"/>
      <c r="AC1183" s="3038"/>
      <c r="AD1183" s="3038"/>
      <c r="AE1183" s="3132"/>
      <c r="AF1183" s="3038"/>
      <c r="AG1183" s="3038"/>
      <c r="AH1183" s="3038"/>
      <c r="AK1183" s="3038"/>
      <c r="AL1183" s="3038"/>
      <c r="AM1183" s="3038"/>
      <c r="AN1183" s="3038"/>
      <c r="AO1183" s="3038"/>
      <c r="AP1183" s="3038"/>
      <c r="AQ1183" s="3038"/>
      <c r="AR1183" s="3038"/>
      <c r="AS1183" s="3038"/>
      <c r="AT1183" s="3038"/>
      <c r="AU1183" s="3038"/>
      <c r="AV1183" s="3038"/>
      <c r="AW1183" s="3038"/>
      <c r="AX1183" s="3038"/>
      <c r="AY1183" s="3038"/>
      <c r="AZ1183" s="3038"/>
      <c r="BA1183" s="3038"/>
      <c r="BB1183" s="3038"/>
      <c r="BC1183" s="3038"/>
      <c r="BD1183" s="3038"/>
      <c r="BE1183" s="3038"/>
      <c r="BF1183" s="3038"/>
      <c r="BG1183" s="3038"/>
      <c r="BH1183" s="3038"/>
      <c r="BI1183" s="3038"/>
      <c r="BJ1183" s="3038"/>
      <c r="BK1183" s="3038"/>
      <c r="BL1183" s="3038"/>
      <c r="BM1183" s="3038"/>
      <c r="BN1183" s="3038"/>
      <c r="BO1183" s="3038"/>
      <c r="BP1183" s="3038"/>
      <c r="BQ1183" s="3038"/>
      <c r="BR1183" s="3038"/>
      <c r="BS1183" s="3038"/>
      <c r="BT1183" s="3038"/>
      <c r="BU1183" s="3038"/>
    </row>
    <row r="1184" spans="3:73">
      <c r="C1184" s="3038"/>
      <c r="D1184" s="3038"/>
      <c r="E1184" s="3038"/>
      <c r="H1184" s="3038"/>
      <c r="I1184" s="3038"/>
      <c r="J1184" s="3038"/>
      <c r="K1184" s="3038"/>
      <c r="M1184" s="3038"/>
      <c r="N1184" s="3038"/>
      <c r="O1184" s="3038"/>
      <c r="P1184" s="3038"/>
      <c r="Q1184" s="3038"/>
      <c r="R1184" s="3038"/>
      <c r="S1184" s="3038"/>
      <c r="T1184" s="3038"/>
      <c r="W1184" s="3038"/>
      <c r="X1184" s="3038"/>
      <c r="Y1184" s="3038"/>
      <c r="Z1184" s="3038"/>
      <c r="AA1184" s="3113"/>
      <c r="AB1184" s="3038"/>
      <c r="AC1184" s="3038"/>
      <c r="AD1184" s="3038"/>
      <c r="AE1184" s="3132"/>
      <c r="AF1184" s="3038"/>
      <c r="AG1184" s="3038"/>
      <c r="AH1184" s="3038"/>
      <c r="AK1184" s="3038"/>
      <c r="AL1184" s="3038"/>
      <c r="AM1184" s="3038"/>
      <c r="AN1184" s="3038"/>
      <c r="AO1184" s="3038"/>
      <c r="AP1184" s="3038"/>
      <c r="AQ1184" s="3038"/>
      <c r="AR1184" s="3038"/>
      <c r="AS1184" s="3038"/>
      <c r="AT1184" s="3038"/>
      <c r="AU1184" s="3038"/>
      <c r="AV1184" s="3038"/>
      <c r="AW1184" s="3038"/>
      <c r="AX1184" s="3038"/>
      <c r="AY1184" s="3038"/>
      <c r="AZ1184" s="3038"/>
      <c r="BA1184" s="3038"/>
      <c r="BB1184" s="3038"/>
      <c r="BC1184" s="3038"/>
      <c r="BD1184" s="3038"/>
      <c r="BE1184" s="3038"/>
      <c r="BF1184" s="3038"/>
      <c r="BG1184" s="3038"/>
      <c r="BH1184" s="3038"/>
      <c r="BI1184" s="3038"/>
      <c r="BJ1184" s="3038"/>
      <c r="BK1184" s="3038"/>
      <c r="BL1184" s="3038"/>
      <c r="BM1184" s="3038"/>
      <c r="BN1184" s="3038"/>
      <c r="BO1184" s="3038"/>
      <c r="BP1184" s="3038"/>
      <c r="BQ1184" s="3038"/>
      <c r="BR1184" s="3038"/>
      <c r="BS1184" s="3038"/>
      <c r="BT1184" s="3038"/>
      <c r="BU1184" s="3038"/>
    </row>
    <row r="1185" spans="3:73">
      <c r="C1185" s="3038"/>
      <c r="D1185" s="3038"/>
      <c r="E1185" s="3038"/>
      <c r="H1185" s="3038"/>
      <c r="I1185" s="3038"/>
      <c r="J1185" s="3038"/>
      <c r="K1185" s="3038"/>
      <c r="M1185" s="3038"/>
      <c r="N1185" s="3038"/>
      <c r="O1185" s="3038"/>
      <c r="P1185" s="3038"/>
      <c r="Q1185" s="3038"/>
      <c r="R1185" s="3038"/>
      <c r="S1185" s="3038"/>
      <c r="T1185" s="3038"/>
      <c r="W1185" s="3038"/>
      <c r="X1185" s="3038"/>
      <c r="Y1185" s="3038"/>
      <c r="Z1185" s="3038"/>
      <c r="AA1185" s="3113"/>
      <c r="AB1185" s="3038"/>
      <c r="AC1185" s="3038"/>
      <c r="AD1185" s="3038"/>
      <c r="AE1185" s="3132"/>
      <c r="AF1185" s="3038"/>
      <c r="AG1185" s="3038"/>
      <c r="AH1185" s="3038"/>
      <c r="AK1185" s="3038"/>
      <c r="AL1185" s="3038"/>
      <c r="AM1185" s="3038"/>
      <c r="AN1185" s="3038"/>
      <c r="AO1185" s="3038"/>
      <c r="AP1185" s="3038"/>
      <c r="AQ1185" s="3038"/>
      <c r="AR1185" s="3038"/>
      <c r="AS1185" s="3038"/>
      <c r="AT1185" s="3038"/>
      <c r="AU1185" s="3038"/>
      <c r="AV1185" s="3038"/>
      <c r="AW1185" s="3038"/>
      <c r="AX1185" s="3038"/>
      <c r="AY1185" s="3038"/>
      <c r="AZ1185" s="3038"/>
      <c r="BA1185" s="3038"/>
      <c r="BB1185" s="3038"/>
      <c r="BC1185" s="3038"/>
      <c r="BD1185" s="3038"/>
      <c r="BE1185" s="3038"/>
      <c r="BF1185" s="3038"/>
      <c r="BG1185" s="3038"/>
      <c r="BH1185" s="3038"/>
      <c r="BI1185" s="3038"/>
      <c r="BJ1185" s="3038"/>
      <c r="BK1185" s="3038"/>
      <c r="BL1185" s="3038"/>
      <c r="BM1185" s="3038"/>
      <c r="BN1185" s="3038"/>
      <c r="BO1185" s="3038"/>
      <c r="BP1185" s="3038"/>
      <c r="BQ1185" s="3038"/>
      <c r="BR1185" s="3038"/>
      <c r="BS1185" s="3038"/>
      <c r="BT1185" s="3038"/>
      <c r="BU1185" s="3038"/>
    </row>
    <row r="1186" spans="3:73">
      <c r="C1186" s="3038"/>
      <c r="D1186" s="3038"/>
      <c r="E1186" s="3038"/>
      <c r="H1186" s="3038"/>
      <c r="I1186" s="3038"/>
      <c r="J1186" s="3038"/>
      <c r="K1186" s="3038"/>
      <c r="M1186" s="3038"/>
      <c r="N1186" s="3038"/>
      <c r="O1186" s="3038"/>
      <c r="P1186" s="3038"/>
      <c r="Q1186" s="3038"/>
      <c r="R1186" s="3038"/>
      <c r="S1186" s="3038"/>
      <c r="T1186" s="3038"/>
      <c r="W1186" s="3038"/>
      <c r="X1186" s="3038"/>
      <c r="Y1186" s="3038"/>
      <c r="Z1186" s="3038"/>
      <c r="AA1186" s="3113"/>
      <c r="AB1186" s="3038"/>
      <c r="AC1186" s="3038"/>
      <c r="AD1186" s="3038"/>
      <c r="AE1186" s="3132"/>
      <c r="AF1186" s="3038"/>
      <c r="AG1186" s="3038"/>
      <c r="AH1186" s="3038"/>
      <c r="AK1186" s="3038"/>
      <c r="AL1186" s="3038"/>
      <c r="AM1186" s="3038"/>
      <c r="AN1186" s="3038"/>
      <c r="AO1186" s="3038"/>
      <c r="AP1186" s="3038"/>
      <c r="AQ1186" s="3038"/>
      <c r="AR1186" s="3038"/>
      <c r="AS1186" s="3038"/>
      <c r="AT1186" s="3038"/>
      <c r="AU1186" s="3038"/>
      <c r="AV1186" s="3038"/>
      <c r="AW1186" s="3038"/>
      <c r="AX1186" s="3038"/>
      <c r="AY1186" s="3038"/>
      <c r="AZ1186" s="3038"/>
      <c r="BA1186" s="3038"/>
      <c r="BB1186" s="3038"/>
      <c r="BC1186" s="3038"/>
      <c r="BD1186" s="3038"/>
      <c r="BE1186" s="3038"/>
      <c r="BF1186" s="3038"/>
      <c r="BG1186" s="3038"/>
      <c r="BH1186" s="3038"/>
      <c r="BI1186" s="3038"/>
      <c r="BJ1186" s="3038"/>
      <c r="BK1186" s="3038"/>
      <c r="BL1186" s="3038"/>
      <c r="BM1186" s="3038"/>
      <c r="BN1186" s="3038"/>
      <c r="BO1186" s="3038"/>
      <c r="BP1186" s="3038"/>
      <c r="BQ1186" s="3038"/>
      <c r="BR1186" s="3038"/>
      <c r="BS1186" s="3038"/>
      <c r="BT1186" s="3038"/>
      <c r="BU1186" s="3038"/>
    </row>
    <row r="1187" spans="3:73">
      <c r="C1187" s="3038"/>
      <c r="D1187" s="3038"/>
      <c r="E1187" s="3038"/>
      <c r="H1187" s="3038"/>
      <c r="I1187" s="3038"/>
      <c r="J1187" s="3038"/>
      <c r="K1187" s="3038"/>
      <c r="M1187" s="3038"/>
      <c r="N1187" s="3038"/>
      <c r="O1187" s="3038"/>
      <c r="P1187" s="3038"/>
      <c r="Q1187" s="3038"/>
      <c r="R1187" s="3038"/>
      <c r="S1187" s="3038"/>
      <c r="T1187" s="3038"/>
      <c r="W1187" s="3038"/>
      <c r="X1187" s="3038"/>
      <c r="Y1187" s="3038"/>
      <c r="Z1187" s="3038"/>
      <c r="AA1187" s="3113"/>
      <c r="AB1187" s="3038"/>
      <c r="AC1187" s="3038"/>
      <c r="AD1187" s="3038"/>
      <c r="AE1187" s="3132"/>
      <c r="AF1187" s="3038"/>
      <c r="AG1187" s="3038"/>
      <c r="AH1187" s="3038"/>
      <c r="AK1187" s="3038"/>
      <c r="AL1187" s="3038"/>
      <c r="AM1187" s="3038"/>
      <c r="AN1187" s="3038"/>
      <c r="AO1187" s="3038"/>
      <c r="AP1187" s="3038"/>
      <c r="AQ1187" s="3038"/>
      <c r="AR1187" s="3038"/>
      <c r="AS1187" s="3038"/>
      <c r="AT1187" s="3038"/>
      <c r="AU1187" s="3038"/>
      <c r="AV1187" s="3038"/>
      <c r="AW1187" s="3038"/>
      <c r="AX1187" s="3038"/>
      <c r="AY1187" s="3038"/>
      <c r="AZ1187" s="3038"/>
      <c r="BA1187" s="3038"/>
      <c r="BB1187" s="3038"/>
      <c r="BC1187" s="3038"/>
      <c r="BD1187" s="3038"/>
      <c r="BE1187" s="3038"/>
      <c r="BF1187" s="3038"/>
      <c r="BG1187" s="3038"/>
      <c r="BH1187" s="3038"/>
      <c r="BI1187" s="3038"/>
      <c r="BJ1187" s="3038"/>
      <c r="BK1187" s="3038"/>
      <c r="BL1187" s="3038"/>
      <c r="BM1187" s="3038"/>
      <c r="BN1187" s="3038"/>
      <c r="BO1187" s="3038"/>
      <c r="BP1187" s="3038"/>
      <c r="BQ1187" s="3038"/>
      <c r="BR1187" s="3038"/>
      <c r="BS1187" s="3038"/>
      <c r="BT1187" s="3038"/>
      <c r="BU1187" s="3038"/>
    </row>
    <row r="1188" spans="3:73">
      <c r="C1188" s="3038"/>
      <c r="D1188" s="3038"/>
      <c r="E1188" s="3038"/>
      <c r="H1188" s="3038"/>
      <c r="I1188" s="3038"/>
      <c r="J1188" s="3038"/>
      <c r="K1188" s="3038"/>
      <c r="M1188" s="3038"/>
      <c r="N1188" s="3038"/>
      <c r="O1188" s="3038"/>
      <c r="P1188" s="3038"/>
      <c r="Q1188" s="3038"/>
      <c r="R1188" s="3038"/>
      <c r="S1188" s="3038"/>
      <c r="T1188" s="3038"/>
      <c r="W1188" s="3038"/>
      <c r="X1188" s="3038"/>
      <c r="Y1188" s="3038"/>
      <c r="Z1188" s="3038"/>
      <c r="AA1188" s="3113"/>
      <c r="AB1188" s="3038"/>
      <c r="AC1188" s="3038"/>
      <c r="AD1188" s="3038"/>
      <c r="AE1188" s="3132"/>
      <c r="AF1188" s="3038"/>
      <c r="AG1188" s="3038"/>
      <c r="AH1188" s="3038"/>
      <c r="AK1188" s="3038"/>
      <c r="AL1188" s="3038"/>
      <c r="AM1188" s="3038"/>
      <c r="AN1188" s="3038"/>
      <c r="AO1188" s="3038"/>
      <c r="AP1188" s="3038"/>
      <c r="AQ1188" s="3038"/>
      <c r="AR1188" s="3038"/>
      <c r="AS1188" s="3038"/>
      <c r="AT1188" s="3038"/>
      <c r="AU1188" s="3038"/>
      <c r="AV1188" s="3038"/>
      <c r="AW1188" s="3038"/>
      <c r="AX1188" s="3038"/>
      <c r="AY1188" s="3038"/>
      <c r="AZ1188" s="3038"/>
      <c r="BA1188" s="3038"/>
      <c r="BB1188" s="3038"/>
      <c r="BC1188" s="3038"/>
      <c r="BD1188" s="3038"/>
      <c r="BE1188" s="3038"/>
      <c r="BF1188" s="3038"/>
      <c r="BG1188" s="3038"/>
      <c r="BH1188" s="3038"/>
      <c r="BI1188" s="3038"/>
      <c r="BJ1188" s="3038"/>
      <c r="BK1188" s="3038"/>
      <c r="BL1188" s="3038"/>
      <c r="BM1188" s="3038"/>
      <c r="BN1188" s="3038"/>
      <c r="BO1188" s="3038"/>
      <c r="BP1188" s="3038"/>
      <c r="BQ1188" s="3038"/>
      <c r="BR1188" s="3038"/>
      <c r="BS1188" s="3038"/>
      <c r="BT1188" s="3038"/>
      <c r="BU1188" s="3038"/>
    </row>
    <row r="1189" spans="3:73">
      <c r="C1189" s="3038"/>
      <c r="D1189" s="3038"/>
      <c r="E1189" s="3038"/>
      <c r="H1189" s="3038"/>
      <c r="I1189" s="3038"/>
      <c r="J1189" s="3038"/>
      <c r="K1189" s="3038"/>
      <c r="M1189" s="3038"/>
      <c r="N1189" s="3038"/>
      <c r="O1189" s="3038"/>
      <c r="P1189" s="3038"/>
      <c r="Q1189" s="3038"/>
      <c r="R1189" s="3038"/>
      <c r="S1189" s="3038"/>
      <c r="T1189" s="3038"/>
      <c r="W1189" s="3038"/>
      <c r="X1189" s="3038"/>
      <c r="Y1189" s="3038"/>
      <c r="Z1189" s="3038"/>
      <c r="AA1189" s="3113"/>
      <c r="AB1189" s="3038"/>
      <c r="AC1189" s="3038"/>
      <c r="AD1189" s="3038"/>
      <c r="AE1189" s="3132"/>
      <c r="AF1189" s="3038"/>
      <c r="AG1189" s="3038"/>
      <c r="AH1189" s="3038"/>
      <c r="AK1189" s="3038"/>
      <c r="AL1189" s="3038"/>
      <c r="AM1189" s="3038"/>
      <c r="AN1189" s="3038"/>
      <c r="AO1189" s="3038"/>
      <c r="AP1189" s="3038"/>
      <c r="AQ1189" s="3038"/>
      <c r="AR1189" s="3038"/>
      <c r="AS1189" s="3038"/>
      <c r="AT1189" s="3038"/>
      <c r="AU1189" s="3038"/>
      <c r="AV1189" s="3038"/>
      <c r="AW1189" s="3038"/>
      <c r="AX1189" s="3038"/>
      <c r="AY1189" s="3038"/>
      <c r="AZ1189" s="3038"/>
      <c r="BA1189" s="3038"/>
      <c r="BB1189" s="3038"/>
      <c r="BC1189" s="3038"/>
      <c r="BD1189" s="3038"/>
      <c r="BE1189" s="3038"/>
      <c r="BF1189" s="3038"/>
      <c r="BG1189" s="3038"/>
      <c r="BH1189" s="3038"/>
      <c r="BI1189" s="3038"/>
      <c r="BJ1189" s="3038"/>
      <c r="BK1189" s="3038"/>
      <c r="BL1189" s="3038"/>
      <c r="BM1189" s="3038"/>
      <c r="BN1189" s="3038"/>
      <c r="BO1189" s="3038"/>
      <c r="BP1189" s="3038"/>
      <c r="BQ1189" s="3038"/>
      <c r="BR1189" s="3038"/>
      <c r="BS1189" s="3038"/>
      <c r="BT1189" s="3038"/>
      <c r="BU1189" s="3038"/>
    </row>
    <row r="1190" spans="3:73">
      <c r="C1190" s="3038"/>
      <c r="D1190" s="3038"/>
      <c r="E1190" s="3038"/>
      <c r="H1190" s="3038"/>
      <c r="I1190" s="3038"/>
      <c r="J1190" s="3038"/>
      <c r="K1190" s="3038"/>
      <c r="M1190" s="3038"/>
      <c r="N1190" s="3038"/>
      <c r="O1190" s="3038"/>
      <c r="P1190" s="3038"/>
      <c r="Q1190" s="3038"/>
      <c r="R1190" s="3038"/>
      <c r="S1190" s="3038"/>
      <c r="T1190" s="3038"/>
      <c r="W1190" s="3038"/>
      <c r="X1190" s="3038"/>
      <c r="Y1190" s="3038"/>
      <c r="Z1190" s="3038"/>
      <c r="AA1190" s="3113"/>
      <c r="AB1190" s="3038"/>
      <c r="AC1190" s="3038"/>
      <c r="AD1190" s="3038"/>
      <c r="AE1190" s="3132"/>
      <c r="AF1190" s="3038"/>
      <c r="AG1190" s="3038"/>
      <c r="AH1190" s="3038"/>
      <c r="AK1190" s="3038"/>
      <c r="AL1190" s="3038"/>
      <c r="AM1190" s="3038"/>
      <c r="AN1190" s="3038"/>
      <c r="AO1190" s="3038"/>
      <c r="AP1190" s="3038"/>
      <c r="AQ1190" s="3038"/>
      <c r="AR1190" s="3038"/>
      <c r="AS1190" s="3038"/>
      <c r="AT1190" s="3038"/>
      <c r="AU1190" s="3038"/>
      <c r="AV1190" s="3038"/>
      <c r="AW1190" s="3038"/>
      <c r="AX1190" s="3038"/>
      <c r="AY1190" s="3038"/>
      <c r="AZ1190" s="3038"/>
      <c r="BA1190" s="3038"/>
      <c r="BB1190" s="3038"/>
      <c r="BC1190" s="3038"/>
      <c r="BD1190" s="3038"/>
      <c r="BE1190" s="3038"/>
      <c r="BF1190" s="3038"/>
      <c r="BG1190" s="3038"/>
      <c r="BH1190" s="3038"/>
      <c r="BI1190" s="3038"/>
      <c r="BJ1190" s="3038"/>
      <c r="BK1190" s="3038"/>
      <c r="BL1190" s="3038"/>
      <c r="BM1190" s="3038"/>
      <c r="BN1190" s="3038"/>
      <c r="BO1190" s="3038"/>
      <c r="BP1190" s="3038"/>
      <c r="BQ1190" s="3038"/>
      <c r="BR1190" s="3038"/>
      <c r="BS1190" s="3038"/>
      <c r="BT1190" s="3038"/>
      <c r="BU1190" s="3038"/>
    </row>
    <row r="1191" spans="3:73">
      <c r="C1191" s="3038"/>
      <c r="D1191" s="3038"/>
      <c r="E1191" s="3038"/>
      <c r="H1191" s="3038"/>
      <c r="I1191" s="3038"/>
      <c r="J1191" s="3038"/>
      <c r="K1191" s="3038"/>
      <c r="M1191" s="3038"/>
      <c r="N1191" s="3038"/>
      <c r="O1191" s="3038"/>
      <c r="P1191" s="3038"/>
      <c r="Q1191" s="3038"/>
      <c r="R1191" s="3038"/>
      <c r="S1191" s="3038"/>
      <c r="T1191" s="3038"/>
      <c r="W1191" s="3038"/>
      <c r="X1191" s="3038"/>
      <c r="Y1191" s="3038"/>
      <c r="Z1191" s="3038"/>
      <c r="AA1191" s="3113"/>
      <c r="AB1191" s="3038"/>
      <c r="AC1191" s="3038"/>
      <c r="AD1191" s="3038"/>
      <c r="AE1191" s="3132"/>
      <c r="AF1191" s="3038"/>
      <c r="AG1191" s="3038"/>
      <c r="AH1191" s="3038"/>
      <c r="AK1191" s="3038"/>
      <c r="AL1191" s="3038"/>
      <c r="AM1191" s="3038"/>
      <c r="AN1191" s="3038"/>
      <c r="AO1191" s="3038"/>
      <c r="AP1191" s="3038"/>
      <c r="AQ1191" s="3038"/>
      <c r="AR1191" s="3038"/>
      <c r="AS1191" s="3038"/>
      <c r="AT1191" s="3038"/>
      <c r="AU1191" s="3038"/>
      <c r="AV1191" s="3038"/>
      <c r="AW1191" s="3038"/>
      <c r="AX1191" s="3038"/>
      <c r="AY1191" s="3038"/>
      <c r="AZ1191" s="3038"/>
      <c r="BA1191" s="3038"/>
      <c r="BB1191" s="3038"/>
      <c r="BC1191" s="3038"/>
      <c r="BD1191" s="3038"/>
      <c r="BE1191" s="3038"/>
      <c r="BF1191" s="3038"/>
      <c r="BG1191" s="3038"/>
      <c r="BH1191" s="3038"/>
      <c r="BI1191" s="3038"/>
      <c r="BJ1191" s="3038"/>
      <c r="BK1191" s="3038"/>
      <c r="BL1191" s="3038"/>
      <c r="BM1191" s="3038"/>
      <c r="BN1191" s="3038"/>
      <c r="BO1191" s="3038"/>
      <c r="BP1191" s="3038"/>
      <c r="BQ1191" s="3038"/>
      <c r="BR1191" s="3038"/>
      <c r="BS1191" s="3038"/>
      <c r="BT1191" s="3038"/>
      <c r="BU1191" s="3038"/>
    </row>
    <row r="1192" spans="3:73">
      <c r="C1192" s="3038"/>
      <c r="D1192" s="3038"/>
      <c r="E1192" s="3038"/>
      <c r="H1192" s="3038"/>
      <c r="I1192" s="3038"/>
      <c r="J1192" s="3038"/>
      <c r="K1192" s="3038"/>
      <c r="M1192" s="3038"/>
      <c r="N1192" s="3038"/>
      <c r="O1192" s="3038"/>
      <c r="P1192" s="3038"/>
      <c r="Q1192" s="3038"/>
      <c r="R1192" s="3038"/>
      <c r="S1192" s="3038"/>
      <c r="T1192" s="3038"/>
      <c r="W1192" s="3038"/>
      <c r="X1192" s="3038"/>
      <c r="Y1192" s="3038"/>
      <c r="Z1192" s="3038"/>
      <c r="AA1192" s="3113"/>
      <c r="AB1192" s="3038"/>
      <c r="AC1192" s="3038"/>
      <c r="AD1192" s="3038"/>
      <c r="AE1192" s="3132"/>
      <c r="AF1192" s="3038"/>
      <c r="AG1192" s="3038"/>
      <c r="AH1192" s="3038"/>
      <c r="AK1192" s="3038"/>
      <c r="AL1192" s="3038"/>
      <c r="AM1192" s="3038"/>
      <c r="AN1192" s="3038"/>
      <c r="AO1192" s="3038"/>
      <c r="AP1192" s="3038"/>
      <c r="AQ1192" s="3038"/>
      <c r="AR1192" s="3038"/>
      <c r="AS1192" s="3038"/>
      <c r="AT1192" s="3038"/>
      <c r="AU1192" s="3038"/>
      <c r="AV1192" s="3038"/>
      <c r="AW1192" s="3038"/>
      <c r="AX1192" s="3038"/>
      <c r="AY1192" s="3038"/>
      <c r="AZ1192" s="3038"/>
      <c r="BA1192" s="3038"/>
      <c r="BB1192" s="3038"/>
      <c r="BC1192" s="3038"/>
      <c r="BD1192" s="3038"/>
      <c r="BE1192" s="3038"/>
      <c r="BF1192" s="3038"/>
      <c r="BG1192" s="3038"/>
      <c r="BH1192" s="3038"/>
      <c r="BI1192" s="3038"/>
      <c r="BJ1192" s="3038"/>
      <c r="BK1192" s="3038"/>
      <c r="BL1192" s="3038"/>
      <c r="BM1192" s="3038"/>
      <c r="BN1192" s="3038"/>
      <c r="BO1192" s="3038"/>
      <c r="BP1192" s="3038"/>
      <c r="BQ1192" s="3038"/>
      <c r="BR1192" s="3038"/>
      <c r="BS1192" s="3038"/>
      <c r="BT1192" s="3038"/>
      <c r="BU1192" s="3038"/>
    </row>
    <row r="1193" spans="3:73">
      <c r="C1193" s="3038"/>
      <c r="D1193" s="3038"/>
      <c r="E1193" s="3038"/>
      <c r="H1193" s="3038"/>
      <c r="I1193" s="3038"/>
      <c r="J1193" s="3038"/>
      <c r="K1193" s="3038"/>
      <c r="M1193" s="3038"/>
      <c r="N1193" s="3038"/>
      <c r="O1193" s="3038"/>
      <c r="P1193" s="3038"/>
      <c r="Q1193" s="3038"/>
      <c r="R1193" s="3038"/>
      <c r="S1193" s="3038"/>
      <c r="T1193" s="3038"/>
      <c r="W1193" s="3038"/>
      <c r="X1193" s="3038"/>
      <c r="Y1193" s="3038"/>
      <c r="Z1193" s="3038"/>
      <c r="AA1193" s="3113"/>
      <c r="AB1193" s="3038"/>
      <c r="AC1193" s="3038"/>
      <c r="AD1193" s="3038"/>
      <c r="AE1193" s="3132"/>
      <c r="AF1193" s="3038"/>
      <c r="AG1193" s="3038"/>
      <c r="AH1193" s="3038"/>
      <c r="AK1193" s="3038"/>
      <c r="AL1193" s="3038"/>
      <c r="AM1193" s="3038"/>
      <c r="AN1193" s="3038"/>
      <c r="AO1193" s="3038"/>
      <c r="AP1193" s="3038"/>
      <c r="AQ1193" s="3038"/>
      <c r="AR1193" s="3038"/>
      <c r="AS1193" s="3038"/>
      <c r="AT1193" s="3038"/>
      <c r="AU1193" s="3038"/>
      <c r="AV1193" s="3038"/>
      <c r="AW1193" s="3038"/>
      <c r="AX1193" s="3038"/>
      <c r="AY1193" s="3038"/>
      <c r="AZ1193" s="3038"/>
      <c r="BA1193" s="3038"/>
      <c r="BB1193" s="3038"/>
      <c r="BC1193" s="3038"/>
      <c r="BD1193" s="3038"/>
      <c r="BE1193" s="3038"/>
      <c r="BF1193" s="3038"/>
      <c r="BG1193" s="3038"/>
      <c r="BH1193" s="3038"/>
      <c r="BI1193" s="3038"/>
      <c r="BJ1193" s="3038"/>
      <c r="BK1193" s="3038"/>
      <c r="BL1193" s="3038"/>
      <c r="BM1193" s="3038"/>
      <c r="BN1193" s="3038"/>
      <c r="BO1193" s="3038"/>
      <c r="BP1193" s="3038"/>
      <c r="BQ1193" s="3038"/>
      <c r="BR1193" s="3038"/>
      <c r="BS1193" s="3038"/>
      <c r="BT1193" s="3038"/>
      <c r="BU1193" s="3038"/>
    </row>
    <row r="1194" spans="3:73">
      <c r="C1194" s="3038"/>
      <c r="D1194" s="3038"/>
      <c r="E1194" s="3038"/>
      <c r="H1194" s="3038"/>
      <c r="I1194" s="3038"/>
      <c r="J1194" s="3038"/>
      <c r="K1194" s="3038"/>
      <c r="M1194" s="3038"/>
      <c r="N1194" s="3038"/>
      <c r="O1194" s="3038"/>
      <c r="P1194" s="3038"/>
      <c r="Q1194" s="3038"/>
      <c r="R1194" s="3038"/>
      <c r="S1194" s="3038"/>
      <c r="T1194" s="3038"/>
      <c r="W1194" s="3038"/>
      <c r="X1194" s="3038"/>
      <c r="Y1194" s="3038"/>
      <c r="Z1194" s="3038"/>
      <c r="AA1194" s="3113"/>
      <c r="AB1194" s="3038"/>
      <c r="AC1194" s="3038"/>
      <c r="AD1194" s="3038"/>
      <c r="AE1194" s="3132"/>
      <c r="AF1194" s="3038"/>
      <c r="AG1194" s="3038"/>
      <c r="AH1194" s="3038"/>
      <c r="AK1194" s="3038"/>
      <c r="AL1194" s="3038"/>
      <c r="AM1194" s="3038"/>
      <c r="AN1194" s="3038"/>
      <c r="AO1194" s="3038"/>
      <c r="AP1194" s="3038"/>
      <c r="AQ1194" s="3038"/>
      <c r="AR1194" s="3038"/>
      <c r="AS1194" s="3038"/>
      <c r="AT1194" s="3038"/>
      <c r="AU1194" s="3038"/>
      <c r="AV1194" s="3038"/>
      <c r="AW1194" s="3038"/>
      <c r="AX1194" s="3038"/>
      <c r="AY1194" s="3038"/>
      <c r="AZ1194" s="3038"/>
      <c r="BA1194" s="3038"/>
      <c r="BB1194" s="3038"/>
      <c r="BC1194" s="3038"/>
      <c r="BD1194" s="3038"/>
      <c r="BE1194" s="3038"/>
      <c r="BF1194" s="3038"/>
      <c r="BG1194" s="3038"/>
      <c r="BH1194" s="3038"/>
      <c r="BI1194" s="3038"/>
      <c r="BJ1194" s="3038"/>
      <c r="BK1194" s="3038"/>
      <c r="BL1194" s="3038"/>
      <c r="BM1194" s="3038"/>
      <c r="BN1194" s="3038"/>
      <c r="BO1194" s="3038"/>
      <c r="BP1194" s="3038"/>
      <c r="BQ1194" s="3038"/>
      <c r="BR1194" s="3038"/>
      <c r="BS1194" s="3038"/>
      <c r="BT1194" s="3038"/>
      <c r="BU1194" s="3038"/>
    </row>
    <row r="1195" spans="3:73">
      <c r="C1195" s="3038"/>
      <c r="D1195" s="3038"/>
      <c r="E1195" s="3038"/>
      <c r="H1195" s="3038"/>
      <c r="I1195" s="3038"/>
      <c r="J1195" s="3038"/>
      <c r="K1195" s="3038"/>
      <c r="M1195" s="3038"/>
      <c r="N1195" s="3038"/>
      <c r="O1195" s="3038"/>
      <c r="P1195" s="3038"/>
      <c r="Q1195" s="3038"/>
      <c r="R1195" s="3038"/>
      <c r="S1195" s="3038"/>
      <c r="T1195" s="3038"/>
      <c r="W1195" s="3038"/>
      <c r="X1195" s="3038"/>
      <c r="Y1195" s="3038"/>
      <c r="Z1195" s="3038"/>
      <c r="AA1195" s="3113"/>
      <c r="AB1195" s="3038"/>
      <c r="AC1195" s="3038"/>
      <c r="AD1195" s="3038"/>
      <c r="AE1195" s="3132"/>
      <c r="AF1195" s="3038"/>
      <c r="AG1195" s="3038"/>
      <c r="AH1195" s="3038"/>
      <c r="AK1195" s="3038"/>
      <c r="AL1195" s="3038"/>
      <c r="AM1195" s="3038"/>
      <c r="AN1195" s="3038"/>
      <c r="AO1195" s="3038"/>
      <c r="AP1195" s="3038"/>
      <c r="AQ1195" s="3038"/>
      <c r="AR1195" s="3038"/>
      <c r="AS1195" s="3038"/>
      <c r="AT1195" s="3038"/>
      <c r="AU1195" s="3038"/>
      <c r="AV1195" s="3038"/>
      <c r="AW1195" s="3038"/>
      <c r="AX1195" s="3038"/>
      <c r="AY1195" s="3038"/>
      <c r="AZ1195" s="3038"/>
      <c r="BA1195" s="3038"/>
      <c r="BB1195" s="3038"/>
      <c r="BC1195" s="3038"/>
      <c r="BD1195" s="3038"/>
      <c r="BE1195" s="3038"/>
      <c r="BF1195" s="3038"/>
      <c r="BG1195" s="3038"/>
      <c r="BH1195" s="3038"/>
      <c r="BI1195" s="3038"/>
      <c r="BJ1195" s="3038"/>
      <c r="BK1195" s="3038"/>
      <c r="BL1195" s="3038"/>
      <c r="BM1195" s="3038"/>
      <c r="BN1195" s="3038"/>
      <c r="BO1195" s="3038"/>
      <c r="BP1195" s="3038"/>
      <c r="BQ1195" s="3038"/>
      <c r="BR1195" s="3038"/>
      <c r="BS1195" s="3038"/>
      <c r="BT1195" s="3038"/>
      <c r="BU1195" s="3038"/>
    </row>
    <row r="1196" spans="3:73">
      <c r="C1196" s="3038"/>
      <c r="D1196" s="3038"/>
      <c r="E1196" s="3038"/>
      <c r="H1196" s="3038"/>
      <c r="I1196" s="3038"/>
      <c r="J1196" s="3038"/>
      <c r="K1196" s="3038"/>
      <c r="M1196" s="3038"/>
      <c r="N1196" s="3038"/>
      <c r="O1196" s="3038"/>
      <c r="P1196" s="3038"/>
      <c r="Q1196" s="3038"/>
      <c r="R1196" s="3038"/>
      <c r="S1196" s="3038"/>
      <c r="T1196" s="3038"/>
      <c r="W1196" s="3038"/>
      <c r="X1196" s="3038"/>
      <c r="Y1196" s="3038"/>
      <c r="Z1196" s="3038"/>
      <c r="AA1196" s="3113"/>
      <c r="AB1196" s="3038"/>
      <c r="AC1196" s="3038"/>
      <c r="AD1196" s="3038"/>
      <c r="AE1196" s="3132"/>
      <c r="AF1196" s="3038"/>
      <c r="AG1196" s="3038"/>
      <c r="AH1196" s="3038"/>
      <c r="AK1196" s="3038"/>
      <c r="AL1196" s="3038"/>
      <c r="AM1196" s="3038"/>
      <c r="AN1196" s="3038"/>
      <c r="AO1196" s="3038"/>
      <c r="AP1196" s="3038"/>
      <c r="AQ1196" s="3038"/>
      <c r="AR1196" s="3038"/>
      <c r="AS1196" s="3038"/>
      <c r="AT1196" s="3038"/>
      <c r="AU1196" s="3038"/>
      <c r="AV1196" s="3038"/>
      <c r="AW1196" s="3038"/>
      <c r="AX1196" s="3038"/>
      <c r="AY1196" s="3038"/>
      <c r="AZ1196" s="3038"/>
      <c r="BA1196" s="3038"/>
      <c r="BB1196" s="3038"/>
      <c r="BC1196" s="3038"/>
      <c r="BD1196" s="3038"/>
      <c r="BE1196" s="3038"/>
      <c r="BF1196" s="3038"/>
      <c r="BG1196" s="3038"/>
      <c r="BH1196" s="3038"/>
      <c r="BI1196" s="3038"/>
      <c r="BJ1196" s="3038"/>
      <c r="BK1196" s="3038"/>
      <c r="BL1196" s="3038"/>
      <c r="BM1196" s="3038"/>
      <c r="BN1196" s="3038"/>
      <c r="BO1196" s="3038"/>
      <c r="BP1196" s="3038"/>
      <c r="BQ1196" s="3038"/>
      <c r="BR1196" s="3038"/>
      <c r="BS1196" s="3038"/>
      <c r="BT1196" s="3038"/>
      <c r="BU1196" s="3038"/>
    </row>
    <row r="1197" spans="3:73">
      <c r="C1197" s="3038"/>
      <c r="D1197" s="3038"/>
      <c r="E1197" s="3038"/>
      <c r="H1197" s="3038"/>
      <c r="I1197" s="3038"/>
      <c r="J1197" s="3038"/>
      <c r="K1197" s="3038"/>
      <c r="M1197" s="3038"/>
      <c r="N1197" s="3038"/>
      <c r="O1197" s="3038"/>
      <c r="P1197" s="3038"/>
      <c r="Q1197" s="3038"/>
      <c r="R1197" s="3038"/>
      <c r="S1197" s="3038"/>
      <c r="T1197" s="3038"/>
      <c r="W1197" s="3038"/>
      <c r="X1197" s="3038"/>
      <c r="Y1197" s="3038"/>
      <c r="Z1197" s="3038"/>
      <c r="AA1197" s="3113"/>
      <c r="AB1197" s="3038"/>
      <c r="AC1197" s="3038"/>
      <c r="AD1197" s="3038"/>
      <c r="AE1197" s="3132"/>
      <c r="AF1197" s="3038"/>
      <c r="AG1197" s="3038"/>
      <c r="AH1197" s="3038"/>
      <c r="AK1197" s="3038"/>
      <c r="AL1197" s="3038"/>
      <c r="AM1197" s="3038"/>
      <c r="AN1197" s="3038"/>
      <c r="AO1197" s="3038"/>
      <c r="AP1197" s="3038"/>
      <c r="AQ1197" s="3038"/>
      <c r="AR1197" s="3038"/>
      <c r="AS1197" s="3038"/>
      <c r="AT1197" s="3038"/>
      <c r="AU1197" s="3038"/>
      <c r="AV1197" s="3038"/>
      <c r="AW1197" s="3038"/>
      <c r="AX1197" s="3038"/>
      <c r="AY1197" s="3038"/>
      <c r="AZ1197" s="3038"/>
      <c r="BA1197" s="3038"/>
      <c r="BB1197" s="3038"/>
      <c r="BC1197" s="3038"/>
      <c r="BD1197" s="3038"/>
      <c r="BE1197" s="3038"/>
      <c r="BF1197" s="3038"/>
      <c r="BG1197" s="3038"/>
      <c r="BH1197" s="3038"/>
      <c r="BI1197" s="3038"/>
      <c r="BJ1197" s="3038"/>
      <c r="BK1197" s="3038"/>
      <c r="BL1197" s="3038"/>
      <c r="BM1197" s="3038"/>
      <c r="BN1197" s="3038"/>
      <c r="BO1197" s="3038"/>
      <c r="BP1197" s="3038"/>
      <c r="BQ1197" s="3038"/>
      <c r="BR1197" s="3038"/>
      <c r="BS1197" s="3038"/>
      <c r="BT1197" s="3038"/>
      <c r="BU1197" s="3038"/>
    </row>
    <row r="1198" spans="3:73">
      <c r="C1198" s="3038"/>
      <c r="D1198" s="3038"/>
      <c r="E1198" s="3038"/>
      <c r="H1198" s="3038"/>
      <c r="I1198" s="3038"/>
      <c r="J1198" s="3038"/>
      <c r="K1198" s="3038"/>
      <c r="M1198" s="3038"/>
      <c r="N1198" s="3038"/>
      <c r="O1198" s="3038"/>
      <c r="P1198" s="3038"/>
      <c r="Q1198" s="3038"/>
      <c r="R1198" s="3038"/>
      <c r="S1198" s="3038"/>
      <c r="T1198" s="3038"/>
      <c r="W1198" s="3038"/>
      <c r="X1198" s="3038"/>
      <c r="Y1198" s="3038"/>
      <c r="Z1198" s="3038"/>
      <c r="AA1198" s="3113"/>
      <c r="AB1198" s="3038"/>
      <c r="AC1198" s="3038"/>
      <c r="AD1198" s="3038"/>
      <c r="AE1198" s="3132"/>
      <c r="AF1198" s="3038"/>
      <c r="AG1198" s="3038"/>
      <c r="AH1198" s="3038"/>
      <c r="AK1198" s="3038"/>
      <c r="AL1198" s="3038"/>
      <c r="AM1198" s="3038"/>
      <c r="AN1198" s="3038"/>
      <c r="AO1198" s="3038"/>
      <c r="AP1198" s="3038"/>
      <c r="AQ1198" s="3038"/>
      <c r="AR1198" s="3038"/>
      <c r="AS1198" s="3038"/>
      <c r="AT1198" s="3038"/>
      <c r="AU1198" s="3038"/>
      <c r="AV1198" s="3038"/>
      <c r="AW1198" s="3038"/>
      <c r="AX1198" s="3038"/>
      <c r="AY1198" s="3038"/>
      <c r="AZ1198" s="3038"/>
      <c r="BA1198" s="3038"/>
      <c r="BB1198" s="3038"/>
      <c r="BC1198" s="3038"/>
      <c r="BD1198" s="3038"/>
      <c r="BE1198" s="3038"/>
      <c r="BF1198" s="3038"/>
      <c r="BG1198" s="3038"/>
      <c r="BH1198" s="3038"/>
      <c r="BI1198" s="3038"/>
      <c r="BJ1198" s="3038"/>
      <c r="BK1198" s="3038"/>
      <c r="BL1198" s="3038"/>
      <c r="BM1198" s="3038"/>
      <c r="BN1198" s="3038"/>
      <c r="BO1198" s="3038"/>
      <c r="BP1198" s="3038"/>
      <c r="BQ1198" s="3038"/>
      <c r="BR1198" s="3038"/>
      <c r="BS1198" s="3038"/>
      <c r="BT1198" s="3038"/>
      <c r="BU1198" s="3038"/>
    </row>
    <row r="1199" spans="3:73">
      <c r="C1199" s="3038"/>
      <c r="D1199" s="3038"/>
      <c r="E1199" s="3038"/>
      <c r="H1199" s="3038"/>
      <c r="I1199" s="3038"/>
      <c r="J1199" s="3038"/>
      <c r="K1199" s="3038"/>
      <c r="M1199" s="3038"/>
      <c r="N1199" s="3038"/>
      <c r="O1199" s="3038"/>
      <c r="P1199" s="3038"/>
      <c r="Q1199" s="3038"/>
      <c r="R1199" s="3038"/>
      <c r="S1199" s="3038"/>
      <c r="T1199" s="3038"/>
      <c r="W1199" s="3038"/>
      <c r="X1199" s="3038"/>
      <c r="Y1199" s="3038"/>
      <c r="Z1199" s="3038"/>
      <c r="AA1199" s="3113"/>
      <c r="AB1199" s="3038"/>
      <c r="AC1199" s="3038"/>
      <c r="AD1199" s="3038"/>
      <c r="AE1199" s="3132"/>
      <c r="AF1199" s="3038"/>
      <c r="AG1199" s="3038"/>
      <c r="AH1199" s="3038"/>
      <c r="AK1199" s="3038"/>
      <c r="AL1199" s="3038"/>
      <c r="AM1199" s="3038"/>
      <c r="AN1199" s="3038"/>
      <c r="AO1199" s="3038"/>
      <c r="AP1199" s="3038"/>
      <c r="AQ1199" s="3038"/>
      <c r="AR1199" s="3038"/>
      <c r="AS1199" s="3038"/>
      <c r="AT1199" s="3038"/>
      <c r="AU1199" s="3038"/>
      <c r="AV1199" s="3038"/>
      <c r="AW1199" s="3038"/>
      <c r="AX1199" s="3038"/>
      <c r="AY1199" s="3038"/>
      <c r="AZ1199" s="3038"/>
      <c r="BA1199" s="3038"/>
      <c r="BB1199" s="3038"/>
      <c r="BC1199" s="3038"/>
      <c r="BD1199" s="3038"/>
      <c r="BE1199" s="3038"/>
      <c r="BF1199" s="3038"/>
      <c r="BG1199" s="3038"/>
      <c r="BH1199" s="3038"/>
      <c r="BI1199" s="3038"/>
      <c r="BJ1199" s="3038"/>
      <c r="BK1199" s="3038"/>
      <c r="BL1199" s="3038"/>
      <c r="BM1199" s="3038"/>
      <c r="BN1199" s="3038"/>
      <c r="BO1199" s="3038"/>
      <c r="BP1199" s="3038"/>
      <c r="BQ1199" s="3038"/>
      <c r="BR1199" s="3038"/>
      <c r="BS1199" s="3038"/>
      <c r="BT1199" s="3038"/>
      <c r="BU1199" s="3038"/>
    </row>
    <row r="1200" spans="3:73">
      <c r="C1200" s="3038"/>
      <c r="D1200" s="3038"/>
      <c r="E1200" s="3038"/>
      <c r="H1200" s="3038"/>
      <c r="I1200" s="3038"/>
      <c r="J1200" s="3038"/>
      <c r="K1200" s="3038"/>
      <c r="M1200" s="3038"/>
      <c r="N1200" s="3038"/>
      <c r="O1200" s="3038"/>
      <c r="P1200" s="3038"/>
      <c r="Q1200" s="3038"/>
      <c r="R1200" s="3038"/>
      <c r="S1200" s="3038"/>
      <c r="T1200" s="3038"/>
      <c r="W1200" s="3038"/>
      <c r="X1200" s="3038"/>
      <c r="Y1200" s="3038"/>
      <c r="Z1200" s="3038"/>
      <c r="AA1200" s="3113"/>
      <c r="AB1200" s="3038"/>
      <c r="AC1200" s="3038"/>
      <c r="AD1200" s="3038"/>
      <c r="AE1200" s="3132"/>
      <c r="AF1200" s="3038"/>
      <c r="AG1200" s="3038"/>
      <c r="AH1200" s="3038"/>
      <c r="AK1200" s="3038"/>
      <c r="AL1200" s="3038"/>
      <c r="AM1200" s="3038"/>
      <c r="AN1200" s="3038"/>
      <c r="AO1200" s="3038"/>
      <c r="AP1200" s="3038"/>
      <c r="AQ1200" s="3038"/>
      <c r="AR1200" s="3038"/>
      <c r="AS1200" s="3038"/>
      <c r="AT1200" s="3038"/>
      <c r="AU1200" s="3038"/>
      <c r="AV1200" s="3038"/>
      <c r="AW1200" s="3038"/>
      <c r="AX1200" s="3038"/>
      <c r="AY1200" s="3038"/>
      <c r="AZ1200" s="3038"/>
      <c r="BA1200" s="3038"/>
      <c r="BB1200" s="3038"/>
      <c r="BC1200" s="3038"/>
      <c r="BD1200" s="3038"/>
      <c r="BE1200" s="3038"/>
      <c r="BF1200" s="3038"/>
      <c r="BG1200" s="3038"/>
      <c r="BH1200" s="3038"/>
      <c r="BI1200" s="3038"/>
      <c r="BJ1200" s="3038"/>
      <c r="BK1200" s="3038"/>
      <c r="BL1200" s="3038"/>
      <c r="BM1200" s="3038"/>
      <c r="BN1200" s="3038"/>
      <c r="BO1200" s="3038"/>
      <c r="BP1200" s="3038"/>
      <c r="BQ1200" s="3038"/>
      <c r="BR1200" s="3038"/>
      <c r="BS1200" s="3038"/>
      <c r="BT1200" s="3038"/>
      <c r="BU1200" s="3038"/>
    </row>
    <row r="1201" spans="3:73">
      <c r="C1201" s="3038"/>
      <c r="D1201" s="3038"/>
      <c r="E1201" s="3038"/>
      <c r="H1201" s="3038"/>
      <c r="I1201" s="3038"/>
      <c r="J1201" s="3038"/>
      <c r="K1201" s="3038"/>
      <c r="M1201" s="3038"/>
      <c r="N1201" s="3038"/>
      <c r="O1201" s="3038"/>
      <c r="P1201" s="3038"/>
      <c r="Q1201" s="3038"/>
      <c r="R1201" s="3038"/>
      <c r="S1201" s="3038"/>
      <c r="T1201" s="3038"/>
      <c r="W1201" s="3038"/>
      <c r="X1201" s="3038"/>
      <c r="Y1201" s="3038"/>
      <c r="Z1201" s="3038"/>
      <c r="AA1201" s="3113"/>
      <c r="AB1201" s="3038"/>
      <c r="AC1201" s="3038"/>
      <c r="AD1201" s="3038"/>
      <c r="AE1201" s="3132"/>
      <c r="AF1201" s="3038"/>
      <c r="AG1201" s="3038"/>
      <c r="AH1201" s="3038"/>
      <c r="AK1201" s="3038"/>
      <c r="AL1201" s="3038"/>
      <c r="AM1201" s="3038"/>
      <c r="AN1201" s="3038"/>
      <c r="AO1201" s="3038"/>
      <c r="AP1201" s="3038"/>
      <c r="AQ1201" s="3038"/>
      <c r="AR1201" s="3038"/>
      <c r="AS1201" s="3038"/>
      <c r="AT1201" s="3038"/>
      <c r="AU1201" s="3038"/>
      <c r="AV1201" s="3038"/>
      <c r="AW1201" s="3038"/>
      <c r="AX1201" s="3038"/>
      <c r="AY1201" s="3038"/>
      <c r="AZ1201" s="3038"/>
      <c r="BA1201" s="3038"/>
      <c r="BB1201" s="3038"/>
      <c r="BC1201" s="3038"/>
      <c r="BD1201" s="3038"/>
      <c r="BE1201" s="3038"/>
      <c r="BF1201" s="3038"/>
      <c r="BG1201" s="3038"/>
      <c r="BH1201" s="3038"/>
      <c r="BI1201" s="3038"/>
      <c r="BJ1201" s="3038"/>
      <c r="BK1201" s="3038"/>
      <c r="BL1201" s="3038"/>
      <c r="BM1201" s="3038"/>
      <c r="BN1201" s="3038"/>
      <c r="BO1201" s="3038"/>
      <c r="BP1201" s="3038"/>
      <c r="BQ1201" s="3038"/>
      <c r="BR1201" s="3038"/>
      <c r="BS1201" s="3038"/>
      <c r="BT1201" s="3038"/>
      <c r="BU1201" s="3038"/>
    </row>
    <row r="1202" spans="3:73">
      <c r="C1202" s="3038"/>
      <c r="D1202" s="3038"/>
      <c r="E1202" s="3038"/>
      <c r="H1202" s="3038"/>
      <c r="I1202" s="3038"/>
      <c r="J1202" s="3038"/>
      <c r="K1202" s="3038"/>
      <c r="M1202" s="3038"/>
      <c r="N1202" s="3038"/>
      <c r="O1202" s="3038"/>
      <c r="P1202" s="3038"/>
      <c r="Q1202" s="3038"/>
      <c r="R1202" s="3038"/>
      <c r="S1202" s="3038"/>
      <c r="T1202" s="3038"/>
      <c r="W1202" s="3038"/>
      <c r="X1202" s="3038"/>
      <c r="Y1202" s="3038"/>
      <c r="Z1202" s="3038"/>
      <c r="AA1202" s="3113"/>
      <c r="AB1202" s="3038"/>
      <c r="AC1202" s="3038"/>
      <c r="AD1202" s="3038"/>
      <c r="AE1202" s="3132"/>
      <c r="AF1202" s="3038"/>
      <c r="AG1202" s="3038"/>
      <c r="AH1202" s="3038"/>
      <c r="AK1202" s="3038"/>
      <c r="AL1202" s="3038"/>
      <c r="AM1202" s="3038"/>
      <c r="AN1202" s="3038"/>
      <c r="AO1202" s="3038"/>
      <c r="AP1202" s="3038"/>
      <c r="AQ1202" s="3038"/>
      <c r="AR1202" s="3038"/>
      <c r="AS1202" s="3038"/>
      <c r="AT1202" s="3038"/>
      <c r="AU1202" s="3038"/>
      <c r="AV1202" s="3038"/>
      <c r="AW1202" s="3038"/>
      <c r="AX1202" s="3038"/>
      <c r="AY1202" s="3038"/>
      <c r="AZ1202" s="3038"/>
      <c r="BA1202" s="3038"/>
      <c r="BB1202" s="3038"/>
      <c r="BC1202" s="3038"/>
      <c r="BD1202" s="3038"/>
      <c r="BE1202" s="3038"/>
      <c r="BF1202" s="3038"/>
      <c r="BG1202" s="3038"/>
      <c r="BH1202" s="3038"/>
      <c r="BI1202" s="3038"/>
      <c r="BJ1202" s="3038"/>
      <c r="BK1202" s="3038"/>
      <c r="BL1202" s="3038"/>
      <c r="BM1202" s="3038"/>
      <c r="BN1202" s="3038"/>
      <c r="BO1202" s="3038"/>
      <c r="BP1202" s="3038"/>
      <c r="BQ1202" s="3038"/>
      <c r="BR1202" s="3038"/>
      <c r="BS1202" s="3038"/>
      <c r="BT1202" s="3038"/>
      <c r="BU1202" s="3038"/>
    </row>
    <row r="1203" spans="3:73">
      <c r="C1203" s="3038"/>
      <c r="D1203" s="3038"/>
      <c r="E1203" s="3038"/>
      <c r="H1203" s="3038"/>
      <c r="I1203" s="3038"/>
      <c r="J1203" s="3038"/>
      <c r="K1203" s="3038"/>
      <c r="M1203" s="3038"/>
      <c r="N1203" s="3038"/>
      <c r="O1203" s="3038"/>
      <c r="P1203" s="3038"/>
      <c r="Q1203" s="3038"/>
      <c r="R1203" s="3038"/>
      <c r="S1203" s="3038"/>
      <c r="T1203" s="3038"/>
      <c r="W1203" s="3038"/>
      <c r="X1203" s="3038"/>
      <c r="Y1203" s="3038"/>
      <c r="Z1203" s="3038"/>
      <c r="AA1203" s="3113"/>
      <c r="AB1203" s="3038"/>
      <c r="AC1203" s="3038"/>
      <c r="AD1203" s="3038"/>
      <c r="AE1203" s="3132"/>
      <c r="AF1203" s="3038"/>
      <c r="AG1203" s="3038"/>
      <c r="AH1203" s="3038"/>
      <c r="AK1203" s="3038"/>
      <c r="AL1203" s="3038"/>
      <c r="AM1203" s="3038"/>
      <c r="AN1203" s="3038"/>
      <c r="AO1203" s="3038"/>
      <c r="AP1203" s="3038"/>
      <c r="AQ1203" s="3038"/>
      <c r="AR1203" s="3038"/>
      <c r="AS1203" s="3038"/>
      <c r="AT1203" s="3038"/>
      <c r="AU1203" s="3038"/>
      <c r="AV1203" s="3038"/>
      <c r="AW1203" s="3038"/>
      <c r="AX1203" s="3038"/>
      <c r="AY1203" s="3038"/>
      <c r="AZ1203" s="3038"/>
      <c r="BA1203" s="3038"/>
      <c r="BB1203" s="3038"/>
      <c r="BC1203" s="3038"/>
      <c r="BD1203" s="3038"/>
      <c r="BE1203" s="3038"/>
      <c r="BF1203" s="3038"/>
      <c r="BG1203" s="3038"/>
      <c r="BH1203" s="3038"/>
      <c r="BI1203" s="3038"/>
      <c r="BJ1203" s="3038"/>
      <c r="BK1203" s="3038"/>
      <c r="BL1203" s="3038"/>
      <c r="BM1203" s="3038"/>
      <c r="BN1203" s="3038"/>
      <c r="BO1203" s="3038"/>
      <c r="BP1203" s="3038"/>
      <c r="BQ1203" s="3038"/>
      <c r="BR1203" s="3038"/>
      <c r="BS1203" s="3038"/>
      <c r="BT1203" s="3038"/>
      <c r="BU1203" s="3038"/>
    </row>
    <row r="1204" spans="3:73">
      <c r="C1204" s="3038"/>
      <c r="D1204" s="3038"/>
      <c r="E1204" s="3038"/>
      <c r="H1204" s="3038"/>
      <c r="I1204" s="3038"/>
      <c r="J1204" s="3038"/>
      <c r="K1204" s="3038"/>
      <c r="M1204" s="3038"/>
      <c r="N1204" s="3038"/>
      <c r="O1204" s="3038"/>
      <c r="P1204" s="3038"/>
      <c r="Q1204" s="3038"/>
      <c r="R1204" s="3038"/>
      <c r="S1204" s="3038"/>
      <c r="T1204" s="3038"/>
      <c r="W1204" s="3038"/>
      <c r="X1204" s="3038"/>
      <c r="Y1204" s="3038"/>
      <c r="Z1204" s="3038"/>
      <c r="AA1204" s="3113"/>
      <c r="AB1204" s="3038"/>
      <c r="AC1204" s="3038"/>
      <c r="AD1204" s="3038"/>
      <c r="AE1204" s="3132"/>
      <c r="AF1204" s="3038"/>
      <c r="AG1204" s="3038"/>
      <c r="AH1204" s="3038"/>
      <c r="AK1204" s="3038"/>
      <c r="AL1204" s="3038"/>
      <c r="AM1204" s="3038"/>
      <c r="AN1204" s="3038"/>
      <c r="AO1204" s="3038"/>
      <c r="AP1204" s="3038"/>
      <c r="AQ1204" s="3038"/>
      <c r="AR1204" s="3038"/>
      <c r="AS1204" s="3038"/>
      <c r="AT1204" s="3038"/>
      <c r="AU1204" s="3038"/>
      <c r="AV1204" s="3038"/>
      <c r="AW1204" s="3038"/>
      <c r="AX1204" s="3038"/>
      <c r="AY1204" s="3038"/>
      <c r="AZ1204" s="3038"/>
      <c r="BA1204" s="3038"/>
      <c r="BB1204" s="3038"/>
      <c r="BC1204" s="3038"/>
      <c r="BD1204" s="3038"/>
      <c r="BE1204" s="3038"/>
      <c r="BF1204" s="3038"/>
      <c r="BG1204" s="3038"/>
      <c r="BH1204" s="3038"/>
      <c r="BI1204" s="3038"/>
      <c r="BJ1204" s="3038"/>
      <c r="BK1204" s="3038"/>
      <c r="BL1204" s="3038"/>
      <c r="BM1204" s="3038"/>
      <c r="BN1204" s="3038"/>
      <c r="BO1204" s="3038"/>
      <c r="BP1204" s="3038"/>
      <c r="BQ1204" s="3038"/>
      <c r="BR1204" s="3038"/>
      <c r="BS1204" s="3038"/>
      <c r="BT1204" s="3038"/>
      <c r="BU1204" s="3038"/>
    </row>
    <row r="1205" spans="3:73">
      <c r="C1205" s="3038"/>
      <c r="D1205" s="3038"/>
      <c r="E1205" s="3038"/>
      <c r="H1205" s="3038"/>
      <c r="I1205" s="3038"/>
      <c r="J1205" s="3038"/>
      <c r="K1205" s="3038"/>
      <c r="M1205" s="3038"/>
      <c r="N1205" s="3038"/>
      <c r="O1205" s="3038"/>
      <c r="P1205" s="3038"/>
      <c r="Q1205" s="3038"/>
      <c r="R1205" s="3038"/>
      <c r="S1205" s="3038"/>
      <c r="T1205" s="3038"/>
      <c r="W1205" s="3038"/>
      <c r="X1205" s="3038"/>
      <c r="Y1205" s="3038"/>
      <c r="Z1205" s="3038"/>
      <c r="AA1205" s="3113"/>
      <c r="AB1205" s="3038"/>
      <c r="AC1205" s="3038"/>
      <c r="AD1205" s="3038"/>
      <c r="AE1205" s="3132"/>
      <c r="AF1205" s="3038"/>
      <c r="AG1205" s="3038"/>
      <c r="AH1205" s="3038"/>
      <c r="AK1205" s="3038"/>
      <c r="AL1205" s="3038"/>
      <c r="AM1205" s="3038"/>
      <c r="AN1205" s="3038"/>
      <c r="AO1205" s="3038"/>
      <c r="AP1205" s="3038"/>
      <c r="AQ1205" s="3038"/>
      <c r="AR1205" s="3038"/>
      <c r="AS1205" s="3038"/>
      <c r="AT1205" s="3038"/>
      <c r="AU1205" s="3038"/>
      <c r="AV1205" s="3038"/>
      <c r="AW1205" s="3038"/>
      <c r="AX1205" s="3038"/>
      <c r="AY1205" s="3038"/>
      <c r="AZ1205" s="3038"/>
      <c r="BA1205" s="3038"/>
      <c r="BB1205" s="3038"/>
      <c r="BC1205" s="3038"/>
      <c r="BD1205" s="3038"/>
      <c r="BE1205" s="3038"/>
      <c r="BF1205" s="3038"/>
      <c r="BG1205" s="3038"/>
      <c r="BH1205" s="3038"/>
      <c r="BI1205" s="3038"/>
      <c r="BJ1205" s="3038"/>
      <c r="BK1205" s="3038"/>
      <c r="BL1205" s="3038"/>
      <c r="BM1205" s="3038"/>
      <c r="BN1205" s="3038"/>
      <c r="BO1205" s="3038"/>
      <c r="BP1205" s="3038"/>
      <c r="BQ1205" s="3038"/>
      <c r="BR1205" s="3038"/>
      <c r="BS1205" s="3038"/>
      <c r="BT1205" s="3038"/>
      <c r="BU1205" s="3038"/>
    </row>
    <row r="1206" spans="3:73">
      <c r="C1206" s="3038"/>
      <c r="D1206" s="3038"/>
      <c r="E1206" s="3038"/>
      <c r="H1206" s="3038"/>
      <c r="I1206" s="3038"/>
      <c r="J1206" s="3038"/>
      <c r="K1206" s="3038"/>
      <c r="M1206" s="3038"/>
      <c r="N1206" s="3038"/>
      <c r="O1206" s="3038"/>
      <c r="P1206" s="3038"/>
      <c r="Q1206" s="3038"/>
      <c r="R1206" s="3038"/>
      <c r="S1206" s="3038"/>
      <c r="T1206" s="3038"/>
      <c r="W1206" s="3038"/>
      <c r="X1206" s="3038"/>
      <c r="Y1206" s="3038"/>
      <c r="Z1206" s="3038"/>
      <c r="AA1206" s="3113"/>
      <c r="AB1206" s="3038"/>
      <c r="AC1206" s="3038"/>
      <c r="AD1206" s="3038"/>
      <c r="AE1206" s="3132"/>
      <c r="AF1206" s="3038"/>
      <c r="AG1206" s="3038"/>
      <c r="AH1206" s="3038"/>
      <c r="AK1206" s="3038"/>
      <c r="AL1206" s="3038"/>
      <c r="AM1206" s="3038"/>
      <c r="AN1206" s="3038"/>
      <c r="AO1206" s="3038"/>
      <c r="AP1206" s="3038"/>
      <c r="AQ1206" s="3038"/>
      <c r="AR1206" s="3038"/>
      <c r="AS1206" s="3038"/>
      <c r="AT1206" s="3038"/>
      <c r="AU1206" s="3038"/>
      <c r="AV1206" s="3038"/>
      <c r="AW1206" s="3038"/>
      <c r="AX1206" s="3038"/>
      <c r="AY1206" s="3038"/>
      <c r="AZ1206" s="3038"/>
      <c r="BA1206" s="3038"/>
      <c r="BB1206" s="3038"/>
      <c r="BC1206" s="3038"/>
      <c r="BD1206" s="3038"/>
      <c r="BE1206" s="3038"/>
      <c r="BF1206" s="3038"/>
      <c r="BG1206" s="3038"/>
      <c r="BH1206" s="3038"/>
      <c r="BI1206" s="3038"/>
      <c r="BJ1206" s="3038"/>
      <c r="BK1206" s="3038"/>
      <c r="BL1206" s="3038"/>
      <c r="BM1206" s="3038"/>
      <c r="BN1206" s="3038"/>
      <c r="BO1206" s="3038"/>
      <c r="BP1206" s="3038"/>
      <c r="BQ1206" s="3038"/>
      <c r="BR1206" s="3038"/>
      <c r="BS1206" s="3038"/>
      <c r="BT1206" s="3038"/>
      <c r="BU1206" s="3038"/>
    </row>
    <row r="1207" spans="3:73">
      <c r="C1207" s="3038"/>
      <c r="D1207" s="3038"/>
      <c r="E1207" s="3038"/>
      <c r="H1207" s="3038"/>
      <c r="I1207" s="3038"/>
      <c r="J1207" s="3038"/>
      <c r="K1207" s="3038"/>
      <c r="M1207" s="3038"/>
      <c r="N1207" s="3038"/>
      <c r="O1207" s="3038"/>
      <c r="P1207" s="3038"/>
      <c r="Q1207" s="3038"/>
      <c r="R1207" s="3038"/>
      <c r="S1207" s="3038"/>
      <c r="T1207" s="3038"/>
      <c r="W1207" s="3038"/>
      <c r="X1207" s="3038"/>
      <c r="Y1207" s="3038"/>
      <c r="Z1207" s="3038"/>
      <c r="AA1207" s="3113"/>
      <c r="AB1207" s="3038"/>
      <c r="AC1207" s="3038"/>
      <c r="AD1207" s="3038"/>
      <c r="AE1207" s="3132"/>
      <c r="AF1207" s="3038"/>
      <c r="AG1207" s="3038"/>
      <c r="AH1207" s="3038"/>
      <c r="AK1207" s="3038"/>
      <c r="AL1207" s="3038"/>
      <c r="AM1207" s="3038"/>
      <c r="AN1207" s="3038"/>
      <c r="AO1207" s="3038"/>
      <c r="AP1207" s="3038"/>
      <c r="AQ1207" s="3038"/>
      <c r="AR1207" s="3038"/>
      <c r="AS1207" s="3038"/>
      <c r="AT1207" s="3038"/>
      <c r="AU1207" s="3038"/>
      <c r="AV1207" s="3038"/>
      <c r="AW1207" s="3038"/>
      <c r="AX1207" s="3038"/>
      <c r="AY1207" s="3038"/>
      <c r="AZ1207" s="3038"/>
      <c r="BA1207" s="3038"/>
      <c r="BB1207" s="3038"/>
      <c r="BC1207" s="3038"/>
      <c r="BD1207" s="3038"/>
      <c r="BE1207" s="3038"/>
      <c r="BF1207" s="3038"/>
      <c r="BG1207" s="3038"/>
      <c r="BH1207" s="3038"/>
      <c r="BI1207" s="3038"/>
      <c r="BJ1207" s="3038"/>
      <c r="BK1207" s="3038"/>
      <c r="BL1207" s="3038"/>
      <c r="BM1207" s="3038"/>
      <c r="BN1207" s="3038"/>
      <c r="BO1207" s="3038"/>
      <c r="BP1207" s="3038"/>
      <c r="BQ1207" s="3038"/>
      <c r="BR1207" s="3038"/>
      <c r="BS1207" s="3038"/>
      <c r="BT1207" s="3038"/>
      <c r="BU1207" s="3038"/>
    </row>
    <row r="1208" spans="3:73">
      <c r="C1208" s="3038"/>
      <c r="D1208" s="3038"/>
      <c r="E1208" s="3038"/>
      <c r="H1208" s="3038"/>
      <c r="I1208" s="3038"/>
      <c r="J1208" s="3038"/>
      <c r="K1208" s="3038"/>
      <c r="M1208" s="3038"/>
      <c r="N1208" s="3038"/>
      <c r="O1208" s="3038"/>
      <c r="P1208" s="3038"/>
      <c r="Q1208" s="3038"/>
      <c r="R1208" s="3038"/>
      <c r="S1208" s="3038"/>
      <c r="T1208" s="3038"/>
      <c r="W1208" s="3038"/>
      <c r="X1208" s="3038"/>
      <c r="Y1208" s="3038"/>
      <c r="Z1208" s="3038"/>
      <c r="AA1208" s="3113"/>
      <c r="AB1208" s="3038"/>
      <c r="AC1208" s="3038"/>
      <c r="AD1208" s="3038"/>
      <c r="AE1208" s="3132"/>
      <c r="AF1208" s="3038"/>
      <c r="AG1208" s="3038"/>
      <c r="AH1208" s="3038"/>
      <c r="AK1208" s="3038"/>
      <c r="AL1208" s="3038"/>
      <c r="AM1208" s="3038"/>
      <c r="AN1208" s="3038"/>
      <c r="AO1208" s="3038"/>
      <c r="AP1208" s="3038"/>
      <c r="AQ1208" s="3038"/>
      <c r="AR1208" s="3038"/>
      <c r="AS1208" s="3038"/>
      <c r="AT1208" s="3038"/>
      <c r="AU1208" s="3038"/>
      <c r="AV1208" s="3038"/>
      <c r="AW1208" s="3038"/>
      <c r="AX1208" s="3038"/>
      <c r="AY1208" s="3038"/>
      <c r="AZ1208" s="3038"/>
      <c r="BA1208" s="3038"/>
      <c r="BB1208" s="3038"/>
      <c r="BC1208" s="3038"/>
      <c r="BD1208" s="3038"/>
      <c r="BE1208" s="3038"/>
      <c r="BF1208" s="3038"/>
      <c r="BG1208" s="3038"/>
      <c r="BH1208" s="3038"/>
      <c r="BI1208" s="3038"/>
      <c r="BJ1208" s="3038"/>
      <c r="BK1208" s="3038"/>
      <c r="BL1208" s="3038"/>
      <c r="BM1208" s="3038"/>
      <c r="BN1208" s="3038"/>
      <c r="BO1208" s="3038"/>
      <c r="BP1208" s="3038"/>
      <c r="BQ1208" s="3038"/>
      <c r="BR1208" s="3038"/>
      <c r="BS1208" s="3038"/>
      <c r="BT1208" s="3038"/>
      <c r="BU1208" s="3038"/>
    </row>
    <row r="1209" spans="3:73">
      <c r="C1209" s="3038"/>
      <c r="D1209" s="3038"/>
      <c r="E1209" s="3038"/>
      <c r="H1209" s="3038"/>
      <c r="I1209" s="3038"/>
      <c r="J1209" s="3038"/>
      <c r="K1209" s="3038"/>
      <c r="M1209" s="3038"/>
      <c r="N1209" s="3038"/>
      <c r="O1209" s="3038"/>
      <c r="P1209" s="3038"/>
      <c r="Q1209" s="3038"/>
      <c r="R1209" s="3038"/>
      <c r="S1209" s="3038"/>
      <c r="T1209" s="3038"/>
      <c r="W1209" s="3038"/>
      <c r="X1209" s="3038"/>
      <c r="Y1209" s="3038"/>
      <c r="Z1209" s="3038"/>
      <c r="AA1209" s="3113"/>
      <c r="AB1209" s="3038"/>
      <c r="AC1209" s="3038"/>
      <c r="AD1209" s="3038"/>
      <c r="AE1209" s="3132"/>
      <c r="AF1209" s="3038"/>
      <c r="AG1209" s="3038"/>
      <c r="AH1209" s="3038"/>
      <c r="AK1209" s="3038"/>
      <c r="AL1209" s="3038"/>
      <c r="AM1209" s="3038"/>
      <c r="AN1209" s="3038"/>
      <c r="AO1209" s="3038"/>
      <c r="AP1209" s="3038"/>
      <c r="AQ1209" s="3038"/>
      <c r="AR1209" s="3038"/>
      <c r="AS1209" s="3038"/>
      <c r="AT1209" s="3038"/>
      <c r="AU1209" s="3038"/>
      <c r="AV1209" s="3038"/>
      <c r="AW1209" s="3038"/>
      <c r="AX1209" s="3038"/>
      <c r="AY1209" s="3038"/>
      <c r="AZ1209" s="3038"/>
      <c r="BA1209" s="3038"/>
      <c r="BB1209" s="3038"/>
      <c r="BC1209" s="3038"/>
      <c r="BD1209" s="3038"/>
      <c r="BE1209" s="3038"/>
      <c r="BF1209" s="3038"/>
      <c r="BG1209" s="3038"/>
      <c r="BH1209" s="3038"/>
      <c r="BI1209" s="3038"/>
      <c r="BJ1209" s="3038"/>
      <c r="BK1209" s="3038"/>
      <c r="BL1209" s="3038"/>
      <c r="BM1209" s="3038"/>
      <c r="BN1209" s="3038"/>
      <c r="BO1209" s="3038"/>
      <c r="BP1209" s="3038"/>
      <c r="BQ1209" s="3038"/>
      <c r="BR1209" s="3038"/>
      <c r="BS1209" s="3038"/>
      <c r="BT1209" s="3038"/>
      <c r="BU1209" s="3038"/>
    </row>
    <row r="1210" spans="3:73">
      <c r="C1210" s="3038"/>
      <c r="D1210" s="3038"/>
      <c r="E1210" s="3038"/>
      <c r="H1210" s="3038"/>
      <c r="I1210" s="3038"/>
      <c r="J1210" s="3038"/>
      <c r="K1210" s="3038"/>
      <c r="M1210" s="3038"/>
      <c r="N1210" s="3038"/>
      <c r="O1210" s="3038"/>
      <c r="P1210" s="3038"/>
      <c r="Q1210" s="3038"/>
      <c r="R1210" s="3038"/>
      <c r="S1210" s="3038"/>
      <c r="T1210" s="3038"/>
      <c r="W1210" s="3038"/>
      <c r="X1210" s="3038"/>
      <c r="Y1210" s="3038"/>
      <c r="Z1210" s="3038"/>
      <c r="AA1210" s="3113"/>
      <c r="AB1210" s="3038"/>
      <c r="AC1210" s="3038"/>
      <c r="AD1210" s="3038"/>
      <c r="AE1210" s="3132"/>
      <c r="AF1210" s="3038"/>
      <c r="AG1210" s="3038"/>
      <c r="AH1210" s="3038"/>
      <c r="AK1210" s="3038"/>
      <c r="AL1210" s="3038"/>
      <c r="AM1210" s="3038"/>
      <c r="AN1210" s="3038"/>
      <c r="AO1210" s="3038"/>
      <c r="AP1210" s="3038"/>
      <c r="AQ1210" s="3038"/>
      <c r="AR1210" s="3038"/>
      <c r="AS1210" s="3038"/>
      <c r="AT1210" s="3038"/>
      <c r="AU1210" s="3038"/>
      <c r="AV1210" s="3038"/>
      <c r="AW1210" s="3038"/>
      <c r="AX1210" s="3038"/>
      <c r="AY1210" s="3038"/>
      <c r="AZ1210" s="3038"/>
      <c r="BA1210" s="3038"/>
      <c r="BB1210" s="3038"/>
      <c r="BC1210" s="3038"/>
      <c r="BD1210" s="3038"/>
      <c r="BE1210" s="3038"/>
      <c r="BF1210" s="3038"/>
      <c r="BG1210" s="3038"/>
      <c r="BH1210" s="3038"/>
      <c r="BI1210" s="3038"/>
      <c r="BJ1210" s="3038"/>
      <c r="BK1210" s="3038"/>
      <c r="BL1210" s="3038"/>
      <c r="BM1210" s="3038"/>
      <c r="BN1210" s="3038"/>
      <c r="BO1210" s="3038"/>
      <c r="BP1210" s="3038"/>
      <c r="BQ1210" s="3038"/>
      <c r="BR1210" s="3038"/>
      <c r="BS1210" s="3038"/>
      <c r="BT1210" s="3038"/>
      <c r="BU1210" s="3038"/>
    </row>
    <row r="1211" spans="3:73">
      <c r="C1211" s="3038"/>
      <c r="D1211" s="3038"/>
      <c r="E1211" s="3038"/>
      <c r="H1211" s="3038"/>
      <c r="I1211" s="3038"/>
      <c r="J1211" s="3038"/>
      <c r="K1211" s="3038"/>
      <c r="M1211" s="3038"/>
      <c r="N1211" s="3038"/>
      <c r="O1211" s="3038"/>
      <c r="P1211" s="3038"/>
      <c r="Q1211" s="3038"/>
      <c r="R1211" s="3038"/>
      <c r="S1211" s="3038"/>
      <c r="T1211" s="3038"/>
      <c r="W1211" s="3038"/>
      <c r="X1211" s="3038"/>
      <c r="Y1211" s="3038"/>
      <c r="Z1211" s="3038"/>
      <c r="AA1211" s="3113"/>
      <c r="AB1211" s="3038"/>
      <c r="AC1211" s="3038"/>
      <c r="AD1211" s="3038"/>
      <c r="AE1211" s="3132"/>
      <c r="AF1211" s="3038"/>
      <c r="AG1211" s="3038"/>
      <c r="AH1211" s="3038"/>
      <c r="AK1211" s="3038"/>
      <c r="AL1211" s="3038"/>
      <c r="AM1211" s="3038"/>
      <c r="AN1211" s="3038"/>
      <c r="AO1211" s="3038"/>
      <c r="AP1211" s="3038"/>
      <c r="AQ1211" s="3038"/>
      <c r="AR1211" s="3038"/>
      <c r="AS1211" s="3038"/>
      <c r="AT1211" s="3038"/>
      <c r="AU1211" s="3038"/>
      <c r="AV1211" s="3038"/>
      <c r="AW1211" s="3038"/>
      <c r="AX1211" s="3038"/>
      <c r="AY1211" s="3038"/>
      <c r="AZ1211" s="3038"/>
      <c r="BA1211" s="3038"/>
      <c r="BB1211" s="3038"/>
      <c r="BC1211" s="3038"/>
      <c r="BD1211" s="3038"/>
      <c r="BE1211" s="3038"/>
      <c r="BF1211" s="3038"/>
      <c r="BG1211" s="3038"/>
      <c r="BH1211" s="3038"/>
      <c r="BI1211" s="3038"/>
      <c r="BJ1211" s="3038"/>
      <c r="BK1211" s="3038"/>
      <c r="BL1211" s="3038"/>
      <c r="BM1211" s="3038"/>
      <c r="BN1211" s="3038"/>
      <c r="BO1211" s="3038"/>
      <c r="BP1211" s="3038"/>
      <c r="BQ1211" s="3038"/>
      <c r="BR1211" s="3038"/>
      <c r="BS1211" s="3038"/>
      <c r="BT1211" s="3038"/>
      <c r="BU1211" s="3038"/>
    </row>
    <row r="1212" spans="3:73">
      <c r="C1212" s="3038"/>
      <c r="D1212" s="3038"/>
      <c r="E1212" s="3038"/>
      <c r="H1212" s="3038"/>
      <c r="I1212" s="3038"/>
      <c r="J1212" s="3038"/>
      <c r="K1212" s="3038"/>
      <c r="M1212" s="3038"/>
      <c r="N1212" s="3038"/>
      <c r="O1212" s="3038"/>
      <c r="P1212" s="3038"/>
      <c r="Q1212" s="3038"/>
      <c r="R1212" s="3038"/>
      <c r="S1212" s="3038"/>
      <c r="T1212" s="3038"/>
      <c r="W1212" s="3038"/>
      <c r="X1212" s="3038"/>
      <c r="Y1212" s="3038"/>
      <c r="Z1212" s="3038"/>
      <c r="AA1212" s="3113"/>
      <c r="AB1212" s="3038"/>
      <c r="AC1212" s="3038"/>
      <c r="AD1212" s="3038"/>
      <c r="AE1212" s="3132"/>
      <c r="AF1212" s="3038"/>
      <c r="AG1212" s="3038"/>
      <c r="AH1212" s="3038"/>
      <c r="AK1212" s="3038"/>
      <c r="AL1212" s="3038"/>
      <c r="AM1212" s="3038"/>
      <c r="AN1212" s="3038"/>
      <c r="AO1212" s="3038"/>
      <c r="AP1212" s="3038"/>
      <c r="AQ1212" s="3038"/>
      <c r="AR1212" s="3038"/>
      <c r="AS1212" s="3038"/>
      <c r="AT1212" s="3038"/>
      <c r="AU1212" s="3038"/>
      <c r="AV1212" s="3038"/>
      <c r="AW1212" s="3038"/>
      <c r="AX1212" s="3038"/>
      <c r="AY1212" s="3038"/>
      <c r="AZ1212" s="3038"/>
      <c r="BA1212" s="3038"/>
      <c r="BB1212" s="3038"/>
      <c r="BC1212" s="3038"/>
      <c r="BD1212" s="3038"/>
      <c r="BE1212" s="3038"/>
      <c r="BF1212" s="3038"/>
      <c r="BG1212" s="3038"/>
      <c r="BH1212" s="3038"/>
      <c r="BI1212" s="3038"/>
      <c r="BJ1212" s="3038"/>
      <c r="BK1212" s="3038"/>
      <c r="BL1212" s="3038"/>
      <c r="BM1212" s="3038"/>
      <c r="BN1212" s="3038"/>
      <c r="BO1212" s="3038"/>
      <c r="BP1212" s="3038"/>
      <c r="BQ1212" s="3038"/>
      <c r="BR1212" s="3038"/>
      <c r="BS1212" s="3038"/>
      <c r="BT1212" s="3038"/>
      <c r="BU1212" s="3038"/>
    </row>
    <row r="1213" spans="3:73">
      <c r="C1213" s="3038"/>
      <c r="D1213" s="3038"/>
      <c r="E1213" s="3038"/>
      <c r="H1213" s="3038"/>
      <c r="I1213" s="3038"/>
      <c r="J1213" s="3038"/>
      <c r="K1213" s="3038"/>
      <c r="M1213" s="3038"/>
      <c r="N1213" s="3038"/>
      <c r="O1213" s="3038"/>
      <c r="P1213" s="3038"/>
      <c r="Q1213" s="3038"/>
      <c r="R1213" s="3038"/>
      <c r="S1213" s="3038"/>
      <c r="T1213" s="3038"/>
      <c r="W1213" s="3038"/>
      <c r="X1213" s="3038"/>
      <c r="Y1213" s="3038"/>
      <c r="Z1213" s="3038"/>
      <c r="AA1213" s="3113"/>
      <c r="AB1213" s="3038"/>
      <c r="AC1213" s="3038"/>
      <c r="AD1213" s="3038"/>
      <c r="AE1213" s="3132"/>
      <c r="AF1213" s="3038"/>
      <c r="AG1213" s="3038"/>
      <c r="AH1213" s="3038"/>
      <c r="AK1213" s="3038"/>
      <c r="AL1213" s="3038"/>
      <c r="AM1213" s="3038"/>
      <c r="AN1213" s="3038"/>
      <c r="AO1213" s="3038"/>
      <c r="AP1213" s="3038"/>
      <c r="AQ1213" s="3038"/>
      <c r="AR1213" s="3038"/>
      <c r="AS1213" s="3038"/>
      <c r="AT1213" s="3038"/>
      <c r="AU1213" s="3038"/>
      <c r="AV1213" s="3038"/>
      <c r="AW1213" s="3038"/>
      <c r="AX1213" s="3038"/>
      <c r="AY1213" s="3038"/>
      <c r="AZ1213" s="3038"/>
      <c r="BA1213" s="3038"/>
      <c r="BB1213" s="3038"/>
      <c r="BC1213" s="3038"/>
      <c r="BD1213" s="3038"/>
      <c r="BE1213" s="3038"/>
      <c r="BF1213" s="3038"/>
      <c r="BG1213" s="3038"/>
      <c r="BH1213" s="3038"/>
      <c r="BI1213" s="3038"/>
      <c r="BJ1213" s="3038"/>
      <c r="BK1213" s="3038"/>
      <c r="BL1213" s="3038"/>
      <c r="BM1213" s="3038"/>
      <c r="BN1213" s="3038"/>
      <c r="BO1213" s="3038"/>
      <c r="BP1213" s="3038"/>
      <c r="BQ1213" s="3038"/>
      <c r="BR1213" s="3038"/>
      <c r="BS1213" s="3038"/>
      <c r="BT1213" s="3038"/>
      <c r="BU1213" s="3038"/>
    </row>
    <row r="1214" spans="3:73">
      <c r="C1214" s="3038"/>
      <c r="D1214" s="3038"/>
      <c r="E1214" s="3038"/>
      <c r="H1214" s="3038"/>
      <c r="I1214" s="3038"/>
      <c r="J1214" s="3038"/>
      <c r="K1214" s="3038"/>
      <c r="M1214" s="3038"/>
      <c r="N1214" s="3038"/>
      <c r="O1214" s="3038"/>
      <c r="P1214" s="3038"/>
      <c r="Q1214" s="3038"/>
      <c r="R1214" s="3038"/>
      <c r="S1214" s="3038"/>
      <c r="T1214" s="3038"/>
      <c r="W1214" s="3038"/>
      <c r="X1214" s="3038"/>
      <c r="Y1214" s="3038"/>
      <c r="Z1214" s="3038"/>
      <c r="AA1214" s="3113"/>
      <c r="AB1214" s="3038"/>
      <c r="AC1214" s="3038"/>
      <c r="AD1214" s="3038"/>
      <c r="AE1214" s="3132"/>
      <c r="AF1214" s="3038"/>
      <c r="AG1214" s="3038"/>
      <c r="AH1214" s="3038"/>
      <c r="AK1214" s="3038"/>
      <c r="AL1214" s="3038"/>
      <c r="AM1214" s="3038"/>
      <c r="AN1214" s="3038"/>
      <c r="AO1214" s="3038"/>
      <c r="AP1214" s="3038"/>
      <c r="AQ1214" s="3038"/>
      <c r="AR1214" s="3038"/>
      <c r="AS1214" s="3038"/>
      <c r="AT1214" s="3038"/>
      <c r="AU1214" s="3038"/>
      <c r="AV1214" s="3038"/>
      <c r="AW1214" s="3038"/>
      <c r="AX1214" s="3038"/>
      <c r="AY1214" s="3038"/>
      <c r="AZ1214" s="3038"/>
      <c r="BA1214" s="3038"/>
      <c r="BB1214" s="3038"/>
      <c r="BC1214" s="3038"/>
      <c r="BD1214" s="3038"/>
      <c r="BE1214" s="3038"/>
      <c r="BF1214" s="3038"/>
      <c r="BG1214" s="3038"/>
      <c r="BH1214" s="3038"/>
      <c r="BI1214" s="3038"/>
      <c r="BJ1214" s="3038"/>
      <c r="BK1214" s="3038"/>
      <c r="BL1214" s="3038"/>
      <c r="BM1214" s="3038"/>
      <c r="BN1214" s="3038"/>
      <c r="BO1214" s="3038"/>
      <c r="BP1214" s="3038"/>
      <c r="BQ1214" s="3038"/>
      <c r="BR1214" s="3038"/>
      <c r="BS1214" s="3038"/>
      <c r="BT1214" s="3038"/>
      <c r="BU1214" s="3038"/>
    </row>
    <row r="1215" spans="3:73">
      <c r="C1215" s="3038"/>
      <c r="D1215" s="3038"/>
      <c r="E1215" s="3038"/>
      <c r="H1215" s="3038"/>
      <c r="I1215" s="3038"/>
      <c r="J1215" s="3038"/>
      <c r="K1215" s="3038"/>
      <c r="M1215" s="3038"/>
      <c r="N1215" s="3038"/>
      <c r="O1215" s="3038"/>
      <c r="P1215" s="3038"/>
      <c r="Q1215" s="3038"/>
      <c r="R1215" s="3038"/>
      <c r="S1215" s="3038"/>
      <c r="T1215" s="3038"/>
      <c r="W1215" s="3038"/>
      <c r="X1215" s="3038"/>
      <c r="Y1215" s="3038"/>
      <c r="Z1215" s="3038"/>
      <c r="AA1215" s="3113"/>
      <c r="AB1215" s="3038"/>
      <c r="AC1215" s="3038"/>
      <c r="AD1215" s="3038"/>
      <c r="AE1215" s="3132"/>
      <c r="AF1215" s="3038"/>
      <c r="AG1215" s="3038"/>
      <c r="AH1215" s="3038"/>
      <c r="AK1215" s="3038"/>
      <c r="AL1215" s="3038"/>
      <c r="AM1215" s="3038"/>
      <c r="AN1215" s="3038"/>
      <c r="AO1215" s="3038"/>
      <c r="AP1215" s="3038"/>
      <c r="AQ1215" s="3038"/>
      <c r="AR1215" s="3038"/>
      <c r="AS1215" s="3038"/>
      <c r="AT1215" s="3038"/>
      <c r="AU1215" s="3038"/>
      <c r="AV1215" s="3038"/>
      <c r="AW1215" s="3038"/>
      <c r="AX1215" s="3038"/>
      <c r="AY1215" s="3038"/>
      <c r="AZ1215" s="3038"/>
      <c r="BA1215" s="3038"/>
      <c r="BB1215" s="3038"/>
      <c r="BC1215" s="3038"/>
      <c r="BD1215" s="3038"/>
      <c r="BE1215" s="3038"/>
      <c r="BF1215" s="3038"/>
      <c r="BG1215" s="3038"/>
      <c r="BH1215" s="3038"/>
      <c r="BI1215" s="3038"/>
      <c r="BJ1215" s="3038"/>
      <c r="BK1215" s="3038"/>
      <c r="BL1215" s="3038"/>
      <c r="BM1215" s="3038"/>
      <c r="BN1215" s="3038"/>
      <c r="BO1215" s="3038"/>
      <c r="BP1215" s="3038"/>
      <c r="BQ1215" s="3038"/>
      <c r="BR1215" s="3038"/>
      <c r="BS1215" s="3038"/>
      <c r="BT1215" s="3038"/>
      <c r="BU1215" s="3038"/>
    </row>
    <row r="1216" spans="3:73">
      <c r="C1216" s="3038"/>
      <c r="D1216" s="3038"/>
      <c r="E1216" s="3038"/>
      <c r="H1216" s="3038"/>
      <c r="I1216" s="3038"/>
      <c r="J1216" s="3038"/>
      <c r="K1216" s="3038"/>
      <c r="M1216" s="3038"/>
      <c r="N1216" s="3038"/>
      <c r="O1216" s="3038"/>
      <c r="P1216" s="3038"/>
      <c r="Q1216" s="3038"/>
      <c r="R1216" s="3038"/>
      <c r="S1216" s="3038"/>
      <c r="T1216" s="3038"/>
      <c r="W1216" s="3038"/>
      <c r="X1216" s="3038"/>
      <c r="Y1216" s="3038"/>
      <c r="Z1216" s="3038"/>
      <c r="AA1216" s="3113"/>
      <c r="AB1216" s="3038"/>
      <c r="AC1216" s="3038"/>
      <c r="AD1216" s="3038"/>
      <c r="AE1216" s="3132"/>
      <c r="AF1216" s="3038"/>
      <c r="AG1216" s="3038"/>
      <c r="AH1216" s="3038"/>
      <c r="AK1216" s="3038"/>
      <c r="AL1216" s="3038"/>
      <c r="AM1216" s="3038"/>
      <c r="AN1216" s="3038"/>
      <c r="AO1216" s="3038"/>
      <c r="AP1216" s="3038"/>
      <c r="AQ1216" s="3038"/>
      <c r="AR1216" s="3038"/>
      <c r="AS1216" s="3038"/>
      <c r="AT1216" s="3038"/>
      <c r="AU1216" s="3038"/>
      <c r="AV1216" s="3038"/>
      <c r="AW1216" s="3038"/>
      <c r="AX1216" s="3038"/>
      <c r="AY1216" s="3038"/>
      <c r="AZ1216" s="3038"/>
      <c r="BA1216" s="3038"/>
      <c r="BB1216" s="3038"/>
      <c r="BC1216" s="3038"/>
      <c r="BD1216" s="3038"/>
      <c r="BE1216" s="3038"/>
      <c r="BF1216" s="3038"/>
      <c r="BG1216" s="3038"/>
      <c r="BH1216" s="3038"/>
      <c r="BI1216" s="3038"/>
      <c r="BJ1216" s="3038"/>
      <c r="BK1216" s="3038"/>
      <c r="BL1216" s="3038"/>
      <c r="BM1216" s="3038"/>
      <c r="BN1216" s="3038"/>
      <c r="BO1216" s="3038"/>
      <c r="BP1216" s="3038"/>
      <c r="BQ1216" s="3038"/>
      <c r="BR1216" s="3038"/>
      <c r="BS1216" s="3038"/>
      <c r="BT1216" s="3038"/>
      <c r="BU1216" s="3038"/>
    </row>
    <row r="1217" spans="3:73">
      <c r="C1217" s="3038"/>
      <c r="D1217" s="3038"/>
      <c r="E1217" s="3038"/>
      <c r="H1217" s="3038"/>
      <c r="I1217" s="3038"/>
      <c r="J1217" s="3038"/>
      <c r="K1217" s="3038"/>
      <c r="M1217" s="3038"/>
      <c r="N1217" s="3038"/>
      <c r="O1217" s="3038"/>
      <c r="P1217" s="3038"/>
      <c r="Q1217" s="3038"/>
      <c r="R1217" s="3038"/>
      <c r="S1217" s="3038"/>
      <c r="T1217" s="3038"/>
      <c r="W1217" s="3038"/>
      <c r="X1217" s="3038"/>
      <c r="Y1217" s="3038"/>
      <c r="Z1217" s="3038"/>
      <c r="AA1217" s="3113"/>
      <c r="AB1217" s="3038"/>
      <c r="AC1217" s="3038"/>
      <c r="AD1217" s="3038"/>
      <c r="AE1217" s="3132"/>
      <c r="AF1217" s="3038"/>
      <c r="AG1217" s="3038"/>
      <c r="AH1217" s="3038"/>
      <c r="AK1217" s="3038"/>
      <c r="AL1217" s="3038"/>
      <c r="AM1217" s="3038"/>
      <c r="AN1217" s="3038"/>
      <c r="AO1217" s="3038"/>
      <c r="AP1217" s="3038"/>
      <c r="AQ1217" s="3038"/>
      <c r="AR1217" s="3038"/>
      <c r="AS1217" s="3038"/>
      <c r="AT1217" s="3038"/>
      <c r="AU1217" s="3038"/>
      <c r="AV1217" s="3038"/>
      <c r="AW1217" s="3038"/>
      <c r="AX1217" s="3038"/>
      <c r="AY1217" s="3038"/>
      <c r="AZ1217" s="3038"/>
      <c r="BA1217" s="3038"/>
      <c r="BB1217" s="3038"/>
      <c r="BC1217" s="3038"/>
      <c r="BD1217" s="3038"/>
      <c r="BE1217" s="3038"/>
      <c r="BF1217" s="3038"/>
      <c r="BG1217" s="3038"/>
      <c r="BH1217" s="3038"/>
      <c r="BI1217" s="3038"/>
      <c r="BJ1217" s="3038"/>
      <c r="BK1217" s="3038"/>
      <c r="BL1217" s="3038"/>
      <c r="BM1217" s="3038"/>
      <c r="BN1217" s="3038"/>
      <c r="BO1217" s="3038"/>
      <c r="BP1217" s="3038"/>
      <c r="BQ1217" s="3038"/>
      <c r="BR1217" s="3038"/>
      <c r="BS1217" s="3038"/>
      <c r="BT1217" s="3038"/>
      <c r="BU1217" s="3038"/>
    </row>
    <row r="1218" spans="3:73">
      <c r="C1218" s="3038"/>
      <c r="D1218" s="3038"/>
      <c r="E1218" s="3038"/>
      <c r="H1218" s="3038"/>
      <c r="I1218" s="3038"/>
      <c r="J1218" s="3038"/>
      <c r="K1218" s="3038"/>
      <c r="M1218" s="3038"/>
      <c r="N1218" s="3038"/>
      <c r="O1218" s="3038"/>
      <c r="P1218" s="3038"/>
      <c r="Q1218" s="3038"/>
      <c r="R1218" s="3038"/>
      <c r="S1218" s="3038"/>
      <c r="T1218" s="3038"/>
      <c r="W1218" s="3038"/>
      <c r="X1218" s="3038"/>
      <c r="Y1218" s="3038"/>
      <c r="Z1218" s="3038"/>
      <c r="AA1218" s="3113"/>
      <c r="AB1218" s="3038"/>
      <c r="AC1218" s="3038"/>
      <c r="AD1218" s="3038"/>
      <c r="AE1218" s="3132"/>
      <c r="AF1218" s="3038"/>
      <c r="AG1218" s="3038"/>
      <c r="AH1218" s="3038"/>
      <c r="AK1218" s="3038"/>
      <c r="AL1218" s="3038"/>
      <c r="AM1218" s="3038"/>
      <c r="AN1218" s="3038"/>
      <c r="AO1218" s="3038"/>
      <c r="AP1218" s="3038"/>
      <c r="AQ1218" s="3038"/>
      <c r="AR1218" s="3038"/>
      <c r="AS1218" s="3038"/>
      <c r="AT1218" s="3038"/>
      <c r="AU1218" s="3038"/>
      <c r="AV1218" s="3038"/>
      <c r="AW1218" s="3038"/>
      <c r="AX1218" s="3038"/>
      <c r="AY1218" s="3038"/>
      <c r="AZ1218" s="3038"/>
      <c r="BA1218" s="3038"/>
      <c r="BB1218" s="3038"/>
      <c r="BC1218" s="3038"/>
      <c r="BD1218" s="3038"/>
      <c r="BE1218" s="3038"/>
      <c r="BF1218" s="3038"/>
      <c r="BG1218" s="3038"/>
      <c r="BH1218" s="3038"/>
      <c r="BI1218" s="3038"/>
      <c r="BJ1218" s="3038"/>
      <c r="BK1218" s="3038"/>
      <c r="BL1218" s="3038"/>
      <c r="BM1218" s="3038"/>
      <c r="BN1218" s="3038"/>
      <c r="BO1218" s="3038"/>
      <c r="BP1218" s="3038"/>
      <c r="BQ1218" s="3038"/>
      <c r="BR1218" s="3038"/>
      <c r="BS1218" s="3038"/>
      <c r="BT1218" s="3038"/>
      <c r="BU1218" s="3038"/>
    </row>
    <row r="1219" spans="3:73">
      <c r="C1219" s="3038"/>
      <c r="D1219" s="3038"/>
      <c r="E1219" s="3038"/>
      <c r="H1219" s="3038"/>
      <c r="I1219" s="3038"/>
      <c r="J1219" s="3038"/>
      <c r="K1219" s="3038"/>
      <c r="M1219" s="3038"/>
      <c r="N1219" s="3038"/>
      <c r="O1219" s="3038"/>
      <c r="P1219" s="3038"/>
      <c r="Q1219" s="3038"/>
      <c r="R1219" s="3038"/>
      <c r="S1219" s="3038"/>
      <c r="T1219" s="3038"/>
      <c r="W1219" s="3038"/>
      <c r="X1219" s="3038"/>
      <c r="Y1219" s="3038"/>
      <c r="Z1219" s="3038"/>
      <c r="AA1219" s="3113"/>
      <c r="AB1219" s="3038"/>
      <c r="AC1219" s="3038"/>
      <c r="AD1219" s="3038"/>
      <c r="AE1219" s="3132"/>
      <c r="AF1219" s="3038"/>
      <c r="AG1219" s="3038"/>
      <c r="AH1219" s="3038"/>
      <c r="AK1219" s="3038"/>
      <c r="AL1219" s="3038"/>
      <c r="AM1219" s="3038"/>
      <c r="AN1219" s="3038"/>
      <c r="AO1219" s="3038"/>
      <c r="AP1219" s="3038"/>
      <c r="AQ1219" s="3038"/>
      <c r="AR1219" s="3038"/>
      <c r="AS1219" s="3038"/>
      <c r="AT1219" s="3038"/>
      <c r="AU1219" s="3038"/>
      <c r="AV1219" s="3038"/>
      <c r="AW1219" s="3038"/>
      <c r="AX1219" s="3038"/>
      <c r="AY1219" s="3038"/>
      <c r="AZ1219" s="3038"/>
      <c r="BA1219" s="3038"/>
      <c r="BB1219" s="3038"/>
      <c r="BC1219" s="3038"/>
      <c r="BD1219" s="3038"/>
      <c r="BE1219" s="3038"/>
      <c r="BF1219" s="3038"/>
      <c r="BG1219" s="3038"/>
      <c r="BH1219" s="3038"/>
      <c r="BI1219" s="3038"/>
      <c r="BJ1219" s="3038"/>
      <c r="BK1219" s="3038"/>
      <c r="BL1219" s="3038"/>
      <c r="BM1219" s="3038"/>
      <c r="BN1219" s="3038"/>
      <c r="BO1219" s="3038"/>
      <c r="BP1219" s="3038"/>
      <c r="BQ1219" s="3038"/>
      <c r="BR1219" s="3038"/>
      <c r="BS1219" s="3038"/>
      <c r="BT1219" s="3038"/>
      <c r="BU1219" s="3038"/>
    </row>
    <row r="1220" spans="3:73">
      <c r="C1220" s="3038"/>
      <c r="D1220" s="3038"/>
      <c r="E1220" s="3038"/>
      <c r="H1220" s="3038"/>
      <c r="I1220" s="3038"/>
      <c r="J1220" s="3038"/>
      <c r="K1220" s="3038"/>
      <c r="M1220" s="3038"/>
      <c r="N1220" s="3038"/>
      <c r="O1220" s="3038"/>
      <c r="P1220" s="3038"/>
      <c r="Q1220" s="3038"/>
      <c r="R1220" s="3038"/>
      <c r="S1220" s="3038"/>
      <c r="T1220" s="3038"/>
      <c r="W1220" s="3038"/>
      <c r="X1220" s="3038"/>
      <c r="Y1220" s="3038"/>
      <c r="Z1220" s="3038"/>
      <c r="AA1220" s="3113"/>
      <c r="AB1220" s="3038"/>
      <c r="AC1220" s="3038"/>
      <c r="AD1220" s="3038"/>
      <c r="AE1220" s="3132"/>
      <c r="AF1220" s="3038"/>
      <c r="AG1220" s="3038"/>
      <c r="AH1220" s="3038"/>
      <c r="AK1220" s="3038"/>
      <c r="AL1220" s="3038"/>
      <c r="AM1220" s="3038"/>
      <c r="AN1220" s="3038"/>
      <c r="AO1220" s="3038"/>
      <c r="AP1220" s="3038"/>
      <c r="AQ1220" s="3038"/>
      <c r="AR1220" s="3038"/>
      <c r="AS1220" s="3038"/>
      <c r="AT1220" s="3038"/>
      <c r="AU1220" s="3038"/>
      <c r="AV1220" s="3038"/>
      <c r="AW1220" s="3038"/>
      <c r="AX1220" s="3038"/>
      <c r="AY1220" s="3038"/>
      <c r="AZ1220" s="3038"/>
      <c r="BA1220" s="3038"/>
      <c r="BB1220" s="3038"/>
      <c r="BC1220" s="3038"/>
      <c r="BD1220" s="3038"/>
      <c r="BE1220" s="3038"/>
      <c r="BF1220" s="3038"/>
      <c r="BG1220" s="3038"/>
      <c r="BH1220" s="3038"/>
      <c r="BI1220" s="3038"/>
      <c r="BJ1220" s="3038"/>
      <c r="BK1220" s="3038"/>
      <c r="BL1220" s="3038"/>
      <c r="BM1220" s="3038"/>
      <c r="BN1220" s="3038"/>
      <c r="BO1220" s="3038"/>
      <c r="BP1220" s="3038"/>
      <c r="BQ1220" s="3038"/>
      <c r="BR1220" s="3038"/>
      <c r="BS1220" s="3038"/>
      <c r="BT1220" s="3038"/>
      <c r="BU1220" s="3038"/>
    </row>
    <row r="1221" spans="3:73">
      <c r="C1221" s="3038"/>
      <c r="D1221" s="3038"/>
      <c r="E1221" s="3038"/>
      <c r="H1221" s="3038"/>
      <c r="I1221" s="3038"/>
      <c r="J1221" s="3038"/>
      <c r="K1221" s="3038"/>
      <c r="M1221" s="3038"/>
      <c r="N1221" s="3038"/>
      <c r="O1221" s="3038"/>
      <c r="P1221" s="3038"/>
      <c r="Q1221" s="3038"/>
      <c r="R1221" s="3038"/>
      <c r="S1221" s="3038"/>
      <c r="T1221" s="3038"/>
      <c r="W1221" s="3038"/>
      <c r="X1221" s="3038"/>
      <c r="Y1221" s="3038"/>
      <c r="Z1221" s="3038"/>
      <c r="AA1221" s="3113"/>
      <c r="AB1221" s="3038"/>
      <c r="AC1221" s="3038"/>
      <c r="AD1221" s="3038"/>
      <c r="AE1221" s="3132"/>
      <c r="AF1221" s="3038"/>
      <c r="AG1221" s="3038"/>
      <c r="AH1221" s="3038"/>
      <c r="AK1221" s="3038"/>
      <c r="AL1221" s="3038"/>
      <c r="AM1221" s="3038"/>
      <c r="AN1221" s="3038"/>
      <c r="AO1221" s="3038"/>
      <c r="AP1221" s="3038"/>
      <c r="AQ1221" s="3038"/>
      <c r="AR1221" s="3038"/>
      <c r="AS1221" s="3038"/>
      <c r="AT1221" s="3038"/>
      <c r="AU1221" s="3038"/>
      <c r="AV1221" s="3038"/>
      <c r="AW1221" s="3038"/>
      <c r="AX1221" s="3038"/>
      <c r="AY1221" s="3038"/>
      <c r="AZ1221" s="3038"/>
      <c r="BA1221" s="3038"/>
      <c r="BB1221" s="3038"/>
      <c r="BC1221" s="3038"/>
      <c r="BD1221" s="3038"/>
      <c r="BE1221" s="3038"/>
      <c r="BF1221" s="3038"/>
      <c r="BG1221" s="3038"/>
      <c r="BH1221" s="3038"/>
      <c r="BI1221" s="3038"/>
      <c r="BJ1221" s="3038"/>
      <c r="BK1221" s="3038"/>
      <c r="BL1221" s="3038"/>
      <c r="BM1221" s="3038"/>
      <c r="BN1221" s="3038"/>
      <c r="BO1221" s="3038"/>
      <c r="BP1221" s="3038"/>
      <c r="BQ1221" s="3038"/>
      <c r="BR1221" s="3038"/>
      <c r="BS1221" s="3038"/>
      <c r="BT1221" s="3038"/>
      <c r="BU1221" s="3038"/>
    </row>
    <row r="1222" spans="3:73">
      <c r="C1222" s="3038"/>
      <c r="D1222" s="3038"/>
      <c r="E1222" s="3038"/>
      <c r="H1222" s="3038"/>
      <c r="I1222" s="3038"/>
      <c r="J1222" s="3038"/>
      <c r="K1222" s="3038"/>
      <c r="M1222" s="3038"/>
      <c r="N1222" s="3038"/>
      <c r="O1222" s="3038"/>
      <c r="P1222" s="3038"/>
      <c r="Q1222" s="3038"/>
      <c r="R1222" s="3038"/>
      <c r="S1222" s="3038"/>
      <c r="T1222" s="3038"/>
      <c r="W1222" s="3038"/>
      <c r="X1222" s="3038"/>
      <c r="Y1222" s="3038"/>
      <c r="Z1222" s="3038"/>
      <c r="AA1222" s="3113"/>
      <c r="AB1222" s="3038"/>
      <c r="AC1222" s="3038"/>
      <c r="AD1222" s="3038"/>
      <c r="AE1222" s="3132"/>
      <c r="AF1222" s="3038"/>
      <c r="AG1222" s="3038"/>
      <c r="AH1222" s="3038"/>
      <c r="AK1222" s="3038"/>
      <c r="AL1222" s="3038"/>
      <c r="AM1222" s="3038"/>
      <c r="AN1222" s="3038"/>
      <c r="AO1222" s="3038"/>
      <c r="AP1222" s="3038"/>
      <c r="AQ1222" s="3038"/>
      <c r="AR1222" s="3038"/>
      <c r="AS1222" s="3038"/>
      <c r="AT1222" s="3038"/>
      <c r="AU1222" s="3038"/>
      <c r="AV1222" s="3038"/>
      <c r="AW1222" s="3038"/>
      <c r="AX1222" s="3038"/>
      <c r="AY1222" s="3038"/>
      <c r="AZ1222" s="3038"/>
      <c r="BA1222" s="3038"/>
      <c r="BB1222" s="3038"/>
      <c r="BC1222" s="3038"/>
      <c r="BD1222" s="3038"/>
      <c r="BE1222" s="3038"/>
      <c r="BF1222" s="3038"/>
      <c r="BG1222" s="3038"/>
      <c r="BH1222" s="3038"/>
      <c r="BI1222" s="3038"/>
      <c r="BJ1222" s="3038"/>
      <c r="BK1222" s="3038"/>
      <c r="BL1222" s="3038"/>
      <c r="BM1222" s="3038"/>
      <c r="BN1222" s="3038"/>
      <c r="BO1222" s="3038"/>
      <c r="BP1222" s="3038"/>
      <c r="BQ1222" s="3038"/>
      <c r="BR1222" s="3038"/>
      <c r="BS1222" s="3038"/>
      <c r="BT1222" s="3038"/>
      <c r="BU1222" s="3038"/>
    </row>
    <row r="1223" spans="3:73">
      <c r="C1223" s="3038"/>
      <c r="D1223" s="3038"/>
      <c r="E1223" s="3038"/>
      <c r="H1223" s="3038"/>
      <c r="I1223" s="3038"/>
      <c r="J1223" s="3038"/>
      <c r="K1223" s="3038"/>
      <c r="M1223" s="3038"/>
      <c r="N1223" s="3038"/>
      <c r="O1223" s="3038"/>
      <c r="P1223" s="3038"/>
      <c r="Q1223" s="3038"/>
      <c r="R1223" s="3038"/>
      <c r="S1223" s="3038"/>
      <c r="T1223" s="3038"/>
      <c r="W1223" s="3038"/>
      <c r="X1223" s="3038"/>
      <c r="Y1223" s="3038"/>
      <c r="Z1223" s="3038"/>
      <c r="AA1223" s="3113"/>
      <c r="AB1223" s="3038"/>
      <c r="AC1223" s="3038"/>
      <c r="AD1223" s="3038"/>
      <c r="AE1223" s="3132"/>
      <c r="AF1223" s="3038"/>
      <c r="AG1223" s="3038"/>
      <c r="AH1223" s="3038"/>
      <c r="AK1223" s="3038"/>
      <c r="AL1223" s="3038"/>
      <c r="AM1223" s="3038"/>
      <c r="AN1223" s="3038"/>
      <c r="AO1223" s="3038"/>
      <c r="AP1223" s="3038"/>
      <c r="AQ1223" s="3038"/>
      <c r="AR1223" s="3038"/>
      <c r="AS1223" s="3038"/>
      <c r="AT1223" s="3038"/>
      <c r="AU1223" s="3038"/>
      <c r="AV1223" s="3038"/>
      <c r="AW1223" s="3038"/>
      <c r="AX1223" s="3038"/>
      <c r="AY1223" s="3038"/>
      <c r="AZ1223" s="3038"/>
      <c r="BA1223" s="3038"/>
      <c r="BB1223" s="3038"/>
      <c r="BC1223" s="3038"/>
      <c r="BD1223" s="3038"/>
      <c r="BE1223" s="3038"/>
      <c r="BF1223" s="3038"/>
      <c r="BG1223" s="3038"/>
      <c r="BH1223" s="3038"/>
      <c r="BI1223" s="3038"/>
      <c r="BJ1223" s="3038"/>
      <c r="BK1223" s="3038"/>
      <c r="BL1223" s="3038"/>
      <c r="BM1223" s="3038"/>
      <c r="BN1223" s="3038"/>
      <c r="BO1223" s="3038"/>
      <c r="BP1223" s="3038"/>
      <c r="BQ1223" s="3038"/>
      <c r="BR1223" s="3038"/>
      <c r="BS1223" s="3038"/>
      <c r="BT1223" s="3038"/>
      <c r="BU1223" s="3038"/>
    </row>
    <row r="1224" spans="3:73">
      <c r="C1224" s="3038"/>
      <c r="D1224" s="3038"/>
      <c r="E1224" s="3038"/>
      <c r="H1224" s="3038"/>
      <c r="I1224" s="3038"/>
      <c r="J1224" s="3038"/>
      <c r="K1224" s="3038"/>
      <c r="M1224" s="3038"/>
      <c r="N1224" s="3038"/>
      <c r="O1224" s="3038"/>
      <c r="P1224" s="3038"/>
      <c r="Q1224" s="3038"/>
      <c r="R1224" s="3038"/>
      <c r="S1224" s="3038"/>
      <c r="T1224" s="3038"/>
      <c r="W1224" s="3038"/>
      <c r="X1224" s="3038"/>
      <c r="Y1224" s="3038"/>
      <c r="Z1224" s="3038"/>
      <c r="AA1224" s="3113"/>
      <c r="AB1224" s="3038"/>
      <c r="AC1224" s="3038"/>
      <c r="AD1224" s="3038"/>
      <c r="AE1224" s="3132"/>
      <c r="AF1224" s="3038"/>
      <c r="AG1224" s="3038"/>
      <c r="AH1224" s="3038"/>
      <c r="AK1224" s="3038"/>
      <c r="AL1224" s="3038"/>
      <c r="AM1224" s="3038"/>
      <c r="AN1224" s="3038"/>
      <c r="AO1224" s="3038"/>
      <c r="AP1224" s="3038"/>
      <c r="AQ1224" s="3038"/>
      <c r="AR1224" s="3038"/>
      <c r="AS1224" s="3038"/>
      <c r="AT1224" s="3038"/>
      <c r="AU1224" s="3038"/>
      <c r="AV1224" s="3038"/>
      <c r="AW1224" s="3038"/>
      <c r="AX1224" s="3038"/>
      <c r="AY1224" s="3038"/>
      <c r="AZ1224" s="3038"/>
      <c r="BA1224" s="3038"/>
      <c r="BB1224" s="3038"/>
      <c r="BC1224" s="3038"/>
      <c r="BD1224" s="3038"/>
      <c r="BE1224" s="3038"/>
      <c r="BF1224" s="3038"/>
      <c r="BG1224" s="3038"/>
      <c r="BH1224" s="3038"/>
      <c r="BI1224" s="3038"/>
      <c r="BJ1224" s="3038"/>
      <c r="BK1224" s="3038"/>
      <c r="BL1224" s="3038"/>
      <c r="BM1224" s="3038"/>
      <c r="BN1224" s="3038"/>
      <c r="BO1224" s="3038"/>
      <c r="BP1224" s="3038"/>
      <c r="BQ1224" s="3038"/>
      <c r="BR1224" s="3038"/>
      <c r="BS1224" s="3038"/>
      <c r="BT1224" s="3038"/>
      <c r="BU1224" s="3038"/>
    </row>
    <row r="1225" spans="3:73">
      <c r="C1225" s="3038"/>
      <c r="D1225" s="3038"/>
      <c r="E1225" s="3038"/>
      <c r="H1225" s="3038"/>
      <c r="I1225" s="3038"/>
      <c r="J1225" s="3038"/>
      <c r="K1225" s="3038"/>
      <c r="M1225" s="3038"/>
      <c r="N1225" s="3038"/>
      <c r="O1225" s="3038"/>
      <c r="P1225" s="3038"/>
      <c r="Q1225" s="3038"/>
      <c r="R1225" s="3038"/>
      <c r="S1225" s="3038"/>
      <c r="T1225" s="3038"/>
      <c r="W1225" s="3038"/>
      <c r="X1225" s="3038"/>
      <c r="Y1225" s="3038"/>
      <c r="Z1225" s="3038"/>
      <c r="AA1225" s="3113"/>
      <c r="AB1225" s="3038"/>
      <c r="AC1225" s="3038"/>
      <c r="AD1225" s="3038"/>
      <c r="AE1225" s="3132"/>
      <c r="AF1225" s="3038"/>
      <c r="AG1225" s="3038"/>
      <c r="AH1225" s="3038"/>
      <c r="AK1225" s="3038"/>
      <c r="AL1225" s="3038"/>
      <c r="AM1225" s="3038"/>
      <c r="AN1225" s="3038"/>
      <c r="AO1225" s="3038"/>
      <c r="AP1225" s="3038"/>
      <c r="AQ1225" s="3038"/>
      <c r="AR1225" s="3038"/>
      <c r="AS1225" s="3038"/>
      <c r="AT1225" s="3038"/>
      <c r="AU1225" s="3038"/>
      <c r="AV1225" s="3038"/>
      <c r="AW1225" s="3038"/>
      <c r="AX1225" s="3038"/>
      <c r="AY1225" s="3038"/>
      <c r="AZ1225" s="3038"/>
      <c r="BA1225" s="3038"/>
      <c r="BB1225" s="3038"/>
      <c r="BC1225" s="3038"/>
      <c r="BD1225" s="3038"/>
      <c r="BE1225" s="3038"/>
      <c r="BF1225" s="3038"/>
      <c r="BG1225" s="3038"/>
      <c r="BH1225" s="3038"/>
      <c r="BI1225" s="3038"/>
      <c r="BJ1225" s="3038"/>
      <c r="BK1225" s="3038"/>
      <c r="BL1225" s="3038"/>
      <c r="BM1225" s="3038"/>
      <c r="BN1225" s="3038"/>
      <c r="BO1225" s="3038"/>
      <c r="BP1225" s="3038"/>
      <c r="BQ1225" s="3038"/>
      <c r="BR1225" s="3038"/>
      <c r="BS1225" s="3038"/>
      <c r="BT1225" s="3038"/>
      <c r="BU1225" s="3038"/>
    </row>
    <row r="1226" spans="3:73">
      <c r="C1226" s="3038"/>
      <c r="D1226" s="3038"/>
      <c r="E1226" s="3038"/>
      <c r="H1226" s="3038"/>
      <c r="I1226" s="3038"/>
      <c r="J1226" s="3038"/>
      <c r="K1226" s="3038"/>
      <c r="M1226" s="3038"/>
      <c r="N1226" s="3038"/>
      <c r="O1226" s="3038"/>
      <c r="P1226" s="3038"/>
      <c r="Q1226" s="3038"/>
      <c r="R1226" s="3038"/>
      <c r="S1226" s="3038"/>
      <c r="T1226" s="3038"/>
      <c r="W1226" s="3038"/>
      <c r="X1226" s="3038"/>
      <c r="Y1226" s="3038"/>
      <c r="Z1226" s="3038"/>
      <c r="AA1226" s="3113"/>
      <c r="AB1226" s="3038"/>
      <c r="AC1226" s="3038"/>
      <c r="AD1226" s="3038"/>
      <c r="AE1226" s="3132"/>
      <c r="AF1226" s="3038"/>
      <c r="AG1226" s="3038"/>
      <c r="AH1226" s="3038"/>
      <c r="AK1226" s="3038"/>
      <c r="AL1226" s="3038"/>
      <c r="AM1226" s="3038"/>
      <c r="AN1226" s="3038"/>
      <c r="AO1226" s="3038"/>
      <c r="AP1226" s="3038"/>
      <c r="AQ1226" s="3038"/>
      <c r="AR1226" s="3038"/>
      <c r="AS1226" s="3038"/>
      <c r="AT1226" s="3038"/>
      <c r="AU1226" s="3038"/>
      <c r="AV1226" s="3038"/>
      <c r="AW1226" s="3038"/>
      <c r="AX1226" s="3038"/>
      <c r="AY1226" s="3038"/>
      <c r="AZ1226" s="3038"/>
      <c r="BA1226" s="3038"/>
      <c r="BB1226" s="3038"/>
      <c r="BC1226" s="3038"/>
      <c r="BD1226" s="3038"/>
      <c r="BE1226" s="3038"/>
      <c r="BF1226" s="3038"/>
      <c r="BG1226" s="3038"/>
      <c r="BH1226" s="3038"/>
      <c r="BI1226" s="3038"/>
      <c r="BJ1226" s="3038"/>
      <c r="BK1226" s="3038"/>
      <c r="BL1226" s="3038"/>
      <c r="BM1226" s="3038"/>
      <c r="BN1226" s="3038"/>
      <c r="BO1226" s="3038"/>
      <c r="BP1226" s="3038"/>
      <c r="BQ1226" s="3038"/>
      <c r="BR1226" s="3038"/>
      <c r="BS1226" s="3038"/>
      <c r="BT1226" s="3038"/>
      <c r="BU1226" s="3038"/>
    </row>
    <row r="1227" spans="3:73">
      <c r="C1227" s="3038"/>
      <c r="D1227" s="3038"/>
      <c r="E1227" s="3038"/>
      <c r="H1227" s="3038"/>
      <c r="I1227" s="3038"/>
      <c r="J1227" s="3038"/>
      <c r="K1227" s="3038"/>
      <c r="M1227" s="3038"/>
      <c r="N1227" s="3038"/>
      <c r="O1227" s="3038"/>
      <c r="P1227" s="3038"/>
      <c r="Q1227" s="3038"/>
      <c r="R1227" s="3038"/>
      <c r="S1227" s="3038"/>
      <c r="T1227" s="3038"/>
      <c r="W1227" s="3038"/>
      <c r="X1227" s="3038"/>
      <c r="Y1227" s="3038"/>
      <c r="Z1227" s="3038"/>
      <c r="AA1227" s="3113"/>
      <c r="AB1227" s="3038"/>
      <c r="AC1227" s="3038"/>
      <c r="AD1227" s="3038"/>
      <c r="AE1227" s="3132"/>
      <c r="AF1227" s="3038"/>
      <c r="AG1227" s="3038"/>
      <c r="AH1227" s="3038"/>
      <c r="AK1227" s="3038"/>
      <c r="AL1227" s="3038"/>
      <c r="AM1227" s="3038"/>
      <c r="AN1227" s="3038"/>
      <c r="AO1227" s="3038"/>
      <c r="AP1227" s="3038"/>
      <c r="AQ1227" s="3038"/>
      <c r="AR1227" s="3038"/>
      <c r="AS1227" s="3038"/>
      <c r="AT1227" s="3038"/>
      <c r="AU1227" s="3038"/>
      <c r="AV1227" s="3038"/>
      <c r="AW1227" s="3038"/>
      <c r="AX1227" s="3038"/>
      <c r="AY1227" s="3038"/>
      <c r="AZ1227" s="3038"/>
      <c r="BA1227" s="3038"/>
      <c r="BB1227" s="3038"/>
      <c r="BC1227" s="3038"/>
      <c r="BD1227" s="3038"/>
      <c r="BE1227" s="3038"/>
      <c r="BF1227" s="3038"/>
      <c r="BG1227" s="3038"/>
      <c r="BH1227" s="3038"/>
      <c r="BI1227" s="3038"/>
      <c r="BJ1227" s="3038"/>
      <c r="BK1227" s="3038"/>
      <c r="BL1227" s="3038"/>
      <c r="BM1227" s="3038"/>
      <c r="BN1227" s="3038"/>
      <c r="BO1227" s="3038"/>
      <c r="BP1227" s="3038"/>
      <c r="BQ1227" s="3038"/>
      <c r="BR1227" s="3038"/>
      <c r="BS1227" s="3038"/>
      <c r="BT1227" s="3038"/>
      <c r="BU1227" s="3038"/>
    </row>
    <row r="1228" spans="3:73">
      <c r="C1228" s="3038"/>
      <c r="D1228" s="3038"/>
      <c r="E1228" s="3038"/>
      <c r="H1228" s="3038"/>
      <c r="I1228" s="3038"/>
      <c r="J1228" s="3038"/>
      <c r="K1228" s="3038"/>
      <c r="M1228" s="3038"/>
      <c r="N1228" s="3038"/>
      <c r="O1228" s="3038"/>
      <c r="P1228" s="3038"/>
      <c r="Q1228" s="3038"/>
      <c r="R1228" s="3038"/>
      <c r="S1228" s="3038"/>
      <c r="T1228" s="3038"/>
      <c r="W1228" s="3038"/>
      <c r="X1228" s="3038"/>
      <c r="Y1228" s="3038"/>
      <c r="Z1228" s="3038"/>
      <c r="AA1228" s="3113"/>
      <c r="AB1228" s="3038"/>
      <c r="AC1228" s="3038"/>
      <c r="AD1228" s="3038"/>
      <c r="AE1228" s="3132"/>
      <c r="AF1228" s="3038"/>
      <c r="AG1228" s="3038"/>
      <c r="AH1228" s="3038"/>
      <c r="AK1228" s="3038"/>
      <c r="AL1228" s="3038"/>
      <c r="AM1228" s="3038"/>
      <c r="AN1228" s="3038"/>
      <c r="AO1228" s="3038"/>
      <c r="AP1228" s="3038"/>
      <c r="AQ1228" s="3038"/>
      <c r="AR1228" s="3038"/>
      <c r="AS1228" s="3038"/>
      <c r="AT1228" s="3038"/>
      <c r="AU1228" s="3038"/>
      <c r="AV1228" s="3038"/>
      <c r="AW1228" s="3038"/>
      <c r="AX1228" s="3038"/>
      <c r="AY1228" s="3038"/>
      <c r="AZ1228" s="3038"/>
      <c r="BA1228" s="3038"/>
      <c r="BB1228" s="3038"/>
      <c r="BC1228" s="3038"/>
      <c r="BD1228" s="3038"/>
      <c r="BE1228" s="3038"/>
      <c r="BF1228" s="3038"/>
      <c r="BG1228" s="3038"/>
      <c r="BH1228" s="3038"/>
      <c r="BI1228" s="3038"/>
      <c r="BJ1228" s="3038"/>
      <c r="BK1228" s="3038"/>
      <c r="BL1228" s="3038"/>
      <c r="BM1228" s="3038"/>
      <c r="BN1228" s="3038"/>
      <c r="BO1228" s="3038"/>
      <c r="BP1228" s="3038"/>
      <c r="BQ1228" s="3038"/>
      <c r="BR1228" s="3038"/>
      <c r="BS1228" s="3038"/>
      <c r="BT1228" s="3038"/>
      <c r="BU1228" s="3038"/>
    </row>
    <row r="1229" spans="3:73">
      <c r="C1229" s="3038"/>
      <c r="D1229" s="3038"/>
      <c r="E1229" s="3038"/>
      <c r="H1229" s="3038"/>
      <c r="I1229" s="3038"/>
      <c r="J1229" s="3038"/>
      <c r="K1229" s="3038"/>
      <c r="M1229" s="3038"/>
      <c r="N1229" s="3038"/>
      <c r="O1229" s="3038"/>
      <c r="P1229" s="3038"/>
      <c r="Q1229" s="3038"/>
      <c r="R1229" s="3038"/>
      <c r="S1229" s="3038"/>
      <c r="T1229" s="3038"/>
      <c r="W1229" s="3038"/>
      <c r="X1229" s="3038"/>
      <c r="Y1229" s="3038"/>
      <c r="Z1229" s="3038"/>
      <c r="AA1229" s="3113"/>
      <c r="AB1229" s="3038"/>
      <c r="AC1229" s="3038"/>
      <c r="AD1229" s="3038"/>
      <c r="AE1229" s="3132"/>
      <c r="AF1229" s="3038"/>
      <c r="AG1229" s="3038"/>
      <c r="AH1229" s="3038"/>
      <c r="AK1229" s="3038"/>
      <c r="AL1229" s="3038"/>
      <c r="AM1229" s="3038"/>
      <c r="AN1229" s="3038"/>
      <c r="AO1229" s="3038"/>
      <c r="AP1229" s="3038"/>
      <c r="AQ1229" s="3038"/>
      <c r="AR1229" s="3038"/>
      <c r="AS1229" s="3038"/>
      <c r="AT1229" s="3038"/>
      <c r="AU1229" s="3038"/>
      <c r="AV1229" s="3038"/>
      <c r="AW1229" s="3038"/>
      <c r="AX1229" s="3038"/>
      <c r="AY1229" s="3038"/>
      <c r="AZ1229" s="3038"/>
      <c r="BA1229" s="3038"/>
      <c r="BB1229" s="3038"/>
      <c r="BC1229" s="3038"/>
      <c r="BD1229" s="3038"/>
      <c r="BE1229" s="3038"/>
      <c r="BF1229" s="3038"/>
      <c r="BG1229" s="3038"/>
      <c r="BH1229" s="3038"/>
      <c r="BI1229" s="3038"/>
      <c r="BJ1229" s="3038"/>
      <c r="BK1229" s="3038"/>
      <c r="BL1229" s="3038"/>
      <c r="BM1229" s="3038"/>
      <c r="BN1229" s="3038"/>
      <c r="BO1229" s="3038"/>
      <c r="BP1229" s="3038"/>
      <c r="BQ1229" s="3038"/>
      <c r="BR1229" s="3038"/>
      <c r="BS1229" s="3038"/>
      <c r="BT1229" s="3038"/>
      <c r="BU1229" s="3038"/>
    </row>
    <row r="1230" spans="3:73">
      <c r="C1230" s="3038"/>
      <c r="D1230" s="3038"/>
      <c r="E1230" s="3038"/>
      <c r="H1230" s="3038"/>
      <c r="I1230" s="3038"/>
      <c r="J1230" s="3038"/>
      <c r="K1230" s="3038"/>
      <c r="M1230" s="3038"/>
      <c r="N1230" s="3038"/>
      <c r="O1230" s="3038"/>
      <c r="P1230" s="3038"/>
      <c r="Q1230" s="3038"/>
      <c r="R1230" s="3038"/>
      <c r="S1230" s="3038"/>
      <c r="T1230" s="3038"/>
      <c r="W1230" s="3038"/>
      <c r="X1230" s="3038"/>
      <c r="Y1230" s="3038"/>
      <c r="Z1230" s="3038"/>
      <c r="AA1230" s="3113"/>
      <c r="AB1230" s="3038"/>
      <c r="AC1230" s="3038"/>
      <c r="AD1230" s="3038"/>
      <c r="AE1230" s="3132"/>
      <c r="AF1230" s="3038"/>
      <c r="AG1230" s="3038"/>
      <c r="AH1230" s="3038"/>
      <c r="AK1230" s="3038"/>
      <c r="AL1230" s="3038"/>
      <c r="AM1230" s="3038"/>
      <c r="AN1230" s="3038"/>
      <c r="AO1230" s="3038"/>
      <c r="AP1230" s="3038"/>
      <c r="AQ1230" s="3038"/>
      <c r="AR1230" s="3038"/>
      <c r="AS1230" s="3038"/>
      <c r="AT1230" s="3038"/>
      <c r="AU1230" s="3038"/>
      <c r="AV1230" s="3038"/>
      <c r="AW1230" s="3038"/>
      <c r="AX1230" s="3038"/>
      <c r="AY1230" s="3038"/>
      <c r="AZ1230" s="3038"/>
      <c r="BA1230" s="3038"/>
      <c r="BB1230" s="3038"/>
      <c r="BC1230" s="3038"/>
      <c r="BD1230" s="3038"/>
      <c r="BE1230" s="3038"/>
      <c r="BF1230" s="3038"/>
      <c r="BG1230" s="3038"/>
      <c r="BH1230" s="3038"/>
      <c r="BI1230" s="3038"/>
      <c r="BJ1230" s="3038"/>
      <c r="BK1230" s="3038"/>
      <c r="BL1230" s="3038"/>
      <c r="BM1230" s="3038"/>
      <c r="BN1230" s="3038"/>
      <c r="BO1230" s="3038"/>
      <c r="BP1230" s="3038"/>
      <c r="BQ1230" s="3038"/>
      <c r="BR1230" s="3038"/>
      <c r="BS1230" s="3038"/>
      <c r="BT1230" s="3038"/>
      <c r="BU1230" s="3038"/>
    </row>
    <row r="1231" spans="3:73">
      <c r="C1231" s="3038"/>
      <c r="D1231" s="3038"/>
      <c r="E1231" s="3038"/>
      <c r="H1231" s="3038"/>
      <c r="I1231" s="3038"/>
      <c r="J1231" s="3038"/>
      <c r="K1231" s="3038"/>
      <c r="M1231" s="3038"/>
      <c r="N1231" s="3038"/>
      <c r="O1231" s="3038"/>
      <c r="P1231" s="3038"/>
      <c r="Q1231" s="3038"/>
      <c r="R1231" s="3038"/>
      <c r="S1231" s="3038"/>
      <c r="T1231" s="3038"/>
      <c r="W1231" s="3038"/>
      <c r="X1231" s="3038"/>
      <c r="Y1231" s="3038"/>
      <c r="Z1231" s="3038"/>
      <c r="AA1231" s="3113"/>
      <c r="AB1231" s="3038"/>
      <c r="AC1231" s="3038"/>
      <c r="AD1231" s="3038"/>
      <c r="AE1231" s="3132"/>
      <c r="AF1231" s="3038"/>
      <c r="AG1231" s="3038"/>
      <c r="AH1231" s="3038"/>
      <c r="AK1231" s="3038"/>
      <c r="AL1231" s="3038"/>
      <c r="AM1231" s="3038"/>
      <c r="AN1231" s="3038"/>
      <c r="AO1231" s="3038"/>
      <c r="AP1231" s="3038"/>
      <c r="AQ1231" s="3038"/>
      <c r="AR1231" s="3038"/>
      <c r="AS1231" s="3038"/>
      <c r="AT1231" s="3038"/>
      <c r="AU1231" s="3038"/>
      <c r="AV1231" s="3038"/>
      <c r="AW1231" s="3038"/>
      <c r="AX1231" s="3038"/>
      <c r="AY1231" s="3038"/>
      <c r="AZ1231" s="3038"/>
      <c r="BA1231" s="3038"/>
      <c r="BB1231" s="3038"/>
      <c r="BC1231" s="3038"/>
      <c r="BD1231" s="3038"/>
      <c r="BE1231" s="3038"/>
      <c r="BF1231" s="3038"/>
      <c r="BG1231" s="3038"/>
      <c r="BH1231" s="3038"/>
      <c r="BI1231" s="3038"/>
      <c r="BJ1231" s="3038"/>
      <c r="BK1231" s="3038"/>
      <c r="BL1231" s="3038"/>
      <c r="BM1231" s="3038"/>
      <c r="BN1231" s="3038"/>
      <c r="BO1231" s="3038"/>
      <c r="BP1231" s="3038"/>
      <c r="BQ1231" s="3038"/>
      <c r="BR1231" s="3038"/>
      <c r="BS1231" s="3038"/>
      <c r="BT1231" s="3038"/>
      <c r="BU1231" s="3038"/>
    </row>
    <row r="1232" spans="3:73">
      <c r="C1232" s="3038"/>
      <c r="D1232" s="3038"/>
      <c r="E1232" s="3038"/>
      <c r="H1232" s="3038"/>
      <c r="I1232" s="3038"/>
      <c r="J1232" s="3038"/>
      <c r="K1232" s="3038"/>
      <c r="M1232" s="3038"/>
      <c r="N1232" s="3038"/>
      <c r="O1232" s="3038"/>
      <c r="P1232" s="3038"/>
      <c r="Q1232" s="3038"/>
      <c r="R1232" s="3038"/>
      <c r="S1232" s="3038"/>
      <c r="T1232" s="3038"/>
      <c r="W1232" s="3038"/>
      <c r="X1232" s="3038"/>
      <c r="Y1232" s="3038"/>
      <c r="Z1232" s="3038"/>
      <c r="AA1232" s="3113"/>
      <c r="AB1232" s="3038"/>
      <c r="AC1232" s="3038"/>
      <c r="AD1232" s="3038"/>
      <c r="AE1232" s="3132"/>
      <c r="AF1232" s="3038"/>
      <c r="AG1232" s="3038"/>
      <c r="AH1232" s="3038"/>
      <c r="AK1232" s="3038"/>
      <c r="AL1232" s="3038"/>
      <c r="AM1232" s="3038"/>
      <c r="AN1232" s="3038"/>
      <c r="AO1232" s="3038"/>
      <c r="AP1232" s="3038"/>
      <c r="AQ1232" s="3038"/>
      <c r="AR1232" s="3038"/>
      <c r="AS1232" s="3038"/>
      <c r="AT1232" s="3038"/>
      <c r="AU1232" s="3038"/>
      <c r="AV1232" s="3038"/>
      <c r="AW1232" s="3038"/>
      <c r="AX1232" s="3038"/>
      <c r="AY1232" s="3038"/>
      <c r="AZ1232" s="3038"/>
      <c r="BA1232" s="3038"/>
      <c r="BB1232" s="3038"/>
      <c r="BC1232" s="3038"/>
      <c r="BD1232" s="3038"/>
      <c r="BE1232" s="3038"/>
      <c r="BF1232" s="3038"/>
      <c r="BG1232" s="3038"/>
      <c r="BH1232" s="3038"/>
      <c r="BI1232" s="3038"/>
      <c r="BJ1232" s="3038"/>
      <c r="BK1232" s="3038"/>
      <c r="BL1232" s="3038"/>
      <c r="BM1232" s="3038"/>
      <c r="BN1232" s="3038"/>
      <c r="BO1232" s="3038"/>
      <c r="BP1232" s="3038"/>
      <c r="BQ1232" s="3038"/>
      <c r="BR1232" s="3038"/>
      <c r="BS1232" s="3038"/>
      <c r="BT1232" s="3038"/>
      <c r="BU1232" s="3038"/>
    </row>
    <row r="1233" spans="3:73">
      <c r="C1233" s="3038"/>
      <c r="D1233" s="3038"/>
      <c r="E1233" s="3038"/>
      <c r="H1233" s="3038"/>
      <c r="I1233" s="3038"/>
      <c r="J1233" s="3038"/>
      <c r="K1233" s="3038"/>
      <c r="M1233" s="3038"/>
      <c r="N1233" s="3038"/>
      <c r="O1233" s="3038"/>
      <c r="P1233" s="3038"/>
      <c r="Q1233" s="3038"/>
      <c r="R1233" s="3038"/>
      <c r="S1233" s="3038"/>
      <c r="T1233" s="3038"/>
      <c r="W1233" s="3038"/>
      <c r="X1233" s="3038"/>
      <c r="Y1233" s="3038"/>
      <c r="Z1233" s="3038"/>
      <c r="AA1233" s="3113"/>
      <c r="AB1233" s="3038"/>
      <c r="AC1233" s="3038"/>
      <c r="AD1233" s="3038"/>
      <c r="AE1233" s="3132"/>
      <c r="AF1233" s="3038"/>
      <c r="AG1233" s="3038"/>
      <c r="AH1233" s="3038"/>
      <c r="AK1233" s="3038"/>
      <c r="AL1233" s="3038"/>
      <c r="AM1233" s="3038"/>
      <c r="AN1233" s="3038"/>
      <c r="AO1233" s="3038"/>
      <c r="AP1233" s="3038"/>
      <c r="AQ1233" s="3038"/>
      <c r="AR1233" s="3038"/>
      <c r="AS1233" s="3038"/>
      <c r="AT1233" s="3038"/>
      <c r="AU1233" s="3038"/>
      <c r="AV1233" s="3038"/>
      <c r="AW1233" s="3038"/>
      <c r="AX1233" s="3038"/>
      <c r="AY1233" s="3038"/>
      <c r="AZ1233" s="3038"/>
      <c r="BA1233" s="3038"/>
      <c r="BB1233" s="3038"/>
      <c r="BC1233" s="3038"/>
      <c r="BD1233" s="3038"/>
      <c r="BE1233" s="3038"/>
      <c r="BF1233" s="3038"/>
      <c r="BG1233" s="3038"/>
      <c r="BH1233" s="3038"/>
      <c r="BI1233" s="3038"/>
      <c r="BJ1233" s="3038"/>
      <c r="BK1233" s="3038"/>
      <c r="BL1233" s="3038"/>
      <c r="BM1233" s="3038"/>
      <c r="BN1233" s="3038"/>
      <c r="BO1233" s="3038"/>
      <c r="BP1233" s="3038"/>
      <c r="BQ1233" s="3038"/>
      <c r="BR1233" s="3038"/>
      <c r="BS1233" s="3038"/>
      <c r="BT1233" s="3038"/>
      <c r="BU1233" s="3038"/>
    </row>
    <row r="1234" spans="3:73">
      <c r="C1234" s="3038"/>
      <c r="D1234" s="3038"/>
      <c r="E1234" s="3038"/>
      <c r="H1234" s="3038"/>
      <c r="I1234" s="3038"/>
      <c r="J1234" s="3038"/>
      <c r="K1234" s="3038"/>
      <c r="M1234" s="3038"/>
      <c r="N1234" s="3038"/>
      <c r="O1234" s="3038"/>
      <c r="P1234" s="3038"/>
      <c r="Q1234" s="3038"/>
      <c r="R1234" s="3038"/>
      <c r="S1234" s="3038"/>
      <c r="T1234" s="3038"/>
      <c r="W1234" s="3038"/>
      <c r="X1234" s="3038"/>
      <c r="Y1234" s="3038"/>
      <c r="Z1234" s="3038"/>
      <c r="AA1234" s="3113"/>
      <c r="AB1234" s="3038"/>
      <c r="AC1234" s="3038"/>
      <c r="AD1234" s="3038"/>
      <c r="AE1234" s="3132"/>
      <c r="AF1234" s="3038"/>
      <c r="AG1234" s="3038"/>
      <c r="AH1234" s="3038"/>
      <c r="AK1234" s="3038"/>
      <c r="AL1234" s="3038"/>
      <c r="AM1234" s="3038"/>
      <c r="AN1234" s="3038"/>
      <c r="AO1234" s="3038"/>
      <c r="AP1234" s="3038"/>
      <c r="AQ1234" s="3038"/>
      <c r="AR1234" s="3038"/>
      <c r="AS1234" s="3038"/>
      <c r="AT1234" s="3038"/>
      <c r="AU1234" s="3038"/>
      <c r="AV1234" s="3038"/>
      <c r="AW1234" s="3038"/>
      <c r="AX1234" s="3038"/>
      <c r="AY1234" s="3038"/>
      <c r="AZ1234" s="3038"/>
      <c r="BA1234" s="3038"/>
      <c r="BB1234" s="3038"/>
      <c r="BC1234" s="3038"/>
      <c r="BD1234" s="3038"/>
      <c r="BE1234" s="3038"/>
      <c r="BF1234" s="3038"/>
      <c r="BG1234" s="3038"/>
      <c r="BH1234" s="3038"/>
      <c r="BI1234" s="3038"/>
      <c r="BJ1234" s="3038"/>
      <c r="BK1234" s="3038"/>
      <c r="BL1234" s="3038"/>
      <c r="BM1234" s="3038"/>
      <c r="BN1234" s="3038"/>
      <c r="BO1234" s="3038"/>
      <c r="BP1234" s="3038"/>
      <c r="BQ1234" s="3038"/>
      <c r="BR1234" s="3038"/>
      <c r="BS1234" s="3038"/>
      <c r="BT1234" s="3038"/>
      <c r="BU1234" s="3038"/>
    </row>
    <row r="1235" spans="3:73">
      <c r="C1235" s="3038"/>
      <c r="D1235" s="3038"/>
      <c r="E1235" s="3038"/>
      <c r="H1235" s="3038"/>
      <c r="I1235" s="3038"/>
      <c r="J1235" s="3038"/>
      <c r="K1235" s="3038"/>
      <c r="M1235" s="3038"/>
      <c r="N1235" s="3038"/>
      <c r="O1235" s="3038"/>
      <c r="P1235" s="3038"/>
      <c r="Q1235" s="3038"/>
      <c r="R1235" s="3038"/>
      <c r="S1235" s="3038"/>
      <c r="T1235" s="3038"/>
      <c r="W1235" s="3038"/>
      <c r="X1235" s="3038"/>
      <c r="Y1235" s="3038"/>
      <c r="Z1235" s="3038"/>
      <c r="AA1235" s="3113"/>
      <c r="AB1235" s="3038"/>
      <c r="AC1235" s="3038"/>
      <c r="AD1235" s="3038"/>
      <c r="AE1235" s="3132"/>
      <c r="AF1235" s="3038"/>
      <c r="AG1235" s="3038"/>
      <c r="AH1235" s="3038"/>
      <c r="AK1235" s="3038"/>
      <c r="AL1235" s="3038"/>
      <c r="AM1235" s="3038"/>
      <c r="AN1235" s="3038"/>
      <c r="AO1235" s="3038"/>
      <c r="AP1235" s="3038"/>
      <c r="AQ1235" s="3038"/>
      <c r="AR1235" s="3038"/>
      <c r="AS1235" s="3038"/>
      <c r="AT1235" s="3038"/>
      <c r="AU1235" s="3038"/>
      <c r="AV1235" s="3038"/>
      <c r="AW1235" s="3038"/>
      <c r="AX1235" s="3038"/>
      <c r="AY1235" s="3038"/>
      <c r="AZ1235" s="3038"/>
      <c r="BA1235" s="3038"/>
      <c r="BB1235" s="3038"/>
      <c r="BC1235" s="3038"/>
      <c r="BD1235" s="3038"/>
      <c r="BE1235" s="3038"/>
      <c r="BF1235" s="3038"/>
      <c r="BG1235" s="3038"/>
      <c r="BH1235" s="3038"/>
      <c r="BI1235" s="3038"/>
      <c r="BJ1235" s="3038"/>
      <c r="BK1235" s="3038"/>
      <c r="BL1235" s="3038"/>
      <c r="BM1235" s="3038"/>
      <c r="BN1235" s="3038"/>
      <c r="BO1235" s="3038"/>
      <c r="BP1235" s="3038"/>
      <c r="BQ1235" s="3038"/>
      <c r="BR1235" s="3038"/>
      <c r="BS1235" s="3038"/>
      <c r="BT1235" s="3038"/>
      <c r="BU1235" s="3038"/>
    </row>
    <row r="1236" spans="3:73">
      <c r="C1236" s="3038"/>
      <c r="D1236" s="3038"/>
      <c r="E1236" s="3038"/>
      <c r="H1236" s="3038"/>
      <c r="I1236" s="3038"/>
      <c r="J1236" s="3038"/>
      <c r="K1236" s="3038"/>
      <c r="M1236" s="3038"/>
      <c r="N1236" s="3038"/>
      <c r="O1236" s="3038"/>
      <c r="P1236" s="3038"/>
      <c r="Q1236" s="3038"/>
      <c r="R1236" s="3038"/>
      <c r="S1236" s="3038"/>
      <c r="T1236" s="3038"/>
      <c r="W1236" s="3038"/>
      <c r="X1236" s="3038"/>
      <c r="Y1236" s="3038"/>
      <c r="Z1236" s="3038"/>
      <c r="AA1236" s="3113"/>
      <c r="AB1236" s="3038"/>
      <c r="AC1236" s="3038"/>
      <c r="AD1236" s="3038"/>
      <c r="AE1236" s="3132"/>
      <c r="AF1236" s="3038"/>
      <c r="AG1236" s="3038"/>
      <c r="AH1236" s="3038"/>
      <c r="AK1236" s="3038"/>
      <c r="AL1236" s="3038"/>
      <c r="AM1236" s="3038"/>
      <c r="AN1236" s="3038"/>
      <c r="AO1236" s="3038"/>
      <c r="AP1236" s="3038"/>
      <c r="AQ1236" s="3038"/>
      <c r="AR1236" s="3038"/>
      <c r="AS1236" s="3038"/>
      <c r="AT1236" s="3038"/>
      <c r="AU1236" s="3038"/>
      <c r="AV1236" s="3038"/>
      <c r="AW1236" s="3038"/>
      <c r="AX1236" s="3038"/>
      <c r="AY1236" s="3038"/>
      <c r="AZ1236" s="3038"/>
      <c r="BA1236" s="3038"/>
      <c r="BB1236" s="3038"/>
      <c r="BC1236" s="3038"/>
      <c r="BD1236" s="3038"/>
      <c r="BE1236" s="3038"/>
      <c r="BF1236" s="3038"/>
      <c r="BG1236" s="3038"/>
      <c r="BH1236" s="3038"/>
      <c r="BI1236" s="3038"/>
      <c r="BJ1236" s="3038"/>
      <c r="BK1236" s="3038"/>
      <c r="BL1236" s="3038"/>
      <c r="BM1236" s="3038"/>
      <c r="BN1236" s="3038"/>
      <c r="BO1236" s="3038"/>
      <c r="BP1236" s="3038"/>
      <c r="BQ1236" s="3038"/>
      <c r="BR1236" s="3038"/>
      <c r="BS1236" s="3038"/>
      <c r="BT1236" s="3038"/>
      <c r="BU1236" s="3038"/>
    </row>
    <row r="1237" spans="3:73">
      <c r="C1237" s="3038"/>
      <c r="D1237" s="3038"/>
      <c r="E1237" s="3038"/>
      <c r="H1237" s="3038"/>
      <c r="I1237" s="3038"/>
      <c r="J1237" s="3038"/>
      <c r="K1237" s="3038"/>
      <c r="M1237" s="3038"/>
      <c r="N1237" s="3038"/>
      <c r="O1237" s="3038"/>
      <c r="P1237" s="3038"/>
      <c r="Q1237" s="3038"/>
      <c r="R1237" s="3038"/>
      <c r="S1237" s="3038"/>
      <c r="T1237" s="3038"/>
      <c r="W1237" s="3038"/>
      <c r="X1237" s="3038"/>
      <c r="Y1237" s="3038"/>
      <c r="Z1237" s="3038"/>
      <c r="AA1237" s="3113"/>
      <c r="AB1237" s="3038"/>
      <c r="AC1237" s="3038"/>
      <c r="AD1237" s="3038"/>
      <c r="AE1237" s="3132"/>
      <c r="AF1237" s="3038"/>
      <c r="AG1237" s="3038"/>
      <c r="AH1237" s="3038"/>
      <c r="AK1237" s="3038"/>
      <c r="AL1237" s="3038"/>
      <c r="AM1237" s="3038"/>
      <c r="AN1237" s="3038"/>
      <c r="AO1237" s="3038"/>
      <c r="AP1237" s="3038"/>
      <c r="AQ1237" s="3038"/>
      <c r="AR1237" s="3038"/>
      <c r="AS1237" s="3038"/>
      <c r="AT1237" s="3038"/>
      <c r="AU1237" s="3038"/>
      <c r="AV1237" s="3038"/>
      <c r="AW1237" s="3038"/>
      <c r="AX1237" s="3038"/>
      <c r="AY1237" s="3038"/>
      <c r="AZ1237" s="3038"/>
      <c r="BA1237" s="3038"/>
      <c r="BB1237" s="3038"/>
      <c r="BC1237" s="3038"/>
      <c r="BD1237" s="3038"/>
      <c r="BE1237" s="3038"/>
      <c r="BF1237" s="3038"/>
      <c r="BG1237" s="3038"/>
      <c r="BH1237" s="3038"/>
      <c r="BI1237" s="3038"/>
      <c r="BJ1237" s="3038"/>
      <c r="BK1237" s="3038"/>
      <c r="BL1237" s="3038"/>
      <c r="BM1237" s="3038"/>
      <c r="BN1237" s="3038"/>
      <c r="BO1237" s="3038"/>
      <c r="BP1237" s="3038"/>
      <c r="BQ1237" s="3038"/>
      <c r="BR1237" s="3038"/>
      <c r="BS1237" s="3038"/>
      <c r="BT1237" s="3038"/>
      <c r="BU1237" s="3038"/>
    </row>
    <row r="1238" spans="3:73">
      <c r="C1238" s="3038"/>
      <c r="D1238" s="3038"/>
      <c r="E1238" s="3038"/>
      <c r="H1238" s="3038"/>
      <c r="I1238" s="3038"/>
      <c r="J1238" s="3038"/>
      <c r="K1238" s="3038"/>
      <c r="M1238" s="3038"/>
      <c r="N1238" s="3038"/>
      <c r="O1238" s="3038"/>
      <c r="P1238" s="3038"/>
      <c r="Q1238" s="3038"/>
      <c r="R1238" s="3038"/>
      <c r="S1238" s="3038"/>
      <c r="T1238" s="3038"/>
      <c r="W1238" s="3038"/>
      <c r="X1238" s="3038"/>
      <c r="Y1238" s="3038"/>
      <c r="Z1238" s="3038"/>
      <c r="AA1238" s="3113"/>
      <c r="AB1238" s="3038"/>
      <c r="AC1238" s="3038"/>
      <c r="AD1238" s="3038"/>
      <c r="AE1238" s="3132"/>
      <c r="AF1238" s="3038"/>
      <c r="AG1238" s="3038"/>
      <c r="AH1238" s="3038"/>
      <c r="AK1238" s="3038"/>
      <c r="AL1238" s="3038"/>
      <c r="AM1238" s="3038"/>
      <c r="AN1238" s="3038"/>
      <c r="AO1238" s="3038"/>
      <c r="AP1238" s="3038"/>
      <c r="AQ1238" s="3038"/>
      <c r="AR1238" s="3038"/>
      <c r="AS1238" s="3038"/>
      <c r="AT1238" s="3038"/>
      <c r="AU1238" s="3038"/>
      <c r="AV1238" s="3038"/>
      <c r="AW1238" s="3038"/>
      <c r="AX1238" s="3038"/>
      <c r="AY1238" s="3038"/>
      <c r="AZ1238" s="3038"/>
      <c r="BA1238" s="3038"/>
      <c r="BB1238" s="3038"/>
      <c r="BC1238" s="3038"/>
      <c r="BD1238" s="3038"/>
      <c r="BE1238" s="3038"/>
      <c r="BF1238" s="3038"/>
      <c r="BG1238" s="3038"/>
      <c r="BH1238" s="3038"/>
      <c r="BI1238" s="3038"/>
      <c r="BJ1238" s="3038"/>
      <c r="BK1238" s="3038"/>
      <c r="BL1238" s="3038"/>
      <c r="BM1238" s="3038"/>
      <c r="BN1238" s="3038"/>
      <c r="BO1238" s="3038"/>
      <c r="BP1238" s="3038"/>
      <c r="BQ1238" s="3038"/>
      <c r="BR1238" s="3038"/>
      <c r="BS1238" s="3038"/>
      <c r="BT1238" s="3038"/>
      <c r="BU1238" s="3038"/>
    </row>
    <row r="1239" spans="3:73">
      <c r="C1239" s="3038"/>
      <c r="D1239" s="3038"/>
      <c r="E1239" s="3038"/>
      <c r="H1239" s="3038"/>
      <c r="I1239" s="3038"/>
      <c r="J1239" s="3038"/>
      <c r="K1239" s="3038"/>
      <c r="M1239" s="3038"/>
      <c r="N1239" s="3038"/>
      <c r="O1239" s="3038"/>
      <c r="P1239" s="3038"/>
      <c r="Q1239" s="3038"/>
      <c r="R1239" s="3038"/>
      <c r="S1239" s="3038"/>
      <c r="T1239" s="3038"/>
      <c r="W1239" s="3038"/>
      <c r="X1239" s="3038"/>
      <c r="Y1239" s="3038"/>
      <c r="Z1239" s="3038"/>
      <c r="AA1239" s="3113"/>
      <c r="AB1239" s="3038"/>
      <c r="AC1239" s="3038"/>
      <c r="AD1239" s="3038"/>
      <c r="AE1239" s="3132"/>
      <c r="AF1239" s="3038"/>
      <c r="AG1239" s="3038"/>
      <c r="AH1239" s="3038"/>
      <c r="AK1239" s="3038"/>
      <c r="AL1239" s="3038"/>
      <c r="AM1239" s="3038"/>
      <c r="AN1239" s="3038"/>
      <c r="AO1239" s="3038"/>
      <c r="AP1239" s="3038"/>
      <c r="AQ1239" s="3038"/>
      <c r="AR1239" s="3038"/>
      <c r="AS1239" s="3038"/>
      <c r="AT1239" s="3038"/>
      <c r="AU1239" s="3038"/>
      <c r="AV1239" s="3038"/>
      <c r="AW1239" s="3038"/>
      <c r="AX1239" s="3038"/>
      <c r="AY1239" s="3038"/>
      <c r="AZ1239" s="3038"/>
      <c r="BA1239" s="3038"/>
      <c r="BB1239" s="3038"/>
      <c r="BC1239" s="3038"/>
      <c r="BD1239" s="3038"/>
      <c r="BE1239" s="3038"/>
      <c r="BF1239" s="3038"/>
      <c r="BG1239" s="3038"/>
      <c r="BH1239" s="3038"/>
      <c r="BI1239" s="3038"/>
      <c r="BJ1239" s="3038"/>
      <c r="BK1239" s="3038"/>
      <c r="BL1239" s="3038"/>
      <c r="BM1239" s="3038"/>
      <c r="BN1239" s="3038"/>
      <c r="BO1239" s="3038"/>
      <c r="BP1239" s="3038"/>
      <c r="BQ1239" s="3038"/>
      <c r="BR1239" s="3038"/>
      <c r="BS1239" s="3038"/>
      <c r="BT1239" s="3038"/>
      <c r="BU1239" s="3038"/>
    </row>
    <row r="1240" spans="3:73">
      <c r="C1240" s="3038"/>
      <c r="D1240" s="3038"/>
      <c r="E1240" s="3038"/>
      <c r="H1240" s="3038"/>
      <c r="I1240" s="3038"/>
      <c r="J1240" s="3038"/>
      <c r="K1240" s="3038"/>
      <c r="M1240" s="3038"/>
      <c r="N1240" s="3038"/>
      <c r="O1240" s="3038"/>
      <c r="P1240" s="3038"/>
      <c r="Q1240" s="3038"/>
      <c r="R1240" s="3038"/>
      <c r="S1240" s="3038"/>
      <c r="T1240" s="3038"/>
      <c r="W1240" s="3038"/>
      <c r="X1240" s="3038"/>
      <c r="Y1240" s="3038"/>
      <c r="Z1240" s="3038"/>
      <c r="AA1240" s="3113"/>
      <c r="AB1240" s="3038"/>
      <c r="AC1240" s="3038"/>
      <c r="AD1240" s="3038"/>
      <c r="AE1240" s="3132"/>
      <c r="AF1240" s="3038"/>
      <c r="AG1240" s="3038"/>
      <c r="AH1240" s="3038"/>
      <c r="AK1240" s="3038"/>
      <c r="AL1240" s="3038"/>
      <c r="AM1240" s="3038"/>
      <c r="AN1240" s="3038"/>
      <c r="AO1240" s="3038"/>
      <c r="AP1240" s="3038"/>
      <c r="AQ1240" s="3038"/>
      <c r="AR1240" s="3038"/>
      <c r="AS1240" s="3038"/>
      <c r="AT1240" s="3038"/>
      <c r="AU1240" s="3038"/>
      <c r="AV1240" s="3038"/>
      <c r="AW1240" s="3038"/>
      <c r="AX1240" s="3038"/>
      <c r="AY1240" s="3038"/>
      <c r="AZ1240" s="3038"/>
      <c r="BA1240" s="3038"/>
      <c r="BB1240" s="3038"/>
      <c r="BC1240" s="3038"/>
      <c r="BD1240" s="3038"/>
      <c r="BE1240" s="3038"/>
      <c r="BF1240" s="3038"/>
      <c r="BG1240" s="3038"/>
      <c r="BH1240" s="3038"/>
      <c r="BI1240" s="3038"/>
      <c r="BJ1240" s="3038"/>
      <c r="BK1240" s="3038"/>
      <c r="BL1240" s="3038"/>
      <c r="BM1240" s="3038"/>
      <c r="BN1240" s="3038"/>
      <c r="BO1240" s="3038"/>
      <c r="BP1240" s="3038"/>
      <c r="BQ1240" s="3038"/>
      <c r="BR1240" s="3038"/>
      <c r="BS1240" s="3038"/>
      <c r="BT1240" s="3038"/>
      <c r="BU1240" s="3038"/>
    </row>
    <row r="1241" spans="3:73">
      <c r="C1241" s="3038"/>
      <c r="D1241" s="3038"/>
      <c r="E1241" s="3038"/>
      <c r="H1241" s="3038"/>
      <c r="I1241" s="3038"/>
      <c r="J1241" s="3038"/>
      <c r="K1241" s="3038"/>
      <c r="M1241" s="3038"/>
      <c r="N1241" s="3038"/>
      <c r="O1241" s="3038"/>
      <c r="P1241" s="3038"/>
      <c r="Q1241" s="3038"/>
      <c r="R1241" s="3038"/>
      <c r="S1241" s="3038"/>
      <c r="T1241" s="3038"/>
      <c r="W1241" s="3038"/>
      <c r="X1241" s="3038"/>
      <c r="Y1241" s="3038"/>
      <c r="Z1241" s="3038"/>
      <c r="AA1241" s="3113"/>
      <c r="AB1241" s="3038"/>
      <c r="AC1241" s="3038"/>
      <c r="AD1241" s="3038"/>
      <c r="AE1241" s="3132"/>
      <c r="AF1241" s="3038"/>
      <c r="AG1241" s="3038"/>
      <c r="AH1241" s="3038"/>
      <c r="AK1241" s="3038"/>
      <c r="AL1241" s="3038"/>
      <c r="AM1241" s="3038"/>
      <c r="AN1241" s="3038"/>
      <c r="AO1241" s="3038"/>
      <c r="AP1241" s="3038"/>
      <c r="AQ1241" s="3038"/>
      <c r="AR1241" s="3038"/>
      <c r="AS1241" s="3038"/>
      <c r="AT1241" s="3038"/>
      <c r="AU1241" s="3038"/>
      <c r="AV1241" s="3038"/>
      <c r="AW1241" s="3038"/>
      <c r="AX1241" s="3038"/>
      <c r="AY1241" s="3038"/>
      <c r="AZ1241" s="3038"/>
      <c r="BA1241" s="3038"/>
      <c r="BB1241" s="3038"/>
      <c r="BC1241" s="3038"/>
      <c r="BD1241" s="3038"/>
      <c r="BE1241" s="3038"/>
      <c r="BF1241" s="3038"/>
      <c r="BG1241" s="3038"/>
      <c r="BH1241" s="3038"/>
      <c r="BI1241" s="3038"/>
      <c r="BJ1241" s="3038"/>
      <c r="BK1241" s="3038"/>
      <c r="BL1241" s="3038"/>
      <c r="BM1241" s="3038"/>
      <c r="BN1241" s="3038"/>
      <c r="BO1241" s="3038"/>
      <c r="BP1241" s="3038"/>
      <c r="BQ1241" s="3038"/>
      <c r="BR1241" s="3038"/>
      <c r="BS1241" s="3038"/>
      <c r="BT1241" s="3038"/>
      <c r="BU1241" s="3038"/>
    </row>
    <row r="1242" spans="3:73">
      <c r="C1242" s="3038"/>
      <c r="D1242" s="3038"/>
      <c r="E1242" s="3038"/>
      <c r="H1242" s="3038"/>
      <c r="I1242" s="3038"/>
      <c r="J1242" s="3038"/>
      <c r="K1242" s="3038"/>
      <c r="M1242" s="3038"/>
      <c r="N1242" s="3038"/>
      <c r="O1242" s="3038"/>
      <c r="P1242" s="3038"/>
      <c r="Q1242" s="3038"/>
      <c r="R1242" s="3038"/>
      <c r="S1242" s="3038"/>
      <c r="T1242" s="3038"/>
      <c r="W1242" s="3038"/>
      <c r="X1242" s="3038"/>
      <c r="Y1242" s="3038"/>
      <c r="Z1242" s="3038"/>
      <c r="AA1242" s="3113"/>
      <c r="AB1242" s="3038"/>
      <c r="AC1242" s="3038"/>
      <c r="AD1242" s="3038"/>
      <c r="AE1242" s="3132"/>
      <c r="AF1242" s="3038"/>
      <c r="AG1242" s="3038"/>
      <c r="AH1242" s="3038"/>
      <c r="AK1242" s="3038"/>
      <c r="AL1242" s="3038"/>
      <c r="AM1242" s="3038"/>
      <c r="AN1242" s="3038"/>
      <c r="AO1242" s="3038"/>
      <c r="AP1242" s="3038"/>
      <c r="AQ1242" s="3038"/>
      <c r="AR1242" s="3038"/>
      <c r="AS1242" s="3038"/>
      <c r="AT1242" s="3038"/>
      <c r="AU1242" s="3038"/>
      <c r="AV1242" s="3038"/>
      <c r="AW1242" s="3038"/>
      <c r="AX1242" s="3038"/>
      <c r="AY1242" s="3038"/>
      <c r="AZ1242" s="3038"/>
      <c r="BA1242" s="3038"/>
      <c r="BB1242" s="3038"/>
      <c r="BC1242" s="3038"/>
      <c r="BD1242" s="3038"/>
      <c r="BE1242" s="3038"/>
      <c r="BF1242" s="3038"/>
      <c r="BG1242" s="3038"/>
      <c r="BH1242" s="3038"/>
      <c r="BI1242" s="3038"/>
      <c r="BJ1242" s="3038"/>
      <c r="BK1242" s="3038"/>
      <c r="BL1242" s="3038"/>
      <c r="BM1242" s="3038"/>
      <c r="BN1242" s="3038"/>
      <c r="BO1242" s="3038"/>
      <c r="BP1242" s="3038"/>
      <c r="BQ1242" s="3038"/>
      <c r="BR1242" s="3038"/>
      <c r="BS1242" s="3038"/>
      <c r="BT1242" s="3038"/>
      <c r="BU1242" s="3038"/>
    </row>
    <row r="1243" spans="3:73">
      <c r="C1243" s="3038"/>
      <c r="D1243" s="3038"/>
      <c r="E1243" s="3038"/>
      <c r="H1243" s="3038"/>
      <c r="I1243" s="3038"/>
      <c r="J1243" s="3038"/>
      <c r="K1243" s="3038"/>
      <c r="M1243" s="3038"/>
      <c r="N1243" s="3038"/>
      <c r="O1243" s="3038"/>
      <c r="P1243" s="3038"/>
      <c r="Q1243" s="3038"/>
      <c r="R1243" s="3038"/>
      <c r="S1243" s="3038"/>
      <c r="T1243" s="3038"/>
      <c r="W1243" s="3038"/>
      <c r="X1243" s="3038"/>
      <c r="Y1243" s="3038"/>
      <c r="Z1243" s="3038"/>
      <c r="AA1243" s="3113"/>
      <c r="AB1243" s="3038"/>
      <c r="AC1243" s="3038"/>
      <c r="AD1243" s="3038"/>
      <c r="AE1243" s="3132"/>
      <c r="AF1243" s="3038"/>
      <c r="AG1243" s="3038"/>
      <c r="AH1243" s="3038"/>
      <c r="AK1243" s="3038"/>
      <c r="AL1243" s="3038"/>
      <c r="AM1243" s="3038"/>
      <c r="AN1243" s="3038"/>
      <c r="AO1243" s="3038"/>
      <c r="AP1243" s="3038"/>
      <c r="AQ1243" s="3038"/>
      <c r="AR1243" s="3038"/>
      <c r="AS1243" s="3038"/>
      <c r="AT1243" s="3038"/>
      <c r="AU1243" s="3038"/>
      <c r="AV1243" s="3038"/>
      <c r="AW1243" s="3038"/>
      <c r="AX1243" s="3038"/>
      <c r="AY1243" s="3038"/>
      <c r="AZ1243" s="3038"/>
      <c r="BA1243" s="3038"/>
      <c r="BB1243" s="3038"/>
      <c r="BC1243" s="3038"/>
      <c r="BD1243" s="3038"/>
      <c r="BE1243" s="3038"/>
      <c r="BF1243" s="3038"/>
      <c r="BG1243" s="3038"/>
      <c r="BH1243" s="3038"/>
      <c r="BI1243" s="3038"/>
      <c r="BJ1243" s="3038"/>
      <c r="BK1243" s="3038"/>
      <c r="BL1243" s="3038"/>
      <c r="BM1243" s="3038"/>
      <c r="BN1243" s="3038"/>
      <c r="BO1243" s="3038"/>
      <c r="BP1243" s="3038"/>
      <c r="BQ1243" s="3038"/>
      <c r="BR1243" s="3038"/>
      <c r="BS1243" s="3038"/>
      <c r="BT1243" s="3038"/>
      <c r="BU1243" s="3038"/>
    </row>
    <row r="1244" spans="3:73">
      <c r="C1244" s="3038"/>
      <c r="D1244" s="3038"/>
      <c r="E1244" s="3038"/>
      <c r="H1244" s="3038"/>
      <c r="I1244" s="3038"/>
      <c r="J1244" s="3038"/>
      <c r="K1244" s="3038"/>
      <c r="M1244" s="3038"/>
      <c r="N1244" s="3038"/>
      <c r="O1244" s="3038"/>
      <c r="P1244" s="3038"/>
      <c r="Q1244" s="3038"/>
      <c r="R1244" s="3038"/>
      <c r="S1244" s="3038"/>
      <c r="T1244" s="3038"/>
      <c r="W1244" s="3038"/>
      <c r="X1244" s="3038"/>
      <c r="Y1244" s="3038"/>
      <c r="Z1244" s="3038"/>
      <c r="AA1244" s="3113"/>
      <c r="AB1244" s="3038"/>
      <c r="AC1244" s="3038"/>
      <c r="AD1244" s="3038"/>
      <c r="AE1244" s="3132"/>
      <c r="AF1244" s="3038"/>
      <c r="AG1244" s="3038"/>
      <c r="AH1244" s="3038"/>
      <c r="AK1244" s="3038"/>
      <c r="AL1244" s="3038"/>
      <c r="AM1244" s="3038"/>
      <c r="AN1244" s="3038"/>
      <c r="AO1244" s="3038"/>
      <c r="AP1244" s="3038"/>
      <c r="AQ1244" s="3038"/>
      <c r="AR1244" s="3038"/>
      <c r="AS1244" s="3038"/>
      <c r="AT1244" s="3038"/>
      <c r="AU1244" s="3038"/>
      <c r="AV1244" s="3038"/>
      <c r="AW1244" s="3038"/>
      <c r="AX1244" s="3038"/>
      <c r="AY1244" s="3038"/>
      <c r="AZ1244" s="3038"/>
      <c r="BA1244" s="3038"/>
      <c r="BB1244" s="3038"/>
      <c r="BC1244" s="3038"/>
      <c r="BD1244" s="3038"/>
      <c r="BE1244" s="3038"/>
      <c r="BF1244" s="3038"/>
      <c r="BG1244" s="3038"/>
      <c r="BH1244" s="3038"/>
      <c r="BI1244" s="3038"/>
      <c r="BJ1244" s="3038"/>
      <c r="BK1244" s="3038"/>
      <c r="BL1244" s="3038"/>
      <c r="BM1244" s="3038"/>
      <c r="BN1244" s="3038"/>
      <c r="BO1244" s="3038"/>
      <c r="BP1244" s="3038"/>
      <c r="BQ1244" s="3038"/>
      <c r="BR1244" s="3038"/>
      <c r="BS1244" s="3038"/>
      <c r="BT1244" s="3038"/>
      <c r="BU1244" s="3038"/>
    </row>
    <row r="1245" spans="3:73">
      <c r="C1245" s="3038"/>
      <c r="D1245" s="3038"/>
      <c r="E1245" s="3038"/>
      <c r="H1245" s="3038"/>
      <c r="I1245" s="3038"/>
      <c r="J1245" s="3038"/>
      <c r="K1245" s="3038"/>
      <c r="M1245" s="3038"/>
      <c r="N1245" s="3038"/>
      <c r="O1245" s="3038"/>
      <c r="P1245" s="3038"/>
      <c r="Q1245" s="3038"/>
      <c r="R1245" s="3038"/>
      <c r="S1245" s="3038"/>
      <c r="T1245" s="3038"/>
      <c r="W1245" s="3038"/>
      <c r="X1245" s="3038"/>
      <c r="Y1245" s="3038"/>
      <c r="Z1245" s="3038"/>
      <c r="AA1245" s="3113"/>
      <c r="AB1245" s="3038"/>
      <c r="AC1245" s="3038"/>
      <c r="AD1245" s="3038"/>
      <c r="AE1245" s="3132"/>
      <c r="AF1245" s="3038"/>
      <c r="AG1245" s="3038"/>
      <c r="AH1245" s="3038"/>
      <c r="AK1245" s="3038"/>
      <c r="AL1245" s="3038"/>
      <c r="AM1245" s="3038"/>
      <c r="AN1245" s="3038"/>
      <c r="AO1245" s="3038"/>
      <c r="AP1245" s="3038"/>
      <c r="AQ1245" s="3038"/>
      <c r="AR1245" s="3038"/>
      <c r="AS1245" s="3038"/>
      <c r="AT1245" s="3038"/>
      <c r="AU1245" s="3038"/>
      <c r="AV1245" s="3038"/>
      <c r="AW1245" s="3038"/>
      <c r="AX1245" s="3038"/>
      <c r="AY1245" s="3038"/>
      <c r="AZ1245" s="3038"/>
      <c r="BA1245" s="3038"/>
      <c r="BB1245" s="3038"/>
      <c r="BC1245" s="3038"/>
      <c r="BD1245" s="3038"/>
      <c r="BE1245" s="3038"/>
      <c r="BF1245" s="3038"/>
      <c r="BG1245" s="3038"/>
      <c r="BH1245" s="3038"/>
      <c r="BI1245" s="3038"/>
      <c r="BJ1245" s="3038"/>
      <c r="BK1245" s="3038"/>
      <c r="BL1245" s="3038"/>
      <c r="BM1245" s="3038"/>
      <c r="BN1245" s="3038"/>
      <c r="BO1245" s="3038"/>
      <c r="BP1245" s="3038"/>
      <c r="BQ1245" s="3038"/>
      <c r="BR1245" s="3038"/>
      <c r="BS1245" s="3038"/>
      <c r="BT1245" s="3038"/>
      <c r="BU1245" s="3038"/>
    </row>
    <row r="1246" spans="3:73">
      <c r="C1246" s="3038"/>
      <c r="D1246" s="3038"/>
      <c r="E1246" s="3038"/>
      <c r="H1246" s="3038"/>
      <c r="I1246" s="3038"/>
      <c r="J1246" s="3038"/>
      <c r="K1246" s="3038"/>
      <c r="M1246" s="3038"/>
      <c r="N1246" s="3038"/>
      <c r="O1246" s="3038"/>
      <c r="P1246" s="3038"/>
      <c r="Q1246" s="3038"/>
      <c r="R1246" s="3038"/>
      <c r="S1246" s="3038"/>
      <c r="T1246" s="3038"/>
      <c r="W1246" s="3038"/>
      <c r="X1246" s="3038"/>
      <c r="Y1246" s="3038"/>
      <c r="Z1246" s="3038"/>
      <c r="AA1246" s="3113"/>
      <c r="AB1246" s="3038"/>
      <c r="AC1246" s="3038"/>
      <c r="AD1246" s="3038"/>
      <c r="AE1246" s="3132"/>
      <c r="AF1246" s="3038"/>
      <c r="AG1246" s="3038"/>
      <c r="AH1246" s="3038"/>
      <c r="AK1246" s="3038"/>
      <c r="AL1246" s="3038"/>
      <c r="AM1246" s="3038"/>
      <c r="AN1246" s="3038"/>
      <c r="AO1246" s="3038"/>
      <c r="AP1246" s="3038"/>
      <c r="AQ1246" s="3038"/>
      <c r="AR1246" s="3038"/>
      <c r="AS1246" s="3038"/>
      <c r="AT1246" s="3038"/>
      <c r="AU1246" s="3038"/>
      <c r="AV1246" s="3038"/>
      <c r="AW1246" s="3038"/>
      <c r="AX1246" s="3038"/>
      <c r="AY1246" s="3038"/>
      <c r="AZ1246" s="3038"/>
      <c r="BA1246" s="3038"/>
      <c r="BB1246" s="3038"/>
      <c r="BC1246" s="3038"/>
      <c r="BD1246" s="3038"/>
      <c r="BE1246" s="3038"/>
      <c r="BF1246" s="3038"/>
      <c r="BG1246" s="3038"/>
      <c r="BH1246" s="3038"/>
      <c r="BI1246" s="3038"/>
      <c r="BJ1246" s="3038"/>
      <c r="BK1246" s="3038"/>
      <c r="BL1246" s="3038"/>
      <c r="BM1246" s="3038"/>
      <c r="BN1246" s="3038"/>
      <c r="BO1246" s="3038"/>
      <c r="BP1246" s="3038"/>
      <c r="BQ1246" s="3038"/>
      <c r="BR1246" s="3038"/>
      <c r="BS1246" s="3038"/>
      <c r="BT1246" s="3038"/>
      <c r="BU1246" s="3038"/>
    </row>
    <row r="1247" spans="3:73">
      <c r="C1247" s="3038"/>
      <c r="D1247" s="3038"/>
      <c r="E1247" s="3038"/>
      <c r="H1247" s="3038"/>
      <c r="I1247" s="3038"/>
      <c r="J1247" s="3038"/>
      <c r="K1247" s="3038"/>
      <c r="M1247" s="3038"/>
      <c r="N1247" s="3038"/>
      <c r="O1247" s="3038"/>
      <c r="P1247" s="3038"/>
      <c r="Q1247" s="3038"/>
      <c r="R1247" s="3038"/>
      <c r="S1247" s="3038"/>
      <c r="T1247" s="3038"/>
      <c r="W1247" s="3038"/>
      <c r="X1247" s="3038"/>
      <c r="Y1247" s="3038"/>
      <c r="Z1247" s="3038"/>
      <c r="AA1247" s="3113"/>
      <c r="AB1247" s="3038"/>
      <c r="AC1247" s="3038"/>
      <c r="AD1247" s="3038"/>
      <c r="AE1247" s="3132"/>
      <c r="AF1247" s="3038"/>
      <c r="AG1247" s="3038"/>
      <c r="AH1247" s="3038"/>
      <c r="AK1247" s="3038"/>
      <c r="AL1247" s="3038"/>
      <c r="AM1247" s="3038"/>
      <c r="AN1247" s="3038"/>
      <c r="AO1247" s="3038"/>
      <c r="AP1247" s="3038"/>
      <c r="AQ1247" s="3038"/>
      <c r="AR1247" s="3038"/>
      <c r="AS1247" s="3038"/>
      <c r="AT1247" s="3038"/>
      <c r="AU1247" s="3038"/>
      <c r="AV1247" s="3038"/>
      <c r="AW1247" s="3038"/>
      <c r="AX1247" s="3038"/>
      <c r="AY1247" s="3038"/>
      <c r="AZ1247" s="3038"/>
      <c r="BA1247" s="3038"/>
      <c r="BB1247" s="3038"/>
      <c r="BC1247" s="3038"/>
      <c r="BD1247" s="3038"/>
      <c r="BE1247" s="3038"/>
      <c r="BF1247" s="3038"/>
      <c r="BG1247" s="3038"/>
      <c r="BH1247" s="3038"/>
      <c r="BI1247" s="3038"/>
      <c r="BJ1247" s="3038"/>
      <c r="BK1247" s="3038"/>
      <c r="BL1247" s="3038"/>
      <c r="BM1247" s="3038"/>
      <c r="BN1247" s="3038"/>
      <c r="BO1247" s="3038"/>
      <c r="BP1247" s="3038"/>
      <c r="BQ1247" s="3038"/>
      <c r="BR1247" s="3038"/>
      <c r="BS1247" s="3038"/>
      <c r="BT1247" s="3038"/>
      <c r="BU1247" s="3038"/>
    </row>
    <row r="1248" spans="3:73">
      <c r="C1248" s="3038"/>
      <c r="D1248" s="3038"/>
      <c r="E1248" s="3038"/>
      <c r="H1248" s="3038"/>
      <c r="I1248" s="3038"/>
      <c r="J1248" s="3038"/>
      <c r="K1248" s="3038"/>
      <c r="M1248" s="3038"/>
      <c r="N1248" s="3038"/>
      <c r="O1248" s="3038"/>
      <c r="P1248" s="3038"/>
      <c r="Q1248" s="3038"/>
      <c r="R1248" s="3038"/>
      <c r="S1248" s="3038"/>
      <c r="T1248" s="3038"/>
      <c r="W1248" s="3038"/>
      <c r="X1248" s="3038"/>
      <c r="Y1248" s="3038"/>
      <c r="Z1248" s="3038"/>
      <c r="AA1248" s="3113"/>
      <c r="AB1248" s="3038"/>
      <c r="AC1248" s="3038"/>
      <c r="AD1248" s="3038"/>
      <c r="AE1248" s="3132"/>
      <c r="AF1248" s="3038"/>
      <c r="AG1248" s="3038"/>
      <c r="AH1248" s="3038"/>
      <c r="AK1248" s="3038"/>
      <c r="AL1248" s="3038"/>
      <c r="AM1248" s="3038"/>
      <c r="AN1248" s="3038"/>
      <c r="AO1248" s="3038"/>
      <c r="AP1248" s="3038"/>
      <c r="AQ1248" s="3038"/>
      <c r="AR1248" s="3038"/>
      <c r="AS1248" s="3038"/>
      <c r="AT1248" s="3038"/>
      <c r="AU1248" s="3038"/>
      <c r="AV1248" s="3038"/>
      <c r="AW1248" s="3038"/>
      <c r="AX1248" s="3038"/>
      <c r="AY1248" s="3038"/>
      <c r="AZ1248" s="3038"/>
      <c r="BA1248" s="3038"/>
      <c r="BB1248" s="3038"/>
      <c r="BC1248" s="3038"/>
      <c r="BD1248" s="3038"/>
      <c r="BE1248" s="3038"/>
      <c r="BF1248" s="3038"/>
      <c r="BG1248" s="3038"/>
      <c r="BH1248" s="3038"/>
      <c r="BI1248" s="3038"/>
      <c r="BJ1248" s="3038"/>
      <c r="BK1248" s="3038"/>
      <c r="BL1248" s="3038"/>
      <c r="BM1248" s="3038"/>
      <c r="BN1248" s="3038"/>
      <c r="BO1248" s="3038"/>
      <c r="BP1248" s="3038"/>
      <c r="BQ1248" s="3038"/>
      <c r="BR1248" s="3038"/>
      <c r="BS1248" s="3038"/>
      <c r="BT1248" s="3038"/>
      <c r="BU1248" s="3038"/>
    </row>
    <row r="1249" spans="3:73">
      <c r="C1249" s="3038"/>
      <c r="D1249" s="3038"/>
      <c r="E1249" s="3038"/>
      <c r="H1249" s="3038"/>
      <c r="I1249" s="3038"/>
      <c r="J1249" s="3038"/>
      <c r="K1249" s="3038"/>
      <c r="M1249" s="3038"/>
      <c r="N1249" s="3038"/>
      <c r="O1249" s="3038"/>
      <c r="P1249" s="3038"/>
      <c r="Q1249" s="3038"/>
      <c r="R1249" s="3038"/>
      <c r="S1249" s="3038"/>
      <c r="T1249" s="3038"/>
      <c r="W1249" s="3038"/>
      <c r="X1249" s="3038"/>
      <c r="Y1249" s="3038"/>
      <c r="Z1249" s="3038"/>
      <c r="AA1249" s="3113"/>
      <c r="AB1249" s="3038"/>
      <c r="AC1249" s="3038"/>
      <c r="AD1249" s="3038"/>
      <c r="AE1249" s="3132"/>
      <c r="AF1249" s="3038"/>
      <c r="AG1249" s="3038"/>
      <c r="AH1249" s="3038"/>
      <c r="AK1249" s="3038"/>
      <c r="AL1249" s="3038"/>
      <c r="AM1249" s="3038"/>
      <c r="AN1249" s="3038"/>
      <c r="AO1249" s="3038"/>
      <c r="AP1249" s="3038"/>
      <c r="AQ1249" s="3038"/>
      <c r="AR1249" s="3038"/>
      <c r="AS1249" s="3038"/>
      <c r="AT1249" s="3038"/>
      <c r="AU1249" s="3038"/>
      <c r="AV1249" s="3038"/>
      <c r="AW1249" s="3038"/>
      <c r="AX1249" s="3038"/>
      <c r="AY1249" s="3038"/>
      <c r="AZ1249" s="3038"/>
      <c r="BA1249" s="3038"/>
      <c r="BB1249" s="3038"/>
      <c r="BC1249" s="3038"/>
      <c r="BD1249" s="3038"/>
      <c r="BE1249" s="3038"/>
      <c r="BF1249" s="3038"/>
      <c r="BG1249" s="3038"/>
      <c r="BH1249" s="3038"/>
      <c r="BI1249" s="3038"/>
      <c r="BJ1249" s="3038"/>
      <c r="BK1249" s="3038"/>
      <c r="BL1249" s="3038"/>
      <c r="BM1249" s="3038"/>
      <c r="BN1249" s="3038"/>
      <c r="BO1249" s="3038"/>
      <c r="BP1249" s="3038"/>
      <c r="BQ1249" s="3038"/>
      <c r="BR1249" s="3038"/>
      <c r="BS1249" s="3038"/>
      <c r="BT1249" s="3038"/>
      <c r="BU1249" s="3038"/>
    </row>
    <row r="1250" spans="3:73">
      <c r="C1250" s="3038"/>
      <c r="D1250" s="3038"/>
      <c r="E1250" s="3038"/>
      <c r="H1250" s="3038"/>
      <c r="I1250" s="3038"/>
      <c r="J1250" s="3038"/>
      <c r="K1250" s="3038"/>
      <c r="M1250" s="3038"/>
      <c r="N1250" s="3038"/>
      <c r="O1250" s="3038"/>
      <c r="P1250" s="3038"/>
      <c r="Q1250" s="3038"/>
      <c r="R1250" s="3038"/>
      <c r="S1250" s="3038"/>
      <c r="T1250" s="3038"/>
      <c r="W1250" s="3038"/>
      <c r="X1250" s="3038"/>
      <c r="Y1250" s="3038"/>
      <c r="Z1250" s="3038"/>
      <c r="AA1250" s="3113"/>
      <c r="AB1250" s="3038"/>
      <c r="AC1250" s="3038"/>
      <c r="AD1250" s="3038"/>
      <c r="AE1250" s="3132"/>
      <c r="AF1250" s="3038"/>
      <c r="AG1250" s="3038"/>
      <c r="AH1250" s="3038"/>
      <c r="AK1250" s="3038"/>
      <c r="AL1250" s="3038"/>
      <c r="AM1250" s="3038"/>
      <c r="AN1250" s="3038"/>
      <c r="AO1250" s="3038"/>
      <c r="AP1250" s="3038"/>
      <c r="AQ1250" s="3038"/>
      <c r="AR1250" s="3038"/>
      <c r="AS1250" s="3038"/>
      <c r="AT1250" s="3038"/>
      <c r="AU1250" s="3038"/>
      <c r="AV1250" s="3038"/>
      <c r="AW1250" s="3038"/>
      <c r="AX1250" s="3038"/>
      <c r="AY1250" s="3038"/>
      <c r="AZ1250" s="3038"/>
      <c r="BA1250" s="3038"/>
      <c r="BB1250" s="3038"/>
      <c r="BC1250" s="3038"/>
      <c r="BD1250" s="3038"/>
      <c r="BE1250" s="3038"/>
      <c r="BF1250" s="3038"/>
      <c r="BG1250" s="3038"/>
      <c r="BH1250" s="3038"/>
      <c r="BI1250" s="3038"/>
      <c r="BJ1250" s="3038"/>
      <c r="BK1250" s="3038"/>
      <c r="BL1250" s="3038"/>
      <c r="BM1250" s="3038"/>
      <c r="BN1250" s="3038"/>
      <c r="BO1250" s="3038"/>
      <c r="BP1250" s="3038"/>
      <c r="BQ1250" s="3038"/>
      <c r="BR1250" s="3038"/>
      <c r="BS1250" s="3038"/>
      <c r="BT1250" s="3038"/>
      <c r="BU1250" s="3038"/>
    </row>
    <row r="1251" spans="3:73">
      <c r="C1251" s="3038"/>
      <c r="D1251" s="3038"/>
      <c r="E1251" s="3038"/>
      <c r="H1251" s="3038"/>
      <c r="I1251" s="3038"/>
      <c r="J1251" s="3038"/>
      <c r="K1251" s="3038"/>
      <c r="M1251" s="3038"/>
      <c r="N1251" s="3038"/>
      <c r="O1251" s="3038"/>
      <c r="P1251" s="3038"/>
      <c r="Q1251" s="3038"/>
      <c r="R1251" s="3038"/>
      <c r="S1251" s="3038"/>
      <c r="T1251" s="3038"/>
      <c r="W1251" s="3038"/>
      <c r="X1251" s="3038"/>
      <c r="Y1251" s="3038"/>
      <c r="Z1251" s="3038"/>
      <c r="AA1251" s="3113"/>
      <c r="AB1251" s="3038"/>
      <c r="AC1251" s="3038"/>
      <c r="AD1251" s="3038"/>
      <c r="AE1251" s="3132"/>
      <c r="AF1251" s="3038"/>
      <c r="AG1251" s="3038"/>
      <c r="AH1251" s="3038"/>
      <c r="AK1251" s="3038"/>
      <c r="AL1251" s="3038"/>
      <c r="AM1251" s="3038"/>
      <c r="AN1251" s="3038"/>
      <c r="AO1251" s="3038"/>
      <c r="AP1251" s="3038"/>
      <c r="AQ1251" s="3038"/>
      <c r="AR1251" s="3038"/>
      <c r="AS1251" s="3038"/>
      <c r="AT1251" s="3038"/>
      <c r="AU1251" s="3038"/>
      <c r="AV1251" s="3038"/>
      <c r="AW1251" s="3038"/>
      <c r="AX1251" s="3038"/>
      <c r="AY1251" s="3038"/>
      <c r="AZ1251" s="3038"/>
      <c r="BA1251" s="3038"/>
      <c r="BB1251" s="3038"/>
      <c r="BC1251" s="3038"/>
      <c r="BD1251" s="3038"/>
      <c r="BE1251" s="3038"/>
      <c r="BF1251" s="3038"/>
      <c r="BG1251" s="3038"/>
      <c r="BH1251" s="3038"/>
      <c r="BI1251" s="3038"/>
      <c r="BJ1251" s="3038"/>
      <c r="BK1251" s="3038"/>
      <c r="BL1251" s="3038"/>
      <c r="BM1251" s="3038"/>
      <c r="BN1251" s="3038"/>
      <c r="BO1251" s="3038"/>
      <c r="BP1251" s="3038"/>
      <c r="BQ1251" s="3038"/>
      <c r="BR1251" s="3038"/>
      <c r="BS1251" s="3038"/>
      <c r="BT1251" s="3038"/>
      <c r="BU1251" s="3038"/>
    </row>
    <row r="1252" spans="3:73">
      <c r="C1252" s="3038"/>
      <c r="D1252" s="3038"/>
      <c r="E1252" s="3038"/>
      <c r="H1252" s="3038"/>
      <c r="I1252" s="3038"/>
      <c r="J1252" s="3038"/>
      <c r="K1252" s="3038"/>
      <c r="M1252" s="3038"/>
      <c r="N1252" s="3038"/>
      <c r="O1252" s="3038"/>
      <c r="P1252" s="3038"/>
      <c r="Q1252" s="3038"/>
      <c r="R1252" s="3038"/>
      <c r="S1252" s="3038"/>
      <c r="T1252" s="3038"/>
      <c r="W1252" s="3038"/>
      <c r="X1252" s="3038"/>
      <c r="Y1252" s="3038"/>
      <c r="Z1252" s="3038"/>
      <c r="AA1252" s="3113"/>
      <c r="AB1252" s="3038"/>
      <c r="AC1252" s="3038"/>
      <c r="AD1252" s="3038"/>
      <c r="AE1252" s="3132"/>
      <c r="AF1252" s="3038"/>
      <c r="AG1252" s="3038"/>
      <c r="AH1252" s="3038"/>
      <c r="AK1252" s="3038"/>
      <c r="AL1252" s="3038"/>
      <c r="AM1252" s="3038"/>
      <c r="AN1252" s="3038"/>
      <c r="AO1252" s="3038"/>
      <c r="AP1252" s="3038"/>
      <c r="AQ1252" s="3038"/>
      <c r="AR1252" s="3038"/>
      <c r="AS1252" s="3038"/>
      <c r="AT1252" s="3038"/>
      <c r="AU1252" s="3038"/>
      <c r="AV1252" s="3038"/>
      <c r="AW1252" s="3038"/>
      <c r="AX1252" s="3038"/>
      <c r="AY1252" s="3038"/>
      <c r="AZ1252" s="3038"/>
      <c r="BA1252" s="3038"/>
      <c r="BB1252" s="3038"/>
      <c r="BC1252" s="3038"/>
      <c r="BD1252" s="3038"/>
      <c r="BE1252" s="3038"/>
      <c r="BF1252" s="3038"/>
      <c r="BG1252" s="3038"/>
      <c r="BH1252" s="3038"/>
      <c r="BI1252" s="3038"/>
      <c r="BJ1252" s="3038"/>
      <c r="BK1252" s="3038"/>
      <c r="BL1252" s="3038"/>
      <c r="BM1252" s="3038"/>
      <c r="BN1252" s="3038"/>
      <c r="BO1252" s="3038"/>
      <c r="BP1252" s="3038"/>
      <c r="BQ1252" s="3038"/>
      <c r="BR1252" s="3038"/>
      <c r="BS1252" s="3038"/>
      <c r="BT1252" s="3038"/>
      <c r="BU1252" s="3038"/>
    </row>
    <row r="1253" spans="3:73">
      <c r="C1253" s="3038"/>
      <c r="D1253" s="3038"/>
      <c r="E1253" s="3038"/>
      <c r="H1253" s="3038"/>
      <c r="I1253" s="3038"/>
      <c r="J1253" s="3038"/>
      <c r="K1253" s="3038"/>
      <c r="M1253" s="3038"/>
      <c r="N1253" s="3038"/>
      <c r="O1253" s="3038"/>
      <c r="P1253" s="3038"/>
      <c r="Q1253" s="3038"/>
      <c r="R1253" s="3038"/>
      <c r="S1253" s="3038"/>
      <c r="T1253" s="3038"/>
      <c r="W1253" s="3038"/>
      <c r="X1253" s="3038"/>
      <c r="Y1253" s="3038"/>
      <c r="Z1253" s="3038"/>
      <c r="AA1253" s="3113"/>
      <c r="AB1253" s="3038"/>
      <c r="AC1253" s="3038"/>
      <c r="AD1253" s="3038"/>
      <c r="AE1253" s="3132"/>
      <c r="AF1253" s="3038"/>
      <c r="AG1253" s="3038"/>
      <c r="AH1253" s="3038"/>
      <c r="AK1253" s="3038"/>
      <c r="AL1253" s="3038"/>
      <c r="AM1253" s="3038"/>
      <c r="AN1253" s="3038"/>
      <c r="AO1253" s="3038"/>
      <c r="AP1253" s="3038"/>
      <c r="AQ1253" s="3038"/>
      <c r="AR1253" s="3038"/>
      <c r="AS1253" s="3038"/>
      <c r="AT1253" s="3038"/>
      <c r="AU1253" s="3038"/>
      <c r="AV1253" s="3038"/>
      <c r="AW1253" s="3038"/>
      <c r="AX1253" s="3038"/>
      <c r="AY1253" s="3038"/>
      <c r="AZ1253" s="3038"/>
      <c r="BA1253" s="3038"/>
      <c r="BB1253" s="3038"/>
      <c r="BC1253" s="3038"/>
      <c r="BD1253" s="3038"/>
      <c r="BE1253" s="3038"/>
      <c r="BF1253" s="3038"/>
      <c r="BG1253" s="3038"/>
      <c r="BH1253" s="3038"/>
      <c r="BI1253" s="3038"/>
      <c r="BJ1253" s="3038"/>
      <c r="BK1253" s="3038"/>
      <c r="BL1253" s="3038"/>
      <c r="BM1253" s="3038"/>
      <c r="BN1253" s="3038"/>
      <c r="BO1253" s="3038"/>
      <c r="BP1253" s="3038"/>
      <c r="BQ1253" s="3038"/>
      <c r="BR1253" s="3038"/>
      <c r="BS1253" s="3038"/>
      <c r="BT1253" s="3038"/>
      <c r="BU1253" s="3038"/>
    </row>
    <row r="1254" spans="3:73">
      <c r="C1254" s="3038"/>
      <c r="D1254" s="3038"/>
      <c r="E1254" s="3038"/>
      <c r="H1254" s="3038"/>
      <c r="I1254" s="3038"/>
      <c r="J1254" s="3038"/>
      <c r="K1254" s="3038"/>
      <c r="M1254" s="3038"/>
      <c r="N1254" s="3038"/>
      <c r="O1254" s="3038"/>
      <c r="P1254" s="3038"/>
      <c r="Q1254" s="3038"/>
      <c r="R1254" s="3038"/>
      <c r="S1254" s="3038"/>
      <c r="T1254" s="3038"/>
      <c r="W1254" s="3038"/>
      <c r="X1254" s="3038"/>
      <c r="Y1254" s="3038"/>
      <c r="Z1254" s="3038"/>
      <c r="AA1254" s="3113"/>
      <c r="AB1254" s="3038"/>
      <c r="AC1254" s="3038"/>
      <c r="AD1254" s="3038"/>
      <c r="AE1254" s="3132"/>
      <c r="AF1254" s="3038"/>
      <c r="AG1254" s="3038"/>
      <c r="AH1254" s="3038"/>
      <c r="AK1254" s="3038"/>
      <c r="AL1254" s="3038"/>
      <c r="AM1254" s="3038"/>
      <c r="AN1254" s="3038"/>
      <c r="AO1254" s="3038"/>
      <c r="AP1254" s="3038"/>
      <c r="AQ1254" s="3038"/>
      <c r="AR1254" s="3038"/>
      <c r="AS1254" s="3038"/>
      <c r="AT1254" s="3038"/>
      <c r="AU1254" s="3038"/>
      <c r="AV1254" s="3038"/>
      <c r="AW1254" s="3038"/>
      <c r="AX1254" s="3038"/>
      <c r="AY1254" s="3038"/>
      <c r="AZ1254" s="3038"/>
      <c r="BA1254" s="3038"/>
      <c r="BB1254" s="3038"/>
      <c r="BC1254" s="3038"/>
      <c r="BD1254" s="3038"/>
      <c r="BE1254" s="3038"/>
      <c r="BF1254" s="3038"/>
      <c r="BG1254" s="3038"/>
      <c r="BH1254" s="3038"/>
      <c r="BI1254" s="3038"/>
      <c r="BJ1254" s="3038"/>
      <c r="BK1254" s="3038"/>
      <c r="BL1254" s="3038"/>
      <c r="BM1254" s="3038"/>
      <c r="BN1254" s="3038"/>
      <c r="BO1254" s="3038"/>
      <c r="BP1254" s="3038"/>
      <c r="BQ1254" s="3038"/>
      <c r="BR1254" s="3038"/>
      <c r="BS1254" s="3038"/>
      <c r="BT1254" s="3038"/>
      <c r="BU1254" s="3038"/>
    </row>
    <row r="1255" spans="3:73">
      <c r="C1255" s="3038"/>
      <c r="D1255" s="3038"/>
      <c r="E1255" s="3038"/>
      <c r="H1255" s="3038"/>
      <c r="I1255" s="3038"/>
      <c r="J1255" s="3038"/>
      <c r="K1255" s="3038"/>
      <c r="M1255" s="3038"/>
      <c r="N1255" s="3038"/>
      <c r="O1255" s="3038"/>
      <c r="P1255" s="3038"/>
      <c r="Q1255" s="3038"/>
      <c r="R1255" s="3038"/>
      <c r="S1255" s="3038"/>
      <c r="T1255" s="3038"/>
      <c r="W1255" s="3038"/>
      <c r="X1255" s="3038"/>
      <c r="Y1255" s="3038"/>
      <c r="Z1255" s="3038"/>
      <c r="AA1255" s="3113"/>
      <c r="AB1255" s="3038"/>
      <c r="AC1255" s="3038"/>
      <c r="AD1255" s="3038"/>
      <c r="AE1255" s="3132"/>
      <c r="AF1255" s="3038"/>
      <c r="AG1255" s="3038"/>
      <c r="AH1255" s="3038"/>
      <c r="AK1255" s="3038"/>
      <c r="AL1255" s="3038"/>
      <c r="AM1255" s="3038"/>
      <c r="AN1255" s="3038"/>
      <c r="AO1255" s="3038"/>
      <c r="AP1255" s="3038"/>
      <c r="AQ1255" s="3038"/>
      <c r="AR1255" s="3038"/>
      <c r="AS1255" s="3038"/>
      <c r="AT1255" s="3038"/>
      <c r="AU1255" s="3038"/>
      <c r="AV1255" s="3038"/>
      <c r="AW1255" s="3038"/>
      <c r="AX1255" s="3038"/>
      <c r="AY1255" s="3038"/>
      <c r="AZ1255" s="3038"/>
      <c r="BA1255" s="3038"/>
      <c r="BB1255" s="3038"/>
      <c r="BC1255" s="3038"/>
      <c r="BD1255" s="3038"/>
      <c r="BE1255" s="3038"/>
      <c r="BF1255" s="3038"/>
      <c r="BG1255" s="3038"/>
      <c r="BH1255" s="3038"/>
      <c r="BI1255" s="3038"/>
      <c r="BJ1255" s="3038"/>
      <c r="BK1255" s="3038"/>
      <c r="BL1255" s="3038"/>
      <c r="BM1255" s="3038"/>
      <c r="BN1255" s="3038"/>
      <c r="BO1255" s="3038"/>
      <c r="BP1255" s="3038"/>
      <c r="BQ1255" s="3038"/>
      <c r="BR1255" s="3038"/>
      <c r="BS1255" s="3038"/>
      <c r="BT1255" s="3038"/>
      <c r="BU1255" s="3038"/>
    </row>
    <row r="1256" spans="3:73">
      <c r="C1256" s="3038"/>
      <c r="D1256" s="3038"/>
      <c r="E1256" s="3038"/>
      <c r="H1256" s="3038"/>
      <c r="I1256" s="3038"/>
      <c r="J1256" s="3038"/>
      <c r="K1256" s="3038"/>
      <c r="M1256" s="3038"/>
      <c r="N1256" s="3038"/>
      <c r="O1256" s="3038"/>
      <c r="P1256" s="3038"/>
      <c r="Q1256" s="3038"/>
      <c r="R1256" s="3038"/>
      <c r="S1256" s="3038"/>
      <c r="T1256" s="3038"/>
      <c r="W1256" s="3038"/>
      <c r="X1256" s="3038"/>
      <c r="Y1256" s="3038"/>
      <c r="Z1256" s="3038"/>
      <c r="AA1256" s="3113"/>
      <c r="AB1256" s="3038"/>
      <c r="AC1256" s="3038"/>
      <c r="AD1256" s="3038"/>
      <c r="AE1256" s="3132"/>
      <c r="AF1256" s="3038"/>
      <c r="AG1256" s="3038"/>
      <c r="AH1256" s="3038"/>
      <c r="AK1256" s="3038"/>
      <c r="AL1256" s="3038"/>
      <c r="AM1256" s="3038"/>
      <c r="AN1256" s="3038"/>
      <c r="AO1256" s="3038"/>
      <c r="AP1256" s="3038"/>
      <c r="AQ1256" s="3038"/>
      <c r="AR1256" s="3038"/>
      <c r="AS1256" s="3038"/>
      <c r="AT1256" s="3038"/>
      <c r="AU1256" s="3038"/>
      <c r="AV1256" s="3038"/>
      <c r="AW1256" s="3038"/>
      <c r="AX1256" s="3038"/>
      <c r="AY1256" s="3038"/>
      <c r="AZ1256" s="3038"/>
      <c r="BA1256" s="3038"/>
      <c r="BB1256" s="3038"/>
      <c r="BC1256" s="3038"/>
      <c r="BD1256" s="3038"/>
      <c r="BE1256" s="3038"/>
      <c r="BF1256" s="3038"/>
      <c r="BG1256" s="3038"/>
      <c r="BH1256" s="3038"/>
      <c r="BI1256" s="3038"/>
      <c r="BJ1256" s="3038"/>
      <c r="BK1256" s="3038"/>
      <c r="BL1256" s="3038"/>
      <c r="BM1256" s="3038"/>
      <c r="BN1256" s="3038"/>
      <c r="BO1256" s="3038"/>
      <c r="BP1256" s="3038"/>
      <c r="BQ1256" s="3038"/>
      <c r="BR1256" s="3038"/>
      <c r="BS1256" s="3038"/>
      <c r="BT1256" s="3038"/>
      <c r="BU1256" s="3038"/>
    </row>
    <row r="1257" spans="3:73">
      <c r="C1257" s="3038"/>
      <c r="D1257" s="3038"/>
      <c r="E1257" s="3038"/>
      <c r="H1257" s="3038"/>
      <c r="I1257" s="3038"/>
      <c r="J1257" s="3038"/>
      <c r="K1257" s="3038"/>
      <c r="M1257" s="3038"/>
      <c r="N1257" s="3038"/>
      <c r="O1257" s="3038"/>
      <c r="P1257" s="3038"/>
      <c r="Q1257" s="3038"/>
      <c r="R1257" s="3038"/>
      <c r="S1257" s="3038"/>
      <c r="T1257" s="3038"/>
      <c r="W1257" s="3038"/>
      <c r="X1257" s="3038"/>
      <c r="Y1257" s="3038"/>
      <c r="Z1257" s="3038"/>
      <c r="AA1257" s="3113"/>
      <c r="AB1257" s="3038"/>
      <c r="AC1257" s="3038"/>
      <c r="AD1257" s="3038"/>
      <c r="AE1257" s="3132"/>
      <c r="AF1257" s="3038"/>
      <c r="AG1257" s="3038"/>
      <c r="AH1257" s="3038"/>
      <c r="AK1257" s="3038"/>
      <c r="AL1257" s="3038"/>
      <c r="AM1257" s="3038"/>
      <c r="AN1257" s="3038"/>
      <c r="AO1257" s="3038"/>
      <c r="AP1257" s="3038"/>
      <c r="AQ1257" s="3038"/>
      <c r="AR1257" s="3038"/>
      <c r="AS1257" s="3038"/>
      <c r="AT1257" s="3038"/>
      <c r="AU1257" s="3038"/>
      <c r="AV1257" s="3038"/>
      <c r="AW1257" s="3038"/>
      <c r="AX1257" s="3038"/>
      <c r="AY1257" s="3038"/>
      <c r="AZ1257" s="3038"/>
      <c r="BA1257" s="3038"/>
      <c r="BB1257" s="3038"/>
      <c r="BC1257" s="3038"/>
      <c r="BD1257" s="3038"/>
      <c r="BE1257" s="3038"/>
      <c r="BF1257" s="3038"/>
      <c r="BG1257" s="3038"/>
      <c r="BH1257" s="3038"/>
      <c r="BI1257" s="3038"/>
      <c r="BJ1257" s="3038"/>
      <c r="BK1257" s="3038"/>
      <c r="BL1257" s="3038"/>
      <c r="BM1257" s="3038"/>
      <c r="BN1257" s="3038"/>
      <c r="BO1257" s="3038"/>
      <c r="BP1257" s="3038"/>
      <c r="BQ1257" s="3038"/>
      <c r="BR1257" s="3038"/>
      <c r="BS1257" s="3038"/>
      <c r="BT1257" s="3038"/>
      <c r="BU1257" s="3038"/>
    </row>
    <row r="1258" spans="3:73">
      <c r="C1258" s="3038"/>
      <c r="D1258" s="3038"/>
      <c r="E1258" s="3038"/>
      <c r="H1258" s="3038"/>
      <c r="I1258" s="3038"/>
      <c r="J1258" s="3038"/>
      <c r="K1258" s="3038"/>
      <c r="M1258" s="3038"/>
      <c r="N1258" s="3038"/>
      <c r="O1258" s="3038"/>
      <c r="P1258" s="3038"/>
      <c r="Q1258" s="3038"/>
      <c r="R1258" s="3038"/>
      <c r="S1258" s="3038"/>
      <c r="T1258" s="3038"/>
      <c r="W1258" s="3038"/>
      <c r="X1258" s="3038"/>
      <c r="Y1258" s="3038"/>
      <c r="Z1258" s="3038"/>
      <c r="AA1258" s="3113"/>
      <c r="AB1258" s="3038"/>
      <c r="AC1258" s="3038"/>
      <c r="AD1258" s="3038"/>
      <c r="AE1258" s="3132"/>
      <c r="AF1258" s="3038"/>
      <c r="AG1258" s="3038"/>
      <c r="AH1258" s="3038"/>
      <c r="AK1258" s="3038"/>
      <c r="AL1258" s="3038"/>
      <c r="AM1258" s="3038"/>
      <c r="AN1258" s="3038"/>
      <c r="AO1258" s="3038"/>
      <c r="AP1258" s="3038"/>
      <c r="AQ1258" s="3038"/>
      <c r="AR1258" s="3038"/>
      <c r="AS1258" s="3038"/>
      <c r="AT1258" s="3038"/>
      <c r="AU1258" s="3038"/>
      <c r="AV1258" s="3038"/>
      <c r="AW1258" s="3038"/>
      <c r="AX1258" s="3038"/>
      <c r="AY1258" s="3038"/>
      <c r="AZ1258" s="3038"/>
      <c r="BA1258" s="3038"/>
      <c r="BB1258" s="3038"/>
      <c r="BC1258" s="3038"/>
      <c r="BD1258" s="3038"/>
      <c r="BE1258" s="3038"/>
      <c r="BF1258" s="3038"/>
      <c r="BG1258" s="3038"/>
      <c r="BH1258" s="3038"/>
      <c r="BI1258" s="3038"/>
      <c r="BJ1258" s="3038"/>
      <c r="BK1258" s="3038"/>
      <c r="BL1258" s="3038"/>
      <c r="BM1258" s="3038"/>
      <c r="BN1258" s="3038"/>
      <c r="BO1258" s="3038"/>
      <c r="BP1258" s="3038"/>
      <c r="BQ1258" s="3038"/>
      <c r="BR1258" s="3038"/>
      <c r="BS1258" s="3038"/>
      <c r="BT1258" s="3038"/>
      <c r="BU1258" s="3038"/>
    </row>
    <row r="1259" spans="3:73">
      <c r="C1259" s="3038"/>
      <c r="D1259" s="3038"/>
      <c r="E1259" s="3038"/>
      <c r="H1259" s="3038"/>
      <c r="I1259" s="3038"/>
      <c r="J1259" s="3038"/>
      <c r="K1259" s="3038"/>
      <c r="M1259" s="3038"/>
      <c r="N1259" s="3038"/>
      <c r="O1259" s="3038"/>
      <c r="P1259" s="3038"/>
      <c r="Q1259" s="3038"/>
      <c r="R1259" s="3038"/>
      <c r="S1259" s="3038"/>
      <c r="T1259" s="3038"/>
      <c r="W1259" s="3038"/>
      <c r="X1259" s="3038"/>
      <c r="Y1259" s="3038"/>
      <c r="Z1259" s="3038"/>
      <c r="AA1259" s="3113"/>
      <c r="AB1259" s="3038"/>
      <c r="AC1259" s="3038"/>
      <c r="AD1259" s="3038"/>
      <c r="AE1259" s="3132"/>
      <c r="AF1259" s="3038"/>
      <c r="AG1259" s="3038"/>
      <c r="AH1259" s="3038"/>
      <c r="AK1259" s="3038"/>
      <c r="AL1259" s="3038"/>
      <c r="AM1259" s="3038"/>
      <c r="AN1259" s="3038"/>
      <c r="AO1259" s="3038"/>
      <c r="AP1259" s="3038"/>
      <c r="AQ1259" s="3038"/>
      <c r="AR1259" s="3038"/>
      <c r="AS1259" s="3038"/>
      <c r="AT1259" s="3038"/>
      <c r="AU1259" s="3038"/>
      <c r="AV1259" s="3038"/>
      <c r="AW1259" s="3038"/>
      <c r="AX1259" s="3038"/>
      <c r="AY1259" s="3038"/>
      <c r="AZ1259" s="3038"/>
      <c r="BA1259" s="3038"/>
      <c r="BB1259" s="3038"/>
      <c r="BC1259" s="3038"/>
      <c r="BD1259" s="3038"/>
      <c r="BE1259" s="3038"/>
      <c r="BF1259" s="3038"/>
      <c r="BG1259" s="3038"/>
      <c r="BH1259" s="3038"/>
      <c r="BI1259" s="3038"/>
      <c r="BJ1259" s="3038"/>
      <c r="BK1259" s="3038"/>
      <c r="BL1259" s="3038"/>
      <c r="BM1259" s="3038"/>
      <c r="BN1259" s="3038"/>
      <c r="BO1259" s="3038"/>
      <c r="BP1259" s="3038"/>
      <c r="BQ1259" s="3038"/>
      <c r="BR1259" s="3038"/>
      <c r="BS1259" s="3038"/>
      <c r="BT1259" s="3038"/>
      <c r="BU1259" s="3038"/>
    </row>
    <row r="1260" spans="3:73">
      <c r="C1260" s="3038"/>
      <c r="D1260" s="3038"/>
      <c r="E1260" s="3038"/>
      <c r="H1260" s="3038"/>
      <c r="I1260" s="3038"/>
      <c r="J1260" s="3038"/>
      <c r="K1260" s="3038"/>
      <c r="M1260" s="3038"/>
      <c r="N1260" s="3038"/>
      <c r="O1260" s="3038"/>
      <c r="P1260" s="3038"/>
      <c r="Q1260" s="3038"/>
      <c r="R1260" s="3038"/>
      <c r="S1260" s="3038"/>
      <c r="T1260" s="3038"/>
      <c r="W1260" s="3038"/>
      <c r="X1260" s="3038"/>
      <c r="Y1260" s="3038"/>
      <c r="Z1260" s="3038"/>
      <c r="AA1260" s="3113"/>
      <c r="AB1260" s="3038"/>
      <c r="AC1260" s="3038"/>
      <c r="AD1260" s="3038"/>
      <c r="AE1260" s="3132"/>
      <c r="AF1260" s="3038"/>
      <c r="AG1260" s="3038"/>
      <c r="AH1260" s="3038"/>
      <c r="AK1260" s="3038"/>
      <c r="AL1260" s="3038"/>
      <c r="AM1260" s="3038"/>
      <c r="AN1260" s="3038"/>
      <c r="AO1260" s="3038"/>
      <c r="AP1260" s="3038"/>
      <c r="AQ1260" s="3038"/>
      <c r="AR1260" s="3038"/>
      <c r="AS1260" s="3038"/>
      <c r="AT1260" s="3038"/>
      <c r="AU1260" s="3038"/>
      <c r="AV1260" s="3038"/>
      <c r="AW1260" s="3038"/>
      <c r="AX1260" s="3038"/>
      <c r="AY1260" s="3038"/>
      <c r="AZ1260" s="3038"/>
      <c r="BA1260" s="3038"/>
      <c r="BB1260" s="3038"/>
      <c r="BC1260" s="3038"/>
      <c r="BD1260" s="3038"/>
      <c r="BE1260" s="3038"/>
      <c r="BF1260" s="3038"/>
      <c r="BG1260" s="3038"/>
      <c r="BH1260" s="3038"/>
      <c r="BI1260" s="3038"/>
      <c r="BJ1260" s="3038"/>
      <c r="BK1260" s="3038"/>
      <c r="BL1260" s="3038"/>
      <c r="BM1260" s="3038"/>
      <c r="BN1260" s="3038"/>
      <c r="BO1260" s="3038"/>
      <c r="BP1260" s="3038"/>
      <c r="BQ1260" s="3038"/>
      <c r="BR1260" s="3038"/>
      <c r="BS1260" s="3038"/>
      <c r="BT1260" s="3038"/>
      <c r="BU1260" s="3038"/>
    </row>
    <row r="1261" spans="3:73">
      <c r="C1261" s="3038"/>
      <c r="D1261" s="3038"/>
      <c r="E1261" s="3038"/>
      <c r="H1261" s="3038"/>
      <c r="I1261" s="3038"/>
      <c r="J1261" s="3038"/>
      <c r="K1261" s="3038"/>
      <c r="M1261" s="3038"/>
      <c r="N1261" s="3038"/>
      <c r="O1261" s="3038"/>
      <c r="P1261" s="3038"/>
      <c r="Q1261" s="3038"/>
      <c r="R1261" s="3038"/>
      <c r="S1261" s="3038"/>
      <c r="T1261" s="3038"/>
      <c r="W1261" s="3038"/>
      <c r="X1261" s="3038"/>
      <c r="Y1261" s="3038"/>
      <c r="Z1261" s="3038"/>
      <c r="AA1261" s="3113"/>
      <c r="AB1261" s="3038"/>
      <c r="AC1261" s="3038"/>
      <c r="AD1261" s="3038"/>
      <c r="AE1261" s="3132"/>
      <c r="AF1261" s="3038"/>
      <c r="AG1261" s="3038"/>
      <c r="AH1261" s="3038"/>
      <c r="AK1261" s="3038"/>
      <c r="AL1261" s="3038"/>
      <c r="AM1261" s="3038"/>
      <c r="AN1261" s="3038"/>
      <c r="AO1261" s="3038"/>
      <c r="AP1261" s="3038"/>
      <c r="AQ1261" s="3038"/>
      <c r="AR1261" s="3038"/>
      <c r="AS1261" s="3038"/>
      <c r="AT1261" s="3038"/>
      <c r="AU1261" s="3038"/>
      <c r="AV1261" s="3038"/>
      <c r="AW1261" s="3038"/>
      <c r="AX1261" s="3038"/>
      <c r="AY1261" s="3038"/>
      <c r="AZ1261" s="3038"/>
      <c r="BA1261" s="3038"/>
      <c r="BB1261" s="3038"/>
      <c r="BC1261" s="3038"/>
      <c r="BD1261" s="3038"/>
      <c r="BE1261" s="3038"/>
      <c r="BF1261" s="3038"/>
      <c r="BG1261" s="3038"/>
      <c r="BH1261" s="3038"/>
      <c r="BI1261" s="3038"/>
      <c r="BJ1261" s="3038"/>
      <c r="BK1261" s="3038"/>
      <c r="BL1261" s="3038"/>
      <c r="BM1261" s="3038"/>
      <c r="BN1261" s="3038"/>
      <c r="BO1261" s="3038"/>
      <c r="BP1261" s="3038"/>
      <c r="BQ1261" s="3038"/>
      <c r="BR1261" s="3038"/>
      <c r="BS1261" s="3038"/>
      <c r="BT1261" s="3038"/>
      <c r="BU1261" s="3038"/>
    </row>
    <row r="1262" spans="3:73">
      <c r="C1262" s="3038"/>
      <c r="D1262" s="3038"/>
      <c r="E1262" s="3038"/>
      <c r="H1262" s="3038"/>
      <c r="I1262" s="3038"/>
      <c r="J1262" s="3038"/>
      <c r="K1262" s="3038"/>
      <c r="M1262" s="3038"/>
      <c r="N1262" s="3038"/>
      <c r="O1262" s="3038"/>
      <c r="P1262" s="3038"/>
      <c r="Q1262" s="3038"/>
      <c r="R1262" s="3038"/>
      <c r="S1262" s="3038"/>
      <c r="T1262" s="3038"/>
      <c r="W1262" s="3038"/>
      <c r="X1262" s="3038"/>
      <c r="Y1262" s="3038"/>
      <c r="Z1262" s="3038"/>
      <c r="AA1262" s="3113"/>
      <c r="AB1262" s="3038"/>
      <c r="AC1262" s="3038"/>
      <c r="AD1262" s="3038"/>
      <c r="AE1262" s="3132"/>
      <c r="AF1262" s="3038"/>
      <c r="AG1262" s="3038"/>
      <c r="AH1262" s="3038"/>
      <c r="AK1262" s="3038"/>
      <c r="AL1262" s="3038"/>
      <c r="AM1262" s="3038"/>
      <c r="AN1262" s="3038"/>
      <c r="AO1262" s="3038"/>
      <c r="AP1262" s="3038"/>
      <c r="AQ1262" s="3038"/>
      <c r="AR1262" s="3038"/>
      <c r="AS1262" s="3038"/>
      <c r="AT1262" s="3038"/>
      <c r="AU1262" s="3038"/>
      <c r="AV1262" s="3038"/>
      <c r="AW1262" s="3038"/>
      <c r="AX1262" s="3038"/>
      <c r="AY1262" s="3038"/>
      <c r="AZ1262" s="3038"/>
      <c r="BA1262" s="3038"/>
      <c r="BB1262" s="3038"/>
      <c r="BC1262" s="3038"/>
      <c r="BD1262" s="3038"/>
      <c r="BE1262" s="3038"/>
      <c r="BF1262" s="3038"/>
      <c r="BG1262" s="3038"/>
      <c r="BH1262" s="3038"/>
      <c r="BI1262" s="3038"/>
      <c r="BJ1262" s="3038"/>
      <c r="BK1262" s="3038"/>
      <c r="BL1262" s="3038"/>
      <c r="BM1262" s="3038"/>
      <c r="BN1262" s="3038"/>
      <c r="BO1262" s="3038"/>
      <c r="BP1262" s="3038"/>
      <c r="BQ1262" s="3038"/>
      <c r="BR1262" s="3038"/>
      <c r="BS1262" s="3038"/>
      <c r="BT1262" s="3038"/>
      <c r="BU1262" s="3038"/>
    </row>
    <row r="1263" spans="3:73">
      <c r="C1263" s="3038"/>
      <c r="D1263" s="3038"/>
      <c r="E1263" s="3038"/>
      <c r="H1263" s="3038"/>
      <c r="I1263" s="3038"/>
      <c r="J1263" s="3038"/>
      <c r="K1263" s="3038"/>
      <c r="M1263" s="3038"/>
      <c r="N1263" s="3038"/>
      <c r="O1263" s="3038"/>
      <c r="P1263" s="3038"/>
      <c r="Q1263" s="3038"/>
      <c r="R1263" s="3038"/>
      <c r="S1263" s="3038"/>
      <c r="T1263" s="3038"/>
      <c r="W1263" s="3038"/>
      <c r="X1263" s="3038"/>
      <c r="Y1263" s="3038"/>
      <c r="Z1263" s="3038"/>
      <c r="AA1263" s="3113"/>
      <c r="AB1263" s="3038"/>
      <c r="AC1263" s="3038"/>
      <c r="AD1263" s="3038"/>
      <c r="AE1263" s="3132"/>
      <c r="AF1263" s="3038"/>
      <c r="AG1263" s="3038"/>
      <c r="AH1263" s="3038"/>
      <c r="AK1263" s="3038"/>
      <c r="AL1263" s="3038"/>
      <c r="AM1263" s="3038"/>
      <c r="AN1263" s="3038"/>
      <c r="AO1263" s="3038"/>
      <c r="AP1263" s="3038"/>
      <c r="AQ1263" s="3038"/>
      <c r="AR1263" s="3038"/>
      <c r="AS1263" s="3038"/>
      <c r="AT1263" s="3038"/>
      <c r="AU1263" s="3038"/>
      <c r="AV1263" s="3038"/>
      <c r="AW1263" s="3038"/>
      <c r="AX1263" s="3038"/>
      <c r="AY1263" s="3038"/>
      <c r="AZ1263" s="3038"/>
      <c r="BA1263" s="3038"/>
      <c r="BB1263" s="3038"/>
      <c r="BC1263" s="3038"/>
      <c r="BD1263" s="3038"/>
      <c r="BE1263" s="3038"/>
      <c r="BF1263" s="3038"/>
      <c r="BG1263" s="3038"/>
      <c r="BH1263" s="3038"/>
      <c r="BI1263" s="3038"/>
      <c r="BJ1263" s="3038"/>
      <c r="BK1263" s="3038"/>
      <c r="BL1263" s="3038"/>
      <c r="BM1263" s="3038"/>
      <c r="BN1263" s="3038"/>
      <c r="BO1263" s="3038"/>
      <c r="BP1263" s="3038"/>
      <c r="BQ1263" s="3038"/>
      <c r="BR1263" s="3038"/>
      <c r="BS1263" s="3038"/>
      <c r="BT1263" s="3038"/>
      <c r="BU1263" s="3038"/>
    </row>
    <row r="1264" spans="3:73">
      <c r="C1264" s="3038"/>
      <c r="D1264" s="3038"/>
      <c r="E1264" s="3038"/>
      <c r="H1264" s="3038"/>
      <c r="I1264" s="3038"/>
      <c r="J1264" s="3038"/>
      <c r="K1264" s="3038"/>
      <c r="M1264" s="3038"/>
      <c r="N1264" s="3038"/>
      <c r="O1264" s="3038"/>
      <c r="P1264" s="3038"/>
      <c r="Q1264" s="3038"/>
      <c r="R1264" s="3038"/>
      <c r="S1264" s="3038"/>
      <c r="T1264" s="3038"/>
      <c r="W1264" s="3038"/>
      <c r="X1264" s="3038"/>
      <c r="Y1264" s="3038"/>
      <c r="Z1264" s="3038"/>
      <c r="AA1264" s="3113"/>
      <c r="AB1264" s="3038"/>
      <c r="AC1264" s="3038"/>
      <c r="AD1264" s="3038"/>
      <c r="AE1264" s="3132"/>
      <c r="AF1264" s="3038"/>
      <c r="AG1264" s="3038"/>
      <c r="AH1264" s="3038"/>
      <c r="AK1264" s="3038"/>
      <c r="AL1264" s="3038"/>
      <c r="AM1264" s="3038"/>
      <c r="AN1264" s="3038"/>
      <c r="AO1264" s="3038"/>
      <c r="AP1264" s="3038"/>
      <c r="AQ1264" s="3038"/>
      <c r="AR1264" s="3038"/>
      <c r="AS1264" s="3038"/>
      <c r="AT1264" s="3038"/>
      <c r="AU1264" s="3038"/>
      <c r="AV1264" s="3038"/>
      <c r="AW1264" s="3038"/>
      <c r="AX1264" s="3038"/>
      <c r="AY1264" s="3038"/>
      <c r="AZ1264" s="3038"/>
      <c r="BA1264" s="3038"/>
      <c r="BB1264" s="3038"/>
      <c r="BC1264" s="3038"/>
      <c r="BD1264" s="3038"/>
      <c r="BE1264" s="3038"/>
      <c r="BF1264" s="3038"/>
      <c r="BG1264" s="3038"/>
      <c r="BH1264" s="3038"/>
      <c r="BI1264" s="3038"/>
      <c r="BJ1264" s="3038"/>
      <c r="BK1264" s="3038"/>
      <c r="BL1264" s="3038"/>
      <c r="BM1264" s="3038"/>
      <c r="BN1264" s="3038"/>
      <c r="BO1264" s="3038"/>
      <c r="BP1264" s="3038"/>
      <c r="BQ1264" s="3038"/>
      <c r="BR1264" s="3038"/>
      <c r="BS1264" s="3038"/>
      <c r="BT1264" s="3038"/>
      <c r="BU1264" s="3038"/>
    </row>
    <row r="1265" spans="3:73">
      <c r="C1265" s="3038"/>
      <c r="D1265" s="3038"/>
      <c r="E1265" s="3038"/>
      <c r="H1265" s="3038"/>
      <c r="I1265" s="3038"/>
      <c r="J1265" s="3038"/>
      <c r="K1265" s="3038"/>
      <c r="M1265" s="3038"/>
      <c r="N1265" s="3038"/>
      <c r="O1265" s="3038"/>
      <c r="P1265" s="3038"/>
      <c r="Q1265" s="3038"/>
      <c r="R1265" s="3038"/>
      <c r="S1265" s="3038"/>
      <c r="T1265" s="3038"/>
      <c r="W1265" s="3038"/>
      <c r="X1265" s="3038"/>
      <c r="Y1265" s="3038"/>
      <c r="Z1265" s="3038"/>
      <c r="AA1265" s="3113"/>
      <c r="AB1265" s="3038"/>
      <c r="AC1265" s="3038"/>
      <c r="AD1265" s="3038"/>
      <c r="AE1265" s="3132"/>
      <c r="AF1265" s="3038"/>
      <c r="AG1265" s="3038"/>
      <c r="AH1265" s="3038"/>
      <c r="AK1265" s="3038"/>
      <c r="AL1265" s="3038"/>
      <c r="AM1265" s="3038"/>
      <c r="AN1265" s="3038"/>
      <c r="AO1265" s="3038"/>
      <c r="AP1265" s="3038"/>
      <c r="AQ1265" s="3038"/>
      <c r="AR1265" s="3038"/>
      <c r="AS1265" s="3038"/>
      <c r="AT1265" s="3038"/>
      <c r="AU1265" s="3038"/>
      <c r="AV1265" s="3038"/>
      <c r="AW1265" s="3038"/>
      <c r="AX1265" s="3038"/>
      <c r="AY1265" s="3038"/>
      <c r="AZ1265" s="3038"/>
      <c r="BA1265" s="3038"/>
      <c r="BB1265" s="3038"/>
      <c r="BC1265" s="3038"/>
      <c r="BD1265" s="3038"/>
      <c r="BE1265" s="3038"/>
      <c r="BF1265" s="3038"/>
      <c r="BG1265" s="3038"/>
      <c r="BH1265" s="3038"/>
      <c r="BI1265" s="3038"/>
      <c r="BJ1265" s="3038"/>
      <c r="BK1265" s="3038"/>
      <c r="BL1265" s="3038"/>
      <c r="BM1265" s="3038"/>
      <c r="BN1265" s="3038"/>
      <c r="BO1265" s="3038"/>
      <c r="BP1265" s="3038"/>
      <c r="BQ1265" s="3038"/>
      <c r="BR1265" s="3038"/>
      <c r="BS1265" s="3038"/>
      <c r="BT1265" s="3038"/>
      <c r="BU1265" s="3038"/>
    </row>
    <row r="1266" spans="3:73">
      <c r="C1266" s="3038"/>
      <c r="D1266" s="3038"/>
      <c r="E1266" s="3038"/>
      <c r="H1266" s="3038"/>
      <c r="I1266" s="3038"/>
      <c r="J1266" s="3038"/>
      <c r="K1266" s="3038"/>
      <c r="M1266" s="3038"/>
      <c r="N1266" s="3038"/>
      <c r="O1266" s="3038"/>
      <c r="P1266" s="3038"/>
      <c r="Q1266" s="3038"/>
      <c r="R1266" s="3038"/>
      <c r="S1266" s="3038"/>
      <c r="T1266" s="3038"/>
      <c r="W1266" s="3038"/>
      <c r="X1266" s="3038"/>
      <c r="Y1266" s="3038"/>
      <c r="Z1266" s="3038"/>
      <c r="AA1266" s="3113"/>
      <c r="AB1266" s="3038"/>
      <c r="AC1266" s="3038"/>
      <c r="AD1266" s="3038"/>
      <c r="AE1266" s="3132"/>
      <c r="AF1266" s="3038"/>
      <c r="AG1266" s="3038"/>
      <c r="AH1266" s="3038"/>
      <c r="AK1266" s="3038"/>
      <c r="AL1266" s="3038"/>
      <c r="AM1266" s="3038"/>
      <c r="AN1266" s="3038"/>
      <c r="AO1266" s="3038"/>
      <c r="AP1266" s="3038"/>
      <c r="AQ1266" s="3038"/>
      <c r="AR1266" s="3038"/>
      <c r="AS1266" s="3038"/>
      <c r="AT1266" s="3038"/>
      <c r="AU1266" s="3038"/>
      <c r="AV1266" s="3038"/>
      <c r="AW1266" s="3038"/>
      <c r="AX1266" s="3038"/>
      <c r="AY1266" s="3038"/>
      <c r="AZ1266" s="3038"/>
      <c r="BA1266" s="3038"/>
      <c r="BB1266" s="3038"/>
      <c r="BC1266" s="3038"/>
      <c r="BD1266" s="3038"/>
      <c r="BE1266" s="3038"/>
      <c r="BF1266" s="3038"/>
      <c r="BG1266" s="3038"/>
      <c r="BH1266" s="3038"/>
      <c r="BI1266" s="3038"/>
      <c r="BJ1266" s="3038"/>
      <c r="BK1266" s="3038"/>
      <c r="BL1266" s="3038"/>
      <c r="BM1266" s="3038"/>
      <c r="BN1266" s="3038"/>
      <c r="BO1266" s="3038"/>
      <c r="BP1266" s="3038"/>
      <c r="BQ1266" s="3038"/>
      <c r="BR1266" s="3038"/>
      <c r="BS1266" s="3038"/>
      <c r="BT1266" s="3038"/>
      <c r="BU1266" s="3038"/>
    </row>
    <row r="1267" spans="3:73">
      <c r="C1267" s="3038"/>
      <c r="D1267" s="3038"/>
      <c r="E1267" s="3038"/>
      <c r="H1267" s="3038"/>
      <c r="I1267" s="3038"/>
      <c r="J1267" s="3038"/>
      <c r="K1267" s="3038"/>
      <c r="M1267" s="3038"/>
      <c r="N1267" s="3038"/>
      <c r="O1267" s="3038"/>
      <c r="P1267" s="3038"/>
      <c r="Q1267" s="3038"/>
      <c r="R1267" s="3038"/>
      <c r="S1267" s="3038"/>
      <c r="T1267" s="3038"/>
      <c r="W1267" s="3038"/>
      <c r="X1267" s="3038"/>
      <c r="Y1267" s="3038"/>
      <c r="Z1267" s="3038"/>
      <c r="AA1267" s="3113"/>
      <c r="AB1267" s="3038"/>
      <c r="AC1267" s="3038"/>
      <c r="AD1267" s="3038"/>
      <c r="AE1267" s="3132"/>
      <c r="AF1267" s="3038"/>
      <c r="AG1267" s="3038"/>
      <c r="AH1267" s="3038"/>
      <c r="AK1267" s="3038"/>
      <c r="AL1267" s="3038"/>
      <c r="AM1267" s="3038"/>
      <c r="AN1267" s="3038"/>
      <c r="AO1267" s="3038"/>
      <c r="AP1267" s="3038"/>
      <c r="AQ1267" s="3038"/>
      <c r="AR1267" s="3038"/>
      <c r="AS1267" s="3038"/>
      <c r="AT1267" s="3038"/>
      <c r="AU1267" s="3038"/>
      <c r="AV1267" s="3038"/>
      <c r="AW1267" s="3038"/>
      <c r="AX1267" s="3038"/>
      <c r="AY1267" s="3038"/>
      <c r="AZ1267" s="3038"/>
      <c r="BA1267" s="3038"/>
      <c r="BB1267" s="3038"/>
      <c r="BC1267" s="3038"/>
      <c r="BD1267" s="3038"/>
      <c r="BE1267" s="3038"/>
      <c r="BF1267" s="3038"/>
      <c r="BG1267" s="3038"/>
      <c r="BH1267" s="3038"/>
      <c r="BI1267" s="3038"/>
      <c r="BJ1267" s="3038"/>
      <c r="BK1267" s="3038"/>
      <c r="BL1267" s="3038"/>
      <c r="BM1267" s="3038"/>
      <c r="BN1267" s="3038"/>
      <c r="BO1267" s="3038"/>
      <c r="BP1267" s="3038"/>
      <c r="BQ1267" s="3038"/>
      <c r="BR1267" s="3038"/>
      <c r="BS1267" s="3038"/>
      <c r="BT1267" s="3038"/>
      <c r="BU1267" s="3038"/>
    </row>
    <row r="1268" spans="3:73">
      <c r="C1268" s="3038"/>
      <c r="D1268" s="3038"/>
      <c r="E1268" s="3038"/>
      <c r="H1268" s="3038"/>
      <c r="I1268" s="3038"/>
      <c r="J1268" s="3038"/>
      <c r="K1268" s="3038"/>
      <c r="M1268" s="3038"/>
      <c r="N1268" s="3038"/>
      <c r="O1268" s="3038"/>
      <c r="P1268" s="3038"/>
      <c r="Q1268" s="3038"/>
      <c r="R1268" s="3038"/>
      <c r="S1268" s="3038"/>
      <c r="T1268" s="3038"/>
      <c r="W1268" s="3038"/>
      <c r="X1268" s="3038"/>
      <c r="Y1268" s="3038"/>
      <c r="Z1268" s="3038"/>
      <c r="AA1268" s="3113"/>
      <c r="AB1268" s="3038"/>
      <c r="AC1268" s="3038"/>
      <c r="AD1268" s="3038"/>
      <c r="AE1268" s="3132"/>
      <c r="AF1268" s="3038"/>
      <c r="AG1268" s="3038"/>
      <c r="AH1268" s="3038"/>
      <c r="AK1268" s="3038"/>
      <c r="AL1268" s="3038"/>
      <c r="AM1268" s="3038"/>
      <c r="AN1268" s="3038"/>
      <c r="AO1268" s="3038"/>
      <c r="AP1268" s="3038"/>
      <c r="AQ1268" s="3038"/>
      <c r="AR1268" s="3038"/>
      <c r="AS1268" s="3038"/>
      <c r="AT1268" s="3038"/>
      <c r="AU1268" s="3038"/>
      <c r="AV1268" s="3038"/>
      <c r="AW1268" s="3038"/>
      <c r="AX1268" s="3038"/>
      <c r="AY1268" s="3038"/>
      <c r="AZ1268" s="3038"/>
      <c r="BA1268" s="3038"/>
      <c r="BB1268" s="3038"/>
      <c r="BC1268" s="3038"/>
      <c r="BD1268" s="3038"/>
      <c r="BE1268" s="3038"/>
      <c r="BF1268" s="3038"/>
      <c r="BG1268" s="3038"/>
      <c r="BH1268" s="3038"/>
      <c r="BI1268" s="3038"/>
      <c r="BJ1268" s="3038"/>
      <c r="BK1268" s="3038"/>
      <c r="BL1268" s="3038"/>
      <c r="BM1268" s="3038"/>
      <c r="BN1268" s="3038"/>
      <c r="BO1268" s="3038"/>
      <c r="BP1268" s="3038"/>
      <c r="BQ1268" s="3038"/>
      <c r="BR1268" s="3038"/>
      <c r="BS1268" s="3038"/>
      <c r="BT1268" s="3038"/>
      <c r="BU1268" s="3038"/>
    </row>
    <row r="1269" spans="3:73">
      <c r="C1269" s="3038"/>
      <c r="D1269" s="3038"/>
      <c r="E1269" s="3038"/>
      <c r="H1269" s="3038"/>
      <c r="I1269" s="3038"/>
      <c r="J1269" s="3038"/>
      <c r="K1269" s="3038"/>
      <c r="M1269" s="3038"/>
      <c r="N1269" s="3038"/>
      <c r="O1269" s="3038"/>
      <c r="P1269" s="3038"/>
      <c r="Q1269" s="3038"/>
      <c r="R1269" s="3038"/>
      <c r="S1269" s="3038"/>
      <c r="T1269" s="3038"/>
      <c r="W1269" s="3038"/>
      <c r="X1269" s="3038"/>
      <c r="Y1269" s="3038"/>
      <c r="Z1269" s="3038"/>
      <c r="AA1269" s="3113"/>
      <c r="AB1269" s="3038"/>
      <c r="AC1269" s="3038"/>
      <c r="AD1269" s="3038"/>
      <c r="AE1269" s="3132"/>
      <c r="AF1269" s="3038"/>
      <c r="AG1269" s="3038"/>
      <c r="AH1269" s="3038"/>
      <c r="AK1269" s="3038"/>
      <c r="AL1269" s="3038"/>
      <c r="AM1269" s="3038"/>
      <c r="AN1269" s="3038"/>
      <c r="AO1269" s="3038"/>
      <c r="AP1269" s="3038"/>
      <c r="AQ1269" s="3038"/>
      <c r="AR1269" s="3038"/>
      <c r="AS1269" s="3038"/>
      <c r="AT1269" s="3038"/>
      <c r="AU1269" s="3038"/>
      <c r="AV1269" s="3038"/>
      <c r="AW1269" s="3038"/>
      <c r="AX1269" s="3038"/>
      <c r="AY1269" s="3038"/>
      <c r="AZ1269" s="3038"/>
      <c r="BA1269" s="3038"/>
      <c r="BB1269" s="3038"/>
      <c r="BC1269" s="3038"/>
      <c r="BD1269" s="3038"/>
      <c r="BE1269" s="3038"/>
      <c r="BF1269" s="3038"/>
      <c r="BG1269" s="3038"/>
      <c r="BH1269" s="3038"/>
      <c r="BI1269" s="3038"/>
      <c r="BJ1269" s="3038"/>
      <c r="BK1269" s="3038"/>
      <c r="BL1269" s="3038"/>
      <c r="BM1269" s="3038"/>
      <c r="BN1269" s="3038"/>
      <c r="BO1269" s="3038"/>
      <c r="BP1269" s="3038"/>
      <c r="BQ1269" s="3038"/>
      <c r="BR1269" s="3038"/>
      <c r="BS1269" s="3038"/>
      <c r="BT1269" s="3038"/>
      <c r="BU1269" s="3038"/>
    </row>
    <row r="1270" spans="3:73">
      <c r="C1270" s="3038"/>
      <c r="D1270" s="3038"/>
      <c r="E1270" s="3038"/>
      <c r="H1270" s="3038"/>
      <c r="I1270" s="3038"/>
      <c r="J1270" s="3038"/>
      <c r="K1270" s="3038"/>
      <c r="M1270" s="3038"/>
      <c r="N1270" s="3038"/>
      <c r="O1270" s="3038"/>
      <c r="P1270" s="3038"/>
      <c r="Q1270" s="3038"/>
      <c r="R1270" s="3038"/>
      <c r="S1270" s="3038"/>
      <c r="T1270" s="3038"/>
      <c r="W1270" s="3038"/>
      <c r="X1270" s="3038"/>
      <c r="Y1270" s="3038"/>
      <c r="Z1270" s="3038"/>
      <c r="AA1270" s="3113"/>
      <c r="AB1270" s="3038"/>
      <c r="AC1270" s="3038"/>
      <c r="AD1270" s="3038"/>
      <c r="AE1270" s="3132"/>
      <c r="AF1270" s="3038"/>
      <c r="AG1270" s="3038"/>
      <c r="AH1270" s="3038"/>
      <c r="AK1270" s="3038"/>
      <c r="AL1270" s="3038"/>
      <c r="AM1270" s="3038"/>
      <c r="AN1270" s="3038"/>
      <c r="AO1270" s="3038"/>
      <c r="AP1270" s="3038"/>
      <c r="AQ1270" s="3038"/>
      <c r="AR1270" s="3038"/>
      <c r="AS1270" s="3038"/>
      <c r="AT1270" s="3038"/>
      <c r="AU1270" s="3038"/>
      <c r="AV1270" s="3038"/>
      <c r="AW1270" s="3038"/>
      <c r="AX1270" s="3038"/>
      <c r="AY1270" s="3038"/>
      <c r="AZ1270" s="3038"/>
      <c r="BA1270" s="3038"/>
      <c r="BB1270" s="3038"/>
      <c r="BC1270" s="3038"/>
      <c r="BD1270" s="3038"/>
      <c r="BE1270" s="3038"/>
      <c r="BF1270" s="3038"/>
      <c r="BG1270" s="3038"/>
      <c r="BH1270" s="3038"/>
      <c r="BI1270" s="3038"/>
      <c r="BJ1270" s="3038"/>
      <c r="BK1270" s="3038"/>
      <c r="BL1270" s="3038"/>
      <c r="BM1270" s="3038"/>
      <c r="BN1270" s="3038"/>
      <c r="BO1270" s="3038"/>
      <c r="BP1270" s="3038"/>
      <c r="BQ1270" s="3038"/>
      <c r="BR1270" s="3038"/>
      <c r="BS1270" s="3038"/>
      <c r="BT1270" s="3038"/>
      <c r="BU1270" s="3038"/>
    </row>
    <row r="1271" spans="3:73">
      <c r="C1271" s="3038"/>
      <c r="D1271" s="3038"/>
      <c r="E1271" s="3038"/>
      <c r="H1271" s="3038"/>
      <c r="I1271" s="3038"/>
      <c r="J1271" s="3038"/>
      <c r="K1271" s="3038"/>
      <c r="M1271" s="3038"/>
      <c r="N1271" s="3038"/>
      <c r="O1271" s="3038"/>
      <c r="P1271" s="3038"/>
      <c r="Q1271" s="3038"/>
      <c r="R1271" s="3038"/>
      <c r="S1271" s="3038"/>
      <c r="T1271" s="3038"/>
      <c r="W1271" s="3038"/>
      <c r="X1271" s="3038"/>
      <c r="Y1271" s="3038"/>
      <c r="Z1271" s="3038"/>
      <c r="AA1271" s="3113"/>
      <c r="AB1271" s="3038"/>
      <c r="AC1271" s="3038"/>
      <c r="AD1271" s="3038"/>
      <c r="AE1271" s="3132"/>
      <c r="AF1271" s="3038"/>
      <c r="AG1271" s="3038"/>
      <c r="AH1271" s="3038"/>
      <c r="AK1271" s="3038"/>
      <c r="AL1271" s="3038"/>
      <c r="AM1271" s="3038"/>
      <c r="AN1271" s="3038"/>
      <c r="AO1271" s="3038"/>
      <c r="AP1271" s="3038"/>
      <c r="AQ1271" s="3038"/>
      <c r="AR1271" s="3038"/>
      <c r="AS1271" s="3038"/>
      <c r="AT1271" s="3038"/>
      <c r="AU1271" s="3038"/>
      <c r="AV1271" s="3038"/>
      <c r="AW1271" s="3038"/>
      <c r="AX1271" s="3038"/>
      <c r="AY1271" s="3038"/>
      <c r="AZ1271" s="3038"/>
      <c r="BA1271" s="3038"/>
      <c r="BB1271" s="3038"/>
      <c r="BC1271" s="3038"/>
      <c r="BD1271" s="3038"/>
      <c r="BE1271" s="3038"/>
      <c r="BF1271" s="3038"/>
      <c r="BG1271" s="3038"/>
      <c r="BH1271" s="3038"/>
      <c r="BI1271" s="3038"/>
      <c r="BJ1271" s="3038"/>
      <c r="BK1271" s="3038"/>
      <c r="BL1271" s="3038"/>
      <c r="BM1271" s="3038"/>
      <c r="BN1271" s="3038"/>
      <c r="BO1271" s="3038"/>
      <c r="BP1271" s="3038"/>
      <c r="BQ1271" s="3038"/>
      <c r="BR1271" s="3038"/>
      <c r="BS1271" s="3038"/>
      <c r="BT1271" s="3038"/>
      <c r="BU1271" s="3038"/>
    </row>
    <row r="1272" spans="3:73">
      <c r="C1272" s="3038"/>
      <c r="D1272" s="3038"/>
      <c r="E1272" s="3038"/>
      <c r="H1272" s="3038"/>
      <c r="I1272" s="3038"/>
      <c r="J1272" s="3038"/>
      <c r="K1272" s="3038"/>
      <c r="M1272" s="3038"/>
      <c r="N1272" s="3038"/>
      <c r="O1272" s="3038"/>
      <c r="P1272" s="3038"/>
      <c r="Q1272" s="3038"/>
      <c r="R1272" s="3038"/>
      <c r="S1272" s="3038"/>
      <c r="T1272" s="3038"/>
      <c r="W1272" s="3038"/>
      <c r="X1272" s="3038"/>
      <c r="Y1272" s="3038"/>
      <c r="Z1272" s="3038"/>
      <c r="AA1272" s="3113"/>
      <c r="AB1272" s="3038"/>
      <c r="AC1272" s="3038"/>
      <c r="AD1272" s="3038"/>
      <c r="AE1272" s="3132"/>
      <c r="AF1272" s="3038"/>
      <c r="AG1272" s="3038"/>
      <c r="AH1272" s="3038"/>
      <c r="AK1272" s="3038"/>
      <c r="AL1272" s="3038"/>
      <c r="AM1272" s="3038"/>
      <c r="AN1272" s="3038"/>
      <c r="AO1272" s="3038"/>
      <c r="AP1272" s="3038"/>
      <c r="AQ1272" s="3038"/>
      <c r="AR1272" s="3038"/>
      <c r="AS1272" s="3038"/>
      <c r="AT1272" s="3038"/>
      <c r="AU1272" s="3038"/>
      <c r="AV1272" s="3038"/>
      <c r="AW1272" s="3038"/>
      <c r="AX1272" s="3038"/>
      <c r="AY1272" s="3038"/>
      <c r="AZ1272" s="3038"/>
      <c r="BA1272" s="3038"/>
      <c r="BB1272" s="3038"/>
      <c r="BC1272" s="3038"/>
      <c r="BD1272" s="3038"/>
      <c r="BE1272" s="3038"/>
      <c r="BF1272" s="3038"/>
      <c r="BG1272" s="3038"/>
      <c r="BH1272" s="3038"/>
      <c r="BI1272" s="3038"/>
      <c r="BJ1272" s="3038"/>
      <c r="BK1272" s="3038"/>
      <c r="BL1272" s="3038"/>
      <c r="BM1272" s="3038"/>
      <c r="BN1272" s="3038"/>
      <c r="BO1272" s="3038"/>
      <c r="BP1272" s="3038"/>
      <c r="BQ1272" s="3038"/>
      <c r="BR1272" s="3038"/>
      <c r="BS1272" s="3038"/>
      <c r="BT1272" s="3038"/>
      <c r="BU1272" s="3038"/>
    </row>
    <row r="1273" spans="3:73">
      <c r="C1273" s="3038"/>
      <c r="D1273" s="3038"/>
      <c r="E1273" s="3038"/>
      <c r="H1273" s="3038"/>
      <c r="I1273" s="3038"/>
      <c r="J1273" s="3038"/>
      <c r="K1273" s="3038"/>
      <c r="M1273" s="3038"/>
      <c r="N1273" s="3038"/>
      <c r="O1273" s="3038"/>
      <c r="P1273" s="3038"/>
      <c r="Q1273" s="3038"/>
      <c r="R1273" s="3038"/>
      <c r="S1273" s="3038"/>
      <c r="T1273" s="3038"/>
      <c r="W1273" s="3038"/>
      <c r="X1273" s="3038"/>
      <c r="Y1273" s="3038"/>
      <c r="Z1273" s="3038"/>
      <c r="AA1273" s="3113"/>
      <c r="AB1273" s="3038"/>
      <c r="AC1273" s="3038"/>
      <c r="AD1273" s="3038"/>
      <c r="AE1273" s="3132"/>
      <c r="AF1273" s="3038"/>
      <c r="AG1273" s="3038"/>
      <c r="AH1273" s="3038"/>
      <c r="AK1273" s="3038"/>
      <c r="AL1273" s="3038"/>
      <c r="AM1273" s="3038"/>
      <c r="AN1273" s="3038"/>
      <c r="AO1273" s="3038"/>
      <c r="AP1273" s="3038"/>
      <c r="AQ1273" s="3038"/>
      <c r="AR1273" s="3038"/>
      <c r="AS1273" s="3038"/>
      <c r="AT1273" s="3038"/>
      <c r="AU1273" s="3038"/>
      <c r="AV1273" s="3038"/>
      <c r="AW1273" s="3038"/>
      <c r="AX1273" s="3038"/>
      <c r="AY1273" s="3038"/>
      <c r="AZ1273" s="3038"/>
      <c r="BA1273" s="3038"/>
      <c r="BB1273" s="3038"/>
      <c r="BC1273" s="3038"/>
      <c r="BD1273" s="3038"/>
      <c r="BE1273" s="3038"/>
      <c r="BF1273" s="3038"/>
      <c r="BG1273" s="3038"/>
      <c r="BH1273" s="3038"/>
      <c r="BI1273" s="3038"/>
      <c r="BJ1273" s="3038"/>
      <c r="BK1273" s="3038"/>
      <c r="BL1273" s="3038"/>
      <c r="BM1273" s="3038"/>
      <c r="BN1273" s="3038"/>
      <c r="BO1273" s="3038"/>
      <c r="BP1273" s="3038"/>
      <c r="BQ1273" s="3038"/>
      <c r="BR1273" s="3038"/>
      <c r="BS1273" s="3038"/>
      <c r="BT1273" s="3038"/>
      <c r="BU1273" s="3038"/>
    </row>
    <row r="1274" spans="3:73">
      <c r="C1274" s="3038"/>
      <c r="D1274" s="3038"/>
      <c r="E1274" s="3038"/>
      <c r="H1274" s="3038"/>
      <c r="I1274" s="3038"/>
      <c r="J1274" s="3038"/>
      <c r="K1274" s="3038"/>
      <c r="M1274" s="3038"/>
      <c r="N1274" s="3038"/>
      <c r="O1274" s="3038"/>
      <c r="P1274" s="3038"/>
      <c r="Q1274" s="3038"/>
      <c r="R1274" s="3038"/>
      <c r="S1274" s="3038"/>
      <c r="T1274" s="3038"/>
      <c r="W1274" s="3038"/>
      <c r="X1274" s="3038"/>
      <c r="Y1274" s="3038"/>
      <c r="Z1274" s="3038"/>
      <c r="AA1274" s="3113"/>
      <c r="AB1274" s="3038"/>
      <c r="AC1274" s="3038"/>
      <c r="AD1274" s="3038"/>
      <c r="AE1274" s="3132"/>
      <c r="AF1274" s="3038"/>
      <c r="AG1274" s="3038"/>
      <c r="AH1274" s="3038"/>
      <c r="AK1274" s="3038"/>
      <c r="AL1274" s="3038"/>
      <c r="AM1274" s="3038"/>
      <c r="AN1274" s="3038"/>
      <c r="AO1274" s="3038"/>
      <c r="AP1274" s="3038"/>
      <c r="AQ1274" s="3038"/>
      <c r="AR1274" s="3038"/>
      <c r="AS1274" s="3038"/>
      <c r="AT1274" s="3038"/>
      <c r="AU1274" s="3038"/>
      <c r="AV1274" s="3038"/>
      <c r="AW1274" s="3038"/>
      <c r="AX1274" s="3038"/>
      <c r="AY1274" s="3038"/>
      <c r="AZ1274" s="3038"/>
      <c r="BA1274" s="3038"/>
      <c r="BB1274" s="3038"/>
      <c r="BC1274" s="3038"/>
      <c r="BD1274" s="3038"/>
      <c r="BE1274" s="3038"/>
      <c r="BF1274" s="3038"/>
      <c r="BG1274" s="3038"/>
      <c r="BH1274" s="3038"/>
      <c r="BI1274" s="3038"/>
      <c r="BJ1274" s="3038"/>
      <c r="BK1274" s="3038"/>
      <c r="BL1274" s="3038"/>
      <c r="BM1274" s="3038"/>
      <c r="BN1274" s="3038"/>
      <c r="BO1274" s="3038"/>
      <c r="BP1274" s="3038"/>
      <c r="BQ1274" s="3038"/>
      <c r="BR1274" s="3038"/>
      <c r="BS1274" s="3038"/>
      <c r="BT1274" s="3038"/>
      <c r="BU1274" s="3038"/>
    </row>
    <row r="1275" spans="3:73">
      <c r="C1275" s="3038"/>
      <c r="D1275" s="3038"/>
      <c r="E1275" s="3038"/>
      <c r="H1275" s="3038"/>
      <c r="I1275" s="3038"/>
      <c r="J1275" s="3038"/>
      <c r="K1275" s="3038"/>
      <c r="M1275" s="3038"/>
      <c r="N1275" s="3038"/>
      <c r="O1275" s="3038"/>
      <c r="P1275" s="3038"/>
      <c r="Q1275" s="3038"/>
      <c r="R1275" s="3038"/>
      <c r="S1275" s="3038"/>
      <c r="T1275" s="3038"/>
      <c r="W1275" s="3038"/>
      <c r="X1275" s="3038"/>
      <c r="Y1275" s="3038"/>
      <c r="Z1275" s="3038"/>
      <c r="AA1275" s="3113"/>
      <c r="AB1275" s="3038"/>
      <c r="AC1275" s="3038"/>
      <c r="AD1275" s="3038"/>
      <c r="AE1275" s="3132"/>
      <c r="AF1275" s="3038"/>
      <c r="AG1275" s="3038"/>
      <c r="AH1275" s="3038"/>
      <c r="AK1275" s="3038"/>
      <c r="AL1275" s="3038"/>
      <c r="AM1275" s="3038"/>
      <c r="AN1275" s="3038"/>
      <c r="AO1275" s="3038"/>
      <c r="AP1275" s="3038"/>
      <c r="AQ1275" s="3038"/>
      <c r="AR1275" s="3038"/>
      <c r="AS1275" s="3038"/>
      <c r="AT1275" s="3038"/>
      <c r="AU1275" s="3038"/>
      <c r="AV1275" s="3038"/>
      <c r="AW1275" s="3038"/>
      <c r="AX1275" s="3038"/>
      <c r="AY1275" s="3038"/>
      <c r="AZ1275" s="3038"/>
      <c r="BA1275" s="3038"/>
      <c r="BB1275" s="3038"/>
      <c r="BC1275" s="3038"/>
      <c r="BD1275" s="3038"/>
      <c r="BE1275" s="3038"/>
      <c r="BF1275" s="3038"/>
      <c r="BG1275" s="3038"/>
      <c r="BH1275" s="3038"/>
      <c r="BI1275" s="3038"/>
      <c r="BJ1275" s="3038"/>
      <c r="BK1275" s="3038"/>
      <c r="BL1275" s="3038"/>
      <c r="BM1275" s="3038"/>
      <c r="BN1275" s="3038"/>
      <c r="BO1275" s="3038"/>
      <c r="BP1275" s="3038"/>
      <c r="BQ1275" s="3038"/>
      <c r="BR1275" s="3038"/>
      <c r="BS1275" s="3038"/>
      <c r="BT1275" s="3038"/>
      <c r="BU1275" s="3038"/>
    </row>
    <row r="1276" spans="3:73">
      <c r="C1276" s="3038"/>
      <c r="D1276" s="3038"/>
      <c r="E1276" s="3038"/>
      <c r="H1276" s="3038"/>
      <c r="I1276" s="3038"/>
      <c r="J1276" s="3038"/>
      <c r="K1276" s="3038"/>
      <c r="M1276" s="3038"/>
      <c r="N1276" s="3038"/>
      <c r="O1276" s="3038"/>
      <c r="P1276" s="3038"/>
      <c r="Q1276" s="3038"/>
      <c r="R1276" s="3038"/>
      <c r="S1276" s="3038"/>
      <c r="T1276" s="3038"/>
      <c r="W1276" s="3038"/>
      <c r="X1276" s="3038"/>
      <c r="Y1276" s="3038"/>
      <c r="Z1276" s="3038"/>
      <c r="AA1276" s="3113"/>
      <c r="AB1276" s="3038"/>
      <c r="AC1276" s="3038"/>
      <c r="AD1276" s="3038"/>
      <c r="AE1276" s="3132"/>
      <c r="AF1276" s="3038"/>
      <c r="AG1276" s="3038"/>
      <c r="AH1276" s="3038"/>
      <c r="AK1276" s="3038"/>
      <c r="AL1276" s="3038"/>
      <c r="AM1276" s="3038"/>
      <c r="AN1276" s="3038"/>
      <c r="AO1276" s="3038"/>
      <c r="AP1276" s="3038"/>
      <c r="AQ1276" s="3038"/>
      <c r="AR1276" s="3038"/>
      <c r="AS1276" s="3038"/>
      <c r="AT1276" s="3038"/>
      <c r="AU1276" s="3038"/>
      <c r="AV1276" s="3038"/>
      <c r="AW1276" s="3038"/>
      <c r="AX1276" s="3038"/>
      <c r="AY1276" s="3038"/>
      <c r="AZ1276" s="3038"/>
      <c r="BA1276" s="3038"/>
      <c r="BB1276" s="3038"/>
      <c r="BC1276" s="3038"/>
      <c r="BD1276" s="3038"/>
      <c r="BE1276" s="3038"/>
      <c r="BF1276" s="3038"/>
      <c r="BG1276" s="3038"/>
      <c r="BH1276" s="3038"/>
      <c r="BI1276" s="3038"/>
      <c r="BJ1276" s="3038"/>
      <c r="BK1276" s="3038"/>
      <c r="BL1276" s="3038"/>
      <c r="BM1276" s="3038"/>
      <c r="BN1276" s="3038"/>
      <c r="BO1276" s="3038"/>
      <c r="BP1276" s="3038"/>
      <c r="BQ1276" s="3038"/>
      <c r="BR1276" s="3038"/>
      <c r="BS1276" s="3038"/>
      <c r="BT1276" s="3038"/>
      <c r="BU1276" s="3038"/>
    </row>
    <row r="1277" spans="3:73">
      <c r="C1277" s="3038"/>
      <c r="D1277" s="3038"/>
      <c r="E1277" s="3038"/>
      <c r="H1277" s="3038"/>
      <c r="I1277" s="3038"/>
      <c r="J1277" s="3038"/>
      <c r="K1277" s="3038"/>
      <c r="M1277" s="3038"/>
      <c r="N1277" s="3038"/>
      <c r="O1277" s="3038"/>
      <c r="P1277" s="3038"/>
      <c r="Q1277" s="3038"/>
      <c r="R1277" s="3038"/>
      <c r="S1277" s="3038"/>
      <c r="T1277" s="3038"/>
      <c r="W1277" s="3038"/>
      <c r="X1277" s="3038"/>
      <c r="Y1277" s="3038"/>
      <c r="Z1277" s="3038"/>
      <c r="AA1277" s="3113"/>
      <c r="AB1277" s="3038"/>
      <c r="AC1277" s="3038"/>
      <c r="AD1277" s="3038"/>
      <c r="AE1277" s="3132"/>
      <c r="AF1277" s="3038"/>
      <c r="AG1277" s="3038"/>
      <c r="AH1277" s="3038"/>
      <c r="AK1277" s="3038"/>
      <c r="AL1277" s="3038"/>
      <c r="AM1277" s="3038"/>
      <c r="AN1277" s="3038"/>
      <c r="AO1277" s="3038"/>
      <c r="AP1277" s="3038"/>
      <c r="AQ1277" s="3038"/>
      <c r="AR1277" s="3038"/>
      <c r="AS1277" s="3038"/>
      <c r="AT1277" s="3038"/>
      <c r="AU1277" s="3038"/>
      <c r="AV1277" s="3038"/>
      <c r="AW1277" s="3038"/>
      <c r="AX1277" s="3038"/>
      <c r="AY1277" s="3038"/>
      <c r="AZ1277" s="3038"/>
      <c r="BA1277" s="3038"/>
      <c r="BB1277" s="3038"/>
      <c r="BC1277" s="3038"/>
      <c r="BD1277" s="3038"/>
      <c r="BE1277" s="3038"/>
      <c r="BF1277" s="3038"/>
      <c r="BG1277" s="3038"/>
      <c r="BH1277" s="3038"/>
      <c r="BI1277" s="3038"/>
      <c r="BJ1277" s="3038"/>
      <c r="BK1277" s="3038"/>
      <c r="BL1277" s="3038"/>
      <c r="BM1277" s="3038"/>
      <c r="BN1277" s="3038"/>
      <c r="BO1277" s="3038"/>
      <c r="BP1277" s="3038"/>
      <c r="BQ1277" s="3038"/>
      <c r="BR1277" s="3038"/>
      <c r="BS1277" s="3038"/>
      <c r="BT1277" s="3038"/>
      <c r="BU1277" s="3038"/>
    </row>
    <row r="1278" spans="3:73">
      <c r="C1278" s="3038"/>
      <c r="D1278" s="3038"/>
      <c r="E1278" s="3038"/>
      <c r="H1278" s="3038"/>
      <c r="I1278" s="3038"/>
      <c r="J1278" s="3038"/>
      <c r="K1278" s="3038"/>
      <c r="M1278" s="3038"/>
      <c r="N1278" s="3038"/>
      <c r="O1278" s="3038"/>
      <c r="P1278" s="3038"/>
      <c r="Q1278" s="3038"/>
      <c r="R1278" s="3038"/>
      <c r="S1278" s="3038"/>
      <c r="T1278" s="3038"/>
      <c r="W1278" s="3038"/>
      <c r="X1278" s="3038"/>
      <c r="Y1278" s="3038"/>
      <c r="Z1278" s="3038"/>
      <c r="AA1278" s="3113"/>
      <c r="AB1278" s="3038"/>
      <c r="AC1278" s="3038"/>
      <c r="AD1278" s="3038"/>
      <c r="AE1278" s="3132"/>
      <c r="AF1278" s="3038"/>
      <c r="AG1278" s="3038"/>
      <c r="AH1278" s="3038"/>
      <c r="AK1278" s="3038"/>
      <c r="AL1278" s="3038"/>
      <c r="AM1278" s="3038"/>
      <c r="AN1278" s="3038"/>
      <c r="AO1278" s="3038"/>
      <c r="AP1278" s="3038"/>
      <c r="AQ1278" s="3038"/>
      <c r="AR1278" s="3038"/>
      <c r="AS1278" s="3038"/>
      <c r="AT1278" s="3038"/>
      <c r="AU1278" s="3038"/>
      <c r="AV1278" s="3038"/>
      <c r="AW1278" s="3038"/>
      <c r="AX1278" s="3038"/>
      <c r="AY1278" s="3038"/>
      <c r="AZ1278" s="3038"/>
      <c r="BA1278" s="3038"/>
      <c r="BB1278" s="3038"/>
      <c r="BC1278" s="3038"/>
      <c r="BD1278" s="3038"/>
      <c r="BE1278" s="3038"/>
      <c r="BF1278" s="3038"/>
      <c r="BG1278" s="3038"/>
      <c r="BH1278" s="3038"/>
      <c r="BI1278" s="3038"/>
      <c r="BJ1278" s="3038"/>
      <c r="BK1278" s="3038"/>
      <c r="BL1278" s="3038"/>
      <c r="BM1278" s="3038"/>
      <c r="BN1278" s="3038"/>
      <c r="BO1278" s="3038"/>
      <c r="BP1278" s="3038"/>
      <c r="BQ1278" s="3038"/>
      <c r="BR1278" s="3038"/>
      <c r="BS1278" s="3038"/>
      <c r="BT1278" s="3038"/>
      <c r="BU1278" s="3038"/>
    </row>
    <row r="1279" spans="3:73">
      <c r="C1279" s="3038"/>
      <c r="D1279" s="3038"/>
      <c r="E1279" s="3038"/>
      <c r="H1279" s="3038"/>
      <c r="I1279" s="3038"/>
      <c r="J1279" s="3038"/>
      <c r="K1279" s="3038"/>
      <c r="M1279" s="3038"/>
      <c r="N1279" s="3038"/>
      <c r="O1279" s="3038"/>
      <c r="P1279" s="3038"/>
      <c r="Q1279" s="3038"/>
      <c r="R1279" s="3038"/>
      <c r="S1279" s="3038"/>
      <c r="T1279" s="3038"/>
      <c r="W1279" s="3038"/>
      <c r="X1279" s="3038"/>
      <c r="Y1279" s="3038"/>
      <c r="Z1279" s="3038"/>
      <c r="AA1279" s="3113"/>
      <c r="AB1279" s="3038"/>
      <c r="AC1279" s="3038"/>
      <c r="AD1279" s="3038"/>
      <c r="AE1279" s="3132"/>
      <c r="AF1279" s="3038"/>
      <c r="AG1279" s="3038"/>
      <c r="AH1279" s="3038"/>
      <c r="AK1279" s="3038"/>
      <c r="AL1279" s="3038"/>
      <c r="AM1279" s="3038"/>
      <c r="AN1279" s="3038"/>
      <c r="AO1279" s="3038"/>
      <c r="AP1279" s="3038"/>
      <c r="AQ1279" s="3038"/>
      <c r="AR1279" s="3038"/>
      <c r="AS1279" s="3038"/>
      <c r="AT1279" s="3038"/>
      <c r="AU1279" s="3038"/>
      <c r="AV1279" s="3038"/>
      <c r="AW1279" s="3038"/>
      <c r="AX1279" s="3038"/>
      <c r="AY1279" s="3038"/>
      <c r="AZ1279" s="3038"/>
      <c r="BA1279" s="3038"/>
      <c r="BB1279" s="3038"/>
      <c r="BC1279" s="3038"/>
      <c r="BD1279" s="3038"/>
      <c r="BE1279" s="3038"/>
      <c r="BF1279" s="3038"/>
      <c r="BG1279" s="3038"/>
      <c r="BH1279" s="3038"/>
      <c r="BI1279" s="3038"/>
      <c r="BJ1279" s="3038"/>
      <c r="BK1279" s="3038"/>
      <c r="BL1279" s="3038"/>
      <c r="BM1279" s="3038"/>
      <c r="BN1279" s="3038"/>
      <c r="BO1279" s="3038"/>
      <c r="BP1279" s="3038"/>
      <c r="BQ1279" s="3038"/>
      <c r="BR1279" s="3038"/>
      <c r="BS1279" s="3038"/>
      <c r="BT1279" s="3038"/>
      <c r="BU1279" s="3038"/>
    </row>
    <row r="1280" spans="3:73">
      <c r="C1280" s="3038"/>
      <c r="D1280" s="3038"/>
      <c r="E1280" s="3038"/>
      <c r="H1280" s="3038"/>
      <c r="I1280" s="3038"/>
      <c r="J1280" s="3038"/>
      <c r="K1280" s="3038"/>
      <c r="M1280" s="3038"/>
      <c r="N1280" s="3038"/>
      <c r="O1280" s="3038"/>
      <c r="P1280" s="3038"/>
      <c r="Q1280" s="3038"/>
      <c r="R1280" s="3038"/>
      <c r="S1280" s="3038"/>
      <c r="T1280" s="3038"/>
      <c r="W1280" s="3038"/>
      <c r="X1280" s="3038"/>
      <c r="Y1280" s="3038"/>
      <c r="Z1280" s="3038"/>
      <c r="AA1280" s="3113"/>
      <c r="AB1280" s="3038"/>
      <c r="AC1280" s="3038"/>
      <c r="AD1280" s="3038"/>
      <c r="AE1280" s="3132"/>
      <c r="AF1280" s="3038"/>
      <c r="AG1280" s="3038"/>
      <c r="AH1280" s="3038"/>
      <c r="AK1280" s="3038"/>
      <c r="AL1280" s="3038"/>
      <c r="AM1280" s="3038"/>
      <c r="AN1280" s="3038"/>
      <c r="AO1280" s="3038"/>
      <c r="AP1280" s="3038"/>
      <c r="AQ1280" s="3038"/>
      <c r="AR1280" s="3038"/>
      <c r="AS1280" s="3038"/>
      <c r="AT1280" s="3038"/>
      <c r="AU1280" s="3038"/>
      <c r="AV1280" s="3038"/>
      <c r="AW1280" s="3038"/>
      <c r="AX1280" s="3038"/>
      <c r="AY1280" s="3038"/>
      <c r="AZ1280" s="3038"/>
      <c r="BA1280" s="3038"/>
      <c r="BB1280" s="3038"/>
      <c r="BC1280" s="3038"/>
      <c r="BD1280" s="3038"/>
      <c r="BE1280" s="3038"/>
      <c r="BF1280" s="3038"/>
      <c r="BG1280" s="3038"/>
      <c r="BH1280" s="3038"/>
      <c r="BI1280" s="3038"/>
      <c r="BJ1280" s="3038"/>
      <c r="BK1280" s="3038"/>
      <c r="BL1280" s="3038"/>
      <c r="BM1280" s="3038"/>
      <c r="BN1280" s="3038"/>
      <c r="BO1280" s="3038"/>
      <c r="BP1280" s="3038"/>
      <c r="BQ1280" s="3038"/>
      <c r="BR1280" s="3038"/>
      <c r="BS1280" s="3038"/>
      <c r="BT1280" s="3038"/>
      <c r="BU1280" s="3038"/>
    </row>
    <row r="1281" spans="3:73">
      <c r="C1281" s="3038"/>
      <c r="D1281" s="3038"/>
      <c r="E1281" s="3038"/>
      <c r="H1281" s="3038"/>
      <c r="I1281" s="3038"/>
      <c r="J1281" s="3038"/>
      <c r="K1281" s="3038"/>
      <c r="M1281" s="3038"/>
      <c r="N1281" s="3038"/>
      <c r="O1281" s="3038"/>
      <c r="P1281" s="3038"/>
      <c r="Q1281" s="3038"/>
      <c r="R1281" s="3038"/>
      <c r="S1281" s="3038"/>
      <c r="T1281" s="3038"/>
      <c r="W1281" s="3038"/>
      <c r="X1281" s="3038"/>
      <c r="Y1281" s="3038"/>
      <c r="Z1281" s="3038"/>
      <c r="AA1281" s="3113"/>
      <c r="AB1281" s="3038"/>
      <c r="AC1281" s="3038"/>
      <c r="AD1281" s="3038"/>
      <c r="AE1281" s="3132"/>
      <c r="AF1281" s="3038"/>
      <c r="AG1281" s="3038"/>
      <c r="AH1281" s="3038"/>
      <c r="AK1281" s="3038"/>
      <c r="AL1281" s="3038"/>
      <c r="AM1281" s="3038"/>
      <c r="AN1281" s="3038"/>
      <c r="AO1281" s="3038"/>
      <c r="AP1281" s="3038"/>
      <c r="AQ1281" s="3038"/>
      <c r="AR1281" s="3038"/>
      <c r="AS1281" s="3038"/>
      <c r="AT1281" s="3038"/>
      <c r="AU1281" s="3038"/>
      <c r="AV1281" s="3038"/>
      <c r="AW1281" s="3038"/>
      <c r="AX1281" s="3038"/>
      <c r="AY1281" s="3038"/>
      <c r="AZ1281" s="3038"/>
      <c r="BA1281" s="3038"/>
      <c r="BB1281" s="3038"/>
      <c r="BC1281" s="3038"/>
      <c r="BD1281" s="3038"/>
      <c r="BE1281" s="3038"/>
      <c r="BF1281" s="3038"/>
      <c r="BG1281" s="3038"/>
      <c r="BH1281" s="3038"/>
      <c r="BI1281" s="3038"/>
      <c r="BJ1281" s="3038"/>
      <c r="BK1281" s="3038"/>
      <c r="BL1281" s="3038"/>
      <c r="BM1281" s="3038"/>
      <c r="BN1281" s="3038"/>
      <c r="BO1281" s="3038"/>
      <c r="BP1281" s="3038"/>
      <c r="BQ1281" s="3038"/>
      <c r="BR1281" s="3038"/>
      <c r="BS1281" s="3038"/>
      <c r="BT1281" s="3038"/>
      <c r="BU1281" s="3038"/>
    </row>
    <row r="1282" spans="3:73">
      <c r="C1282" s="3038"/>
      <c r="D1282" s="3038"/>
      <c r="E1282" s="3038"/>
      <c r="H1282" s="3038"/>
      <c r="I1282" s="3038"/>
      <c r="J1282" s="3038"/>
      <c r="K1282" s="3038"/>
      <c r="M1282" s="3038"/>
      <c r="N1282" s="3038"/>
      <c r="O1282" s="3038"/>
      <c r="P1282" s="3038"/>
      <c r="Q1282" s="3038"/>
      <c r="R1282" s="3038"/>
      <c r="S1282" s="3038"/>
      <c r="T1282" s="3038"/>
      <c r="W1282" s="3038"/>
      <c r="X1282" s="3038"/>
      <c r="Y1282" s="3038"/>
      <c r="Z1282" s="3038"/>
      <c r="AA1282" s="3113"/>
      <c r="AB1282" s="3038"/>
      <c r="AC1282" s="3038"/>
      <c r="AD1282" s="3038"/>
      <c r="AE1282" s="3132"/>
      <c r="AF1282" s="3038"/>
      <c r="AG1282" s="3038"/>
      <c r="AH1282" s="3038"/>
      <c r="AK1282" s="3038"/>
      <c r="AL1282" s="3038"/>
      <c r="AM1282" s="3038"/>
      <c r="AN1282" s="3038"/>
      <c r="AO1282" s="3038"/>
      <c r="AP1282" s="3038"/>
      <c r="AQ1282" s="3038"/>
      <c r="AR1282" s="3038"/>
      <c r="AS1282" s="3038"/>
      <c r="AT1282" s="3038"/>
      <c r="AU1282" s="3038"/>
      <c r="AV1282" s="3038"/>
      <c r="AW1282" s="3038"/>
      <c r="AX1282" s="3038"/>
      <c r="AY1282" s="3038"/>
      <c r="AZ1282" s="3038"/>
      <c r="BA1282" s="3038"/>
      <c r="BB1282" s="3038"/>
      <c r="BC1282" s="3038"/>
      <c r="BD1282" s="3038"/>
      <c r="BE1282" s="3038"/>
      <c r="BF1282" s="3038"/>
      <c r="BG1282" s="3038"/>
      <c r="BH1282" s="3038"/>
      <c r="BI1282" s="3038"/>
      <c r="BJ1282" s="3038"/>
      <c r="BK1282" s="3038"/>
      <c r="BL1282" s="3038"/>
      <c r="BM1282" s="3038"/>
      <c r="BN1282" s="3038"/>
      <c r="BO1282" s="3038"/>
      <c r="BP1282" s="3038"/>
      <c r="BQ1282" s="3038"/>
      <c r="BR1282" s="3038"/>
      <c r="BS1282" s="3038"/>
      <c r="BT1282" s="3038"/>
      <c r="BU1282" s="3038"/>
    </row>
    <row r="1283" spans="3:73">
      <c r="C1283" s="3038"/>
      <c r="D1283" s="3038"/>
      <c r="E1283" s="3038"/>
      <c r="H1283" s="3038"/>
      <c r="I1283" s="3038"/>
      <c r="J1283" s="3038"/>
      <c r="K1283" s="3038"/>
      <c r="M1283" s="3038"/>
      <c r="N1283" s="3038"/>
      <c r="O1283" s="3038"/>
      <c r="P1283" s="3038"/>
      <c r="Q1283" s="3038"/>
      <c r="R1283" s="3038"/>
      <c r="S1283" s="3038"/>
      <c r="T1283" s="3038"/>
      <c r="W1283" s="3038"/>
      <c r="X1283" s="3038"/>
      <c r="Y1283" s="3038"/>
      <c r="Z1283" s="3038"/>
      <c r="AA1283" s="3113"/>
      <c r="AB1283" s="3038"/>
      <c r="AC1283" s="3038"/>
      <c r="AD1283" s="3038"/>
      <c r="AE1283" s="3132"/>
      <c r="AF1283" s="3038"/>
      <c r="AG1283" s="3038"/>
      <c r="AH1283" s="3038"/>
      <c r="AK1283" s="3038"/>
      <c r="AL1283" s="3038"/>
      <c r="AM1283" s="3038"/>
      <c r="AN1283" s="3038"/>
      <c r="AO1283" s="3038"/>
      <c r="AP1283" s="3038"/>
      <c r="AQ1283" s="3038"/>
      <c r="AR1283" s="3038"/>
      <c r="AS1283" s="3038"/>
      <c r="AT1283" s="3038"/>
      <c r="AU1283" s="3038"/>
      <c r="AV1283" s="3038"/>
      <c r="AW1283" s="3038"/>
      <c r="AX1283" s="3038"/>
      <c r="AY1283" s="3038"/>
      <c r="AZ1283" s="3038"/>
      <c r="BA1283" s="3038"/>
      <c r="BB1283" s="3038"/>
      <c r="BC1283" s="3038"/>
      <c r="BD1283" s="3038"/>
      <c r="BE1283" s="3038"/>
      <c r="BF1283" s="3038"/>
      <c r="BG1283" s="3038"/>
      <c r="BH1283" s="3038"/>
      <c r="BI1283" s="3038"/>
      <c r="BJ1283" s="3038"/>
      <c r="BK1283" s="3038"/>
      <c r="BL1283" s="3038"/>
      <c r="BM1283" s="3038"/>
      <c r="BN1283" s="3038"/>
      <c r="BO1283" s="3038"/>
      <c r="BP1283" s="3038"/>
      <c r="BQ1283" s="3038"/>
      <c r="BR1283" s="3038"/>
      <c r="BS1283" s="3038"/>
      <c r="BT1283" s="3038"/>
      <c r="BU1283" s="3038"/>
    </row>
    <row r="1284" spans="3:73">
      <c r="C1284" s="3038"/>
      <c r="D1284" s="3038"/>
      <c r="E1284" s="3038"/>
      <c r="H1284" s="3038"/>
      <c r="I1284" s="3038"/>
      <c r="J1284" s="3038"/>
      <c r="K1284" s="3038"/>
      <c r="M1284" s="3038"/>
      <c r="N1284" s="3038"/>
      <c r="O1284" s="3038"/>
      <c r="P1284" s="3038"/>
      <c r="Q1284" s="3038"/>
      <c r="R1284" s="3038"/>
      <c r="S1284" s="3038"/>
      <c r="T1284" s="3038"/>
      <c r="W1284" s="3038"/>
      <c r="X1284" s="3038"/>
      <c r="Y1284" s="3038"/>
      <c r="Z1284" s="3038"/>
      <c r="AA1284" s="3113"/>
      <c r="AB1284" s="3038"/>
      <c r="AC1284" s="3038"/>
      <c r="AD1284" s="3038"/>
      <c r="AE1284" s="3132"/>
      <c r="AF1284" s="3038"/>
      <c r="AG1284" s="3038"/>
      <c r="AH1284" s="3038"/>
      <c r="AK1284" s="3038"/>
      <c r="AL1284" s="3038"/>
      <c r="AM1284" s="3038"/>
      <c r="AN1284" s="3038"/>
      <c r="AO1284" s="3038"/>
      <c r="AP1284" s="3038"/>
      <c r="AQ1284" s="3038"/>
      <c r="AR1284" s="3038"/>
      <c r="AS1284" s="3038"/>
      <c r="AT1284" s="3038"/>
      <c r="AU1284" s="3038"/>
      <c r="AV1284" s="3038"/>
      <c r="AW1284" s="3038"/>
      <c r="AX1284" s="3038"/>
      <c r="AY1284" s="3038"/>
      <c r="AZ1284" s="3038"/>
      <c r="BA1284" s="3038"/>
      <c r="BB1284" s="3038"/>
      <c r="BC1284" s="3038"/>
      <c r="BD1284" s="3038"/>
      <c r="BE1284" s="3038"/>
      <c r="BF1284" s="3038"/>
      <c r="BG1284" s="3038"/>
      <c r="BH1284" s="3038"/>
      <c r="BI1284" s="3038"/>
      <c r="BJ1284" s="3038"/>
      <c r="BK1284" s="3038"/>
      <c r="BL1284" s="3038"/>
      <c r="BM1284" s="3038"/>
      <c r="BN1284" s="3038"/>
      <c r="BO1284" s="3038"/>
      <c r="BP1284" s="3038"/>
      <c r="BQ1284" s="3038"/>
      <c r="BR1284" s="3038"/>
      <c r="BS1284" s="3038"/>
      <c r="BT1284" s="3038"/>
      <c r="BU1284" s="3038"/>
    </row>
    <row r="1285" spans="3:73">
      <c r="C1285" s="3038"/>
      <c r="D1285" s="3038"/>
      <c r="E1285" s="3038"/>
      <c r="H1285" s="3038"/>
      <c r="I1285" s="3038"/>
      <c r="J1285" s="3038"/>
      <c r="K1285" s="3038"/>
      <c r="M1285" s="3038"/>
      <c r="N1285" s="3038"/>
      <c r="O1285" s="3038"/>
      <c r="P1285" s="3038"/>
      <c r="Q1285" s="3038"/>
      <c r="R1285" s="3038"/>
      <c r="S1285" s="3038"/>
      <c r="T1285" s="3038"/>
      <c r="W1285" s="3038"/>
      <c r="X1285" s="3038"/>
      <c r="Y1285" s="3038"/>
      <c r="Z1285" s="3038"/>
      <c r="AA1285" s="3113"/>
      <c r="AB1285" s="3038"/>
      <c r="AC1285" s="3038"/>
      <c r="AD1285" s="3038"/>
      <c r="AE1285" s="3132"/>
      <c r="AF1285" s="3038"/>
      <c r="AG1285" s="3038"/>
      <c r="AH1285" s="3038"/>
      <c r="AK1285" s="3038"/>
      <c r="AL1285" s="3038"/>
      <c r="AM1285" s="3038"/>
      <c r="AN1285" s="3038"/>
      <c r="AO1285" s="3038"/>
      <c r="AP1285" s="3038"/>
      <c r="AQ1285" s="3038"/>
      <c r="AR1285" s="3038"/>
      <c r="AS1285" s="3038"/>
      <c r="AT1285" s="3038"/>
      <c r="AU1285" s="3038"/>
      <c r="AV1285" s="3038"/>
      <c r="AW1285" s="3038"/>
      <c r="AX1285" s="3038"/>
      <c r="AY1285" s="3038"/>
      <c r="AZ1285" s="3038"/>
      <c r="BA1285" s="3038"/>
      <c r="BB1285" s="3038"/>
      <c r="BC1285" s="3038"/>
      <c r="BD1285" s="3038"/>
      <c r="BE1285" s="3038"/>
      <c r="BF1285" s="3038"/>
      <c r="BG1285" s="3038"/>
      <c r="BH1285" s="3038"/>
      <c r="BI1285" s="3038"/>
      <c r="BJ1285" s="3038"/>
      <c r="BK1285" s="3038"/>
      <c r="BL1285" s="3038"/>
      <c r="BM1285" s="3038"/>
      <c r="BN1285" s="3038"/>
      <c r="BO1285" s="3038"/>
      <c r="BP1285" s="3038"/>
      <c r="BQ1285" s="3038"/>
      <c r="BR1285" s="3038"/>
      <c r="BS1285" s="3038"/>
      <c r="BT1285" s="3038"/>
      <c r="BU1285" s="3038"/>
    </row>
    <row r="1286" spans="3:73">
      <c r="C1286" s="3038"/>
      <c r="D1286" s="3038"/>
      <c r="E1286" s="3038"/>
      <c r="H1286" s="3038"/>
      <c r="I1286" s="3038"/>
      <c r="J1286" s="3038"/>
      <c r="K1286" s="3038"/>
      <c r="M1286" s="3038"/>
      <c r="N1286" s="3038"/>
      <c r="O1286" s="3038"/>
      <c r="P1286" s="3038"/>
      <c r="Q1286" s="3038"/>
      <c r="R1286" s="3038"/>
      <c r="S1286" s="3038"/>
      <c r="T1286" s="3038"/>
      <c r="W1286" s="3038"/>
      <c r="X1286" s="3038"/>
      <c r="Y1286" s="3038"/>
      <c r="Z1286" s="3038"/>
      <c r="AA1286" s="3113"/>
      <c r="AB1286" s="3038"/>
      <c r="AC1286" s="3038"/>
      <c r="AD1286" s="3038"/>
      <c r="AE1286" s="3132"/>
      <c r="AF1286" s="3038"/>
      <c r="AG1286" s="3038"/>
      <c r="AH1286" s="3038"/>
      <c r="AK1286" s="3038"/>
      <c r="AL1286" s="3038"/>
      <c r="AM1286" s="3038"/>
      <c r="AN1286" s="3038"/>
      <c r="AO1286" s="3038"/>
      <c r="AP1286" s="3038"/>
      <c r="AQ1286" s="3038"/>
      <c r="AR1286" s="3038"/>
      <c r="AS1286" s="3038"/>
      <c r="AT1286" s="3038"/>
      <c r="AU1286" s="3038"/>
      <c r="AV1286" s="3038"/>
      <c r="AW1286" s="3038"/>
      <c r="AX1286" s="3038"/>
      <c r="AY1286" s="3038"/>
      <c r="AZ1286" s="3038"/>
      <c r="BA1286" s="3038"/>
      <c r="BB1286" s="3038"/>
      <c r="BC1286" s="3038"/>
      <c r="BD1286" s="3038"/>
      <c r="BE1286" s="3038"/>
      <c r="BF1286" s="3038"/>
      <c r="BG1286" s="3038"/>
      <c r="BH1286" s="3038"/>
      <c r="BI1286" s="3038"/>
      <c r="BJ1286" s="3038"/>
      <c r="BK1286" s="3038"/>
      <c r="BL1286" s="3038"/>
      <c r="BM1286" s="3038"/>
      <c r="BN1286" s="3038"/>
      <c r="BO1286" s="3038"/>
      <c r="BP1286" s="3038"/>
      <c r="BQ1286" s="3038"/>
      <c r="BR1286" s="3038"/>
      <c r="BS1286" s="3038"/>
      <c r="BT1286" s="3038"/>
      <c r="BU1286" s="3038"/>
    </row>
    <row r="1287" spans="3:73">
      <c r="C1287" s="3038"/>
      <c r="D1287" s="3038"/>
      <c r="E1287" s="3038"/>
      <c r="H1287" s="3038"/>
      <c r="I1287" s="3038"/>
      <c r="J1287" s="3038"/>
      <c r="K1287" s="3038"/>
      <c r="M1287" s="3038"/>
      <c r="N1287" s="3038"/>
      <c r="O1287" s="3038"/>
      <c r="P1287" s="3038"/>
      <c r="Q1287" s="3038"/>
      <c r="R1287" s="3038"/>
      <c r="S1287" s="3038"/>
      <c r="T1287" s="3038"/>
      <c r="W1287" s="3038"/>
      <c r="X1287" s="3038"/>
      <c r="Y1287" s="3038"/>
      <c r="Z1287" s="3038"/>
      <c r="AA1287" s="3113"/>
      <c r="AB1287" s="3038"/>
      <c r="AC1287" s="3038"/>
      <c r="AD1287" s="3038"/>
      <c r="AE1287" s="3132"/>
      <c r="AF1287" s="3038"/>
      <c r="AG1287" s="3038"/>
      <c r="AH1287" s="3038"/>
      <c r="AK1287" s="3038"/>
      <c r="AL1287" s="3038"/>
      <c r="AM1287" s="3038"/>
      <c r="AN1287" s="3038"/>
      <c r="AO1287" s="3038"/>
      <c r="AP1287" s="3038"/>
      <c r="AQ1287" s="3038"/>
      <c r="AR1287" s="3038"/>
      <c r="AS1287" s="3038"/>
      <c r="AT1287" s="3038"/>
      <c r="AU1287" s="3038"/>
      <c r="AV1287" s="3038"/>
      <c r="AW1287" s="3038"/>
      <c r="AX1287" s="3038"/>
      <c r="AY1287" s="3038"/>
      <c r="AZ1287" s="3038"/>
      <c r="BA1287" s="3038"/>
      <c r="BB1287" s="3038"/>
      <c r="BC1287" s="3038"/>
      <c r="BD1287" s="3038"/>
      <c r="BE1287" s="3038"/>
      <c r="BF1287" s="3038"/>
      <c r="BG1287" s="3038"/>
      <c r="BH1287" s="3038"/>
      <c r="BI1287" s="3038"/>
      <c r="BJ1287" s="3038"/>
      <c r="BK1287" s="3038"/>
      <c r="BL1287" s="3038"/>
      <c r="BM1287" s="3038"/>
      <c r="BN1287" s="3038"/>
      <c r="BO1287" s="3038"/>
      <c r="BP1287" s="3038"/>
      <c r="BQ1287" s="3038"/>
      <c r="BR1287" s="3038"/>
      <c r="BS1287" s="3038"/>
      <c r="BT1287" s="3038"/>
      <c r="BU1287" s="3038"/>
    </row>
    <row r="1288" spans="3:73">
      <c r="C1288" s="3038"/>
      <c r="D1288" s="3038"/>
      <c r="E1288" s="3038"/>
      <c r="H1288" s="3038"/>
      <c r="I1288" s="3038"/>
      <c r="J1288" s="3038"/>
      <c r="K1288" s="3038"/>
      <c r="M1288" s="3038"/>
      <c r="N1288" s="3038"/>
      <c r="O1288" s="3038"/>
      <c r="P1288" s="3038"/>
      <c r="Q1288" s="3038"/>
      <c r="R1288" s="3038"/>
      <c r="S1288" s="3038"/>
      <c r="T1288" s="3038"/>
      <c r="W1288" s="3038"/>
      <c r="X1288" s="3038"/>
      <c r="Y1288" s="3038"/>
      <c r="Z1288" s="3038"/>
      <c r="AA1288" s="3113"/>
      <c r="AB1288" s="3038"/>
      <c r="AC1288" s="3038"/>
      <c r="AD1288" s="3038"/>
      <c r="AE1288" s="3132"/>
      <c r="AF1288" s="3038"/>
      <c r="AG1288" s="3038"/>
      <c r="AH1288" s="3038"/>
      <c r="AK1288" s="3038"/>
      <c r="AL1288" s="3038"/>
      <c r="AM1288" s="3038"/>
      <c r="AN1288" s="3038"/>
      <c r="AO1288" s="3038"/>
      <c r="AP1288" s="3038"/>
      <c r="AQ1288" s="3038"/>
      <c r="AR1288" s="3038"/>
      <c r="AS1288" s="3038"/>
      <c r="AT1288" s="3038"/>
      <c r="AU1288" s="3038"/>
      <c r="AV1288" s="3038"/>
      <c r="AW1288" s="3038"/>
      <c r="AX1288" s="3038"/>
      <c r="AY1288" s="3038"/>
      <c r="AZ1288" s="3038"/>
      <c r="BA1288" s="3038"/>
      <c r="BB1288" s="3038"/>
      <c r="BC1288" s="3038"/>
      <c r="BD1288" s="3038"/>
      <c r="BE1288" s="3038"/>
      <c r="BF1288" s="3038"/>
      <c r="BG1288" s="3038"/>
      <c r="BH1288" s="3038"/>
      <c r="BI1288" s="3038"/>
      <c r="BJ1288" s="3038"/>
      <c r="BK1288" s="3038"/>
      <c r="BL1288" s="3038"/>
      <c r="BM1288" s="3038"/>
      <c r="BN1288" s="3038"/>
      <c r="BO1288" s="3038"/>
      <c r="BP1288" s="3038"/>
      <c r="BQ1288" s="3038"/>
      <c r="BR1288" s="3038"/>
      <c r="BS1288" s="3038"/>
      <c r="BT1288" s="3038"/>
      <c r="BU1288" s="3038"/>
    </row>
    <row r="1289" spans="3:73">
      <c r="C1289" s="3038"/>
      <c r="D1289" s="3038"/>
      <c r="E1289" s="3038"/>
      <c r="H1289" s="3038"/>
      <c r="I1289" s="3038"/>
      <c r="J1289" s="3038"/>
      <c r="K1289" s="3038"/>
      <c r="M1289" s="3038"/>
      <c r="N1289" s="3038"/>
      <c r="O1289" s="3038"/>
      <c r="P1289" s="3038"/>
      <c r="Q1289" s="3038"/>
      <c r="R1289" s="3038"/>
      <c r="S1289" s="3038"/>
      <c r="T1289" s="3038"/>
      <c r="W1289" s="3038"/>
      <c r="X1289" s="3038"/>
      <c r="Y1289" s="3038"/>
      <c r="Z1289" s="3038"/>
      <c r="AA1289" s="3113"/>
      <c r="AB1289" s="3038"/>
      <c r="AC1289" s="3038"/>
      <c r="AD1289" s="3038"/>
      <c r="AE1289" s="3132"/>
      <c r="AF1289" s="3038"/>
      <c r="AG1289" s="3038"/>
      <c r="AH1289" s="3038"/>
      <c r="AK1289" s="3038"/>
      <c r="AL1289" s="3038"/>
      <c r="AM1289" s="3038"/>
      <c r="AN1289" s="3038"/>
      <c r="AO1289" s="3038"/>
      <c r="AP1289" s="3038"/>
      <c r="AQ1289" s="3038"/>
      <c r="AR1289" s="3038"/>
      <c r="AS1289" s="3038"/>
      <c r="AT1289" s="3038"/>
      <c r="AU1289" s="3038"/>
      <c r="AV1289" s="3038"/>
      <c r="AW1289" s="3038"/>
      <c r="AX1289" s="3038"/>
      <c r="AY1289" s="3038"/>
      <c r="AZ1289" s="3038"/>
      <c r="BA1289" s="3038"/>
      <c r="BB1289" s="3038"/>
      <c r="BC1289" s="3038"/>
      <c r="BD1289" s="3038"/>
      <c r="BE1289" s="3038"/>
      <c r="BF1289" s="3038"/>
      <c r="BG1289" s="3038"/>
      <c r="BH1289" s="3038"/>
      <c r="BI1289" s="3038"/>
      <c r="BJ1289" s="3038"/>
      <c r="BK1289" s="3038"/>
      <c r="BL1289" s="3038"/>
      <c r="BM1289" s="3038"/>
      <c r="BN1289" s="3038"/>
      <c r="BO1289" s="3038"/>
      <c r="BP1289" s="3038"/>
      <c r="BQ1289" s="3038"/>
      <c r="BR1289" s="3038"/>
      <c r="BS1289" s="3038"/>
      <c r="BT1289" s="3038"/>
      <c r="BU1289" s="3038"/>
    </row>
    <row r="1290" spans="3:73">
      <c r="C1290" s="3038"/>
      <c r="D1290" s="3038"/>
      <c r="E1290" s="3038"/>
      <c r="H1290" s="3038"/>
      <c r="I1290" s="3038"/>
      <c r="J1290" s="3038"/>
      <c r="K1290" s="3038"/>
      <c r="M1290" s="3038"/>
      <c r="N1290" s="3038"/>
      <c r="O1290" s="3038"/>
      <c r="P1290" s="3038"/>
      <c r="Q1290" s="3038"/>
      <c r="R1290" s="3038"/>
      <c r="S1290" s="3038"/>
      <c r="T1290" s="3038"/>
      <c r="W1290" s="3038"/>
      <c r="X1290" s="3038"/>
      <c r="Y1290" s="3038"/>
      <c r="Z1290" s="3038"/>
      <c r="AA1290" s="3113"/>
      <c r="AB1290" s="3038"/>
      <c r="AC1290" s="3038"/>
      <c r="AD1290" s="3038"/>
      <c r="AE1290" s="3132"/>
      <c r="AF1290" s="3038"/>
      <c r="AG1290" s="3038"/>
      <c r="AH1290" s="3038"/>
      <c r="AK1290" s="3038"/>
      <c r="AL1290" s="3038"/>
      <c r="AM1290" s="3038"/>
      <c r="AN1290" s="3038"/>
      <c r="AO1290" s="3038"/>
      <c r="AP1290" s="3038"/>
      <c r="AQ1290" s="3038"/>
      <c r="AR1290" s="3038"/>
      <c r="AS1290" s="3038"/>
      <c r="AT1290" s="3038"/>
      <c r="AU1290" s="3038"/>
      <c r="AV1290" s="3038"/>
      <c r="AW1290" s="3038"/>
      <c r="AX1290" s="3038"/>
      <c r="AY1290" s="3038"/>
      <c r="AZ1290" s="3038"/>
      <c r="BA1290" s="3038"/>
      <c r="BB1290" s="3038"/>
      <c r="BC1290" s="3038"/>
      <c r="BD1290" s="3038"/>
      <c r="BE1290" s="3038"/>
      <c r="BF1290" s="3038"/>
      <c r="BG1290" s="3038"/>
      <c r="BH1290" s="3038"/>
      <c r="BI1290" s="3038"/>
      <c r="BJ1290" s="3038"/>
      <c r="BK1290" s="3038"/>
      <c r="BL1290" s="3038"/>
      <c r="BM1290" s="3038"/>
      <c r="BN1290" s="3038"/>
      <c r="BO1290" s="3038"/>
      <c r="BP1290" s="3038"/>
      <c r="BQ1290" s="3038"/>
      <c r="BR1290" s="3038"/>
      <c r="BS1290" s="3038"/>
      <c r="BT1290" s="3038"/>
      <c r="BU1290" s="3038"/>
    </row>
    <row r="1291" spans="3:73">
      <c r="C1291" s="3038"/>
      <c r="D1291" s="3038"/>
      <c r="E1291" s="3038"/>
      <c r="H1291" s="3038"/>
      <c r="I1291" s="3038"/>
      <c r="J1291" s="3038"/>
      <c r="K1291" s="3038"/>
      <c r="M1291" s="3038"/>
      <c r="N1291" s="3038"/>
      <c r="O1291" s="3038"/>
      <c r="P1291" s="3038"/>
      <c r="Q1291" s="3038"/>
      <c r="R1291" s="3038"/>
      <c r="S1291" s="3038"/>
      <c r="T1291" s="3038"/>
      <c r="W1291" s="3038"/>
      <c r="X1291" s="3038"/>
      <c r="Y1291" s="3038"/>
      <c r="Z1291" s="3038"/>
      <c r="AA1291" s="3113"/>
      <c r="AB1291" s="3038"/>
      <c r="AC1291" s="3038"/>
      <c r="AD1291" s="3038"/>
      <c r="AE1291" s="3132"/>
      <c r="AF1291" s="3038"/>
      <c r="AG1291" s="3038"/>
      <c r="AH1291" s="3038"/>
      <c r="AK1291" s="3038"/>
      <c r="AL1291" s="3038"/>
      <c r="AM1291" s="3038"/>
      <c r="AN1291" s="3038"/>
      <c r="AO1291" s="3038"/>
      <c r="AP1291" s="3038"/>
      <c r="AQ1291" s="3038"/>
      <c r="AR1291" s="3038"/>
      <c r="AS1291" s="3038"/>
      <c r="AT1291" s="3038"/>
      <c r="AU1291" s="3038"/>
      <c r="AV1291" s="3038"/>
      <c r="AW1291" s="3038"/>
      <c r="AX1291" s="3038"/>
      <c r="AY1291" s="3038"/>
      <c r="AZ1291" s="3038"/>
      <c r="BA1291" s="3038"/>
      <c r="BB1291" s="3038"/>
      <c r="BC1291" s="3038"/>
      <c r="BD1291" s="3038"/>
      <c r="BE1291" s="3038"/>
      <c r="BF1291" s="3038"/>
      <c r="BG1291" s="3038"/>
      <c r="BH1291" s="3038"/>
      <c r="BI1291" s="3038"/>
      <c r="BJ1291" s="3038"/>
      <c r="BK1291" s="3038"/>
      <c r="BL1291" s="3038"/>
      <c r="BM1291" s="3038"/>
      <c r="BN1291" s="3038"/>
      <c r="BO1291" s="3038"/>
      <c r="BP1291" s="3038"/>
      <c r="BQ1291" s="3038"/>
      <c r="BR1291" s="3038"/>
      <c r="BS1291" s="3038"/>
      <c r="BT1291" s="3038"/>
      <c r="BU1291" s="3038"/>
    </row>
    <row r="1292" spans="3:73">
      <c r="C1292" s="3038"/>
      <c r="D1292" s="3038"/>
      <c r="E1292" s="3038"/>
      <c r="H1292" s="3038"/>
      <c r="I1292" s="3038"/>
      <c r="J1292" s="3038"/>
      <c r="K1292" s="3038"/>
      <c r="M1292" s="3038"/>
      <c r="N1292" s="3038"/>
      <c r="O1292" s="3038"/>
      <c r="P1292" s="3038"/>
      <c r="Q1292" s="3038"/>
      <c r="R1292" s="3038"/>
      <c r="S1292" s="3038"/>
      <c r="T1292" s="3038"/>
      <c r="W1292" s="3038"/>
      <c r="X1292" s="3038"/>
      <c r="Y1292" s="3038"/>
      <c r="Z1292" s="3038"/>
      <c r="AA1292" s="3113"/>
      <c r="AB1292" s="3038"/>
      <c r="AC1292" s="3038"/>
      <c r="AD1292" s="3038"/>
      <c r="AE1292" s="3132"/>
      <c r="AF1292" s="3038"/>
      <c r="AG1292" s="3038"/>
      <c r="AH1292" s="3038"/>
      <c r="AK1292" s="3038"/>
      <c r="AL1292" s="3038"/>
      <c r="AM1292" s="3038"/>
      <c r="AN1292" s="3038"/>
      <c r="AO1292" s="3038"/>
      <c r="AP1292" s="3038"/>
      <c r="AQ1292" s="3038"/>
      <c r="AR1292" s="3038"/>
      <c r="AS1292" s="3038"/>
      <c r="AT1292" s="3038"/>
      <c r="AU1292" s="3038"/>
      <c r="AV1292" s="3038"/>
      <c r="AW1292" s="3038"/>
      <c r="AX1292" s="3038"/>
      <c r="AY1292" s="3038"/>
      <c r="AZ1292" s="3038"/>
      <c r="BA1292" s="3038"/>
      <c r="BB1292" s="3038"/>
      <c r="BC1292" s="3038"/>
      <c r="BD1292" s="3038"/>
      <c r="BE1292" s="3038"/>
      <c r="BF1292" s="3038"/>
      <c r="BG1292" s="3038"/>
      <c r="BH1292" s="3038"/>
      <c r="BI1292" s="3038"/>
      <c r="BJ1292" s="3038"/>
      <c r="BK1292" s="3038"/>
      <c r="BL1292" s="3038"/>
      <c r="BM1292" s="3038"/>
      <c r="BN1292" s="3038"/>
      <c r="BO1292" s="3038"/>
      <c r="BP1292" s="3038"/>
      <c r="BQ1292" s="3038"/>
      <c r="BR1292" s="3038"/>
      <c r="BS1292" s="3038"/>
      <c r="BT1292" s="3038"/>
      <c r="BU1292" s="3038"/>
    </row>
    <row r="1293" spans="3:73">
      <c r="C1293" s="3038"/>
      <c r="D1293" s="3038"/>
      <c r="E1293" s="3038"/>
      <c r="H1293" s="3038"/>
      <c r="I1293" s="3038"/>
      <c r="J1293" s="3038"/>
      <c r="K1293" s="3038"/>
      <c r="M1293" s="3038"/>
      <c r="N1293" s="3038"/>
      <c r="O1293" s="3038"/>
      <c r="P1293" s="3038"/>
      <c r="Q1293" s="3038"/>
      <c r="R1293" s="3038"/>
      <c r="S1293" s="3038"/>
      <c r="T1293" s="3038"/>
      <c r="W1293" s="3038"/>
      <c r="X1293" s="3038"/>
      <c r="Y1293" s="3038"/>
      <c r="Z1293" s="3038"/>
      <c r="AA1293" s="3113"/>
      <c r="AB1293" s="3038"/>
      <c r="AC1293" s="3038"/>
      <c r="AD1293" s="3038"/>
      <c r="AE1293" s="3132"/>
      <c r="AF1293" s="3038"/>
      <c r="AG1293" s="3038"/>
      <c r="AH1293" s="3038"/>
      <c r="AK1293" s="3038"/>
      <c r="AL1293" s="3038"/>
      <c r="AM1293" s="3038"/>
      <c r="AN1293" s="3038"/>
      <c r="AO1293" s="3038"/>
      <c r="AP1293" s="3038"/>
      <c r="AQ1293" s="3038"/>
      <c r="AR1293" s="3038"/>
      <c r="AS1293" s="3038"/>
      <c r="AT1293" s="3038"/>
      <c r="AU1293" s="3038"/>
      <c r="AV1293" s="3038"/>
      <c r="AW1293" s="3038"/>
      <c r="AX1293" s="3038"/>
      <c r="AY1293" s="3038"/>
      <c r="AZ1293" s="3038"/>
      <c r="BA1293" s="3038"/>
      <c r="BB1293" s="3038"/>
      <c r="BC1293" s="3038"/>
      <c r="BD1293" s="3038"/>
      <c r="BE1293" s="3038"/>
      <c r="BF1293" s="3038"/>
      <c r="BG1293" s="3038"/>
      <c r="BH1293" s="3038"/>
      <c r="BI1293" s="3038"/>
      <c r="BJ1293" s="3038"/>
      <c r="BK1293" s="3038"/>
      <c r="BL1293" s="3038"/>
      <c r="BM1293" s="3038"/>
      <c r="BN1293" s="3038"/>
      <c r="BO1293" s="3038"/>
      <c r="BP1293" s="3038"/>
      <c r="BQ1293" s="3038"/>
      <c r="BR1293" s="3038"/>
      <c r="BS1293" s="3038"/>
      <c r="BT1293" s="3038"/>
      <c r="BU1293" s="3038"/>
    </row>
    <row r="1294" spans="3:73">
      <c r="C1294" s="3038"/>
      <c r="D1294" s="3038"/>
      <c r="E1294" s="3038"/>
      <c r="H1294" s="3038"/>
      <c r="I1294" s="3038"/>
      <c r="J1294" s="3038"/>
      <c r="K1294" s="3038"/>
      <c r="M1294" s="3038"/>
      <c r="N1294" s="3038"/>
      <c r="O1294" s="3038"/>
      <c r="P1294" s="3038"/>
      <c r="Q1294" s="3038"/>
      <c r="R1294" s="3038"/>
      <c r="S1294" s="3038"/>
      <c r="T1294" s="3038"/>
      <c r="W1294" s="3038"/>
      <c r="X1294" s="3038"/>
      <c r="Y1294" s="3038"/>
      <c r="Z1294" s="3038"/>
      <c r="AA1294" s="3113"/>
      <c r="AB1294" s="3038"/>
      <c r="AC1294" s="3038"/>
      <c r="AD1294" s="3038"/>
      <c r="AE1294" s="3132"/>
      <c r="AF1294" s="3038"/>
      <c r="AG1294" s="3038"/>
      <c r="AH1294" s="3038"/>
      <c r="AK1294" s="3038"/>
      <c r="AL1294" s="3038"/>
      <c r="AM1294" s="3038"/>
      <c r="AN1294" s="3038"/>
      <c r="AO1294" s="3038"/>
      <c r="AP1294" s="3038"/>
      <c r="AQ1294" s="3038"/>
      <c r="AR1294" s="3038"/>
      <c r="AS1294" s="3038"/>
      <c r="AT1294" s="3038"/>
      <c r="AU1294" s="3038"/>
      <c r="AV1294" s="3038"/>
      <c r="AW1294" s="3038"/>
      <c r="AX1294" s="3038"/>
      <c r="AY1294" s="3038"/>
      <c r="AZ1294" s="3038"/>
      <c r="BA1294" s="3038"/>
      <c r="BB1294" s="3038"/>
      <c r="BC1294" s="3038"/>
      <c r="BD1294" s="3038"/>
      <c r="BE1294" s="3038"/>
      <c r="BF1294" s="3038"/>
      <c r="BG1294" s="3038"/>
      <c r="BH1294" s="3038"/>
      <c r="BI1294" s="3038"/>
      <c r="BJ1294" s="3038"/>
      <c r="BK1294" s="3038"/>
      <c r="BL1294" s="3038"/>
      <c r="BM1294" s="3038"/>
      <c r="BN1294" s="3038"/>
      <c r="BO1294" s="3038"/>
      <c r="BP1294" s="3038"/>
      <c r="BQ1294" s="3038"/>
      <c r="BR1294" s="3038"/>
      <c r="BS1294" s="3038"/>
      <c r="BT1294" s="3038"/>
      <c r="BU1294" s="3038"/>
    </row>
    <row r="1295" spans="3:73">
      <c r="C1295" s="3038"/>
      <c r="D1295" s="3038"/>
      <c r="E1295" s="3038"/>
      <c r="H1295" s="3038"/>
      <c r="I1295" s="3038"/>
      <c r="J1295" s="3038"/>
      <c r="K1295" s="3038"/>
      <c r="M1295" s="3038"/>
      <c r="N1295" s="3038"/>
      <c r="O1295" s="3038"/>
      <c r="P1295" s="3038"/>
      <c r="Q1295" s="3038"/>
      <c r="R1295" s="3038"/>
      <c r="S1295" s="3038"/>
      <c r="T1295" s="3038"/>
      <c r="W1295" s="3038"/>
      <c r="X1295" s="3038"/>
      <c r="Y1295" s="3038"/>
      <c r="Z1295" s="3038"/>
      <c r="AA1295" s="3113"/>
      <c r="AB1295" s="3038"/>
      <c r="AC1295" s="3038"/>
      <c r="AD1295" s="3038"/>
      <c r="AE1295" s="3132"/>
      <c r="AF1295" s="3038"/>
      <c r="AG1295" s="3038"/>
      <c r="AH1295" s="3038"/>
      <c r="AK1295" s="3038"/>
      <c r="AL1295" s="3038"/>
      <c r="AM1295" s="3038"/>
      <c r="AN1295" s="3038"/>
      <c r="AO1295" s="3038"/>
      <c r="AP1295" s="3038"/>
      <c r="AQ1295" s="3038"/>
      <c r="AR1295" s="3038"/>
      <c r="AS1295" s="3038"/>
      <c r="AT1295" s="3038"/>
      <c r="AU1295" s="3038"/>
      <c r="AV1295" s="3038"/>
      <c r="AW1295" s="3038"/>
      <c r="AX1295" s="3038"/>
      <c r="AY1295" s="3038"/>
      <c r="AZ1295" s="3038"/>
      <c r="BA1295" s="3038"/>
      <c r="BB1295" s="3038"/>
      <c r="BC1295" s="3038"/>
      <c r="BD1295" s="3038"/>
      <c r="BE1295" s="3038"/>
      <c r="BF1295" s="3038"/>
      <c r="BG1295" s="3038"/>
      <c r="BH1295" s="3038"/>
      <c r="BI1295" s="3038"/>
      <c r="BJ1295" s="3038"/>
      <c r="BK1295" s="3038"/>
      <c r="BL1295" s="3038"/>
      <c r="BM1295" s="3038"/>
      <c r="BN1295" s="3038"/>
      <c r="BO1295" s="3038"/>
      <c r="BP1295" s="3038"/>
      <c r="BQ1295" s="3038"/>
      <c r="BR1295" s="3038"/>
      <c r="BS1295" s="3038"/>
      <c r="BT1295" s="3038"/>
      <c r="BU1295" s="3038"/>
    </row>
    <row r="1296" spans="3:73">
      <c r="C1296" s="3038"/>
      <c r="D1296" s="3038"/>
      <c r="E1296" s="3038"/>
      <c r="H1296" s="3038"/>
      <c r="I1296" s="3038"/>
      <c r="J1296" s="3038"/>
      <c r="K1296" s="3038"/>
      <c r="M1296" s="3038"/>
      <c r="N1296" s="3038"/>
      <c r="O1296" s="3038"/>
      <c r="P1296" s="3038"/>
      <c r="Q1296" s="3038"/>
      <c r="R1296" s="3038"/>
      <c r="S1296" s="3038"/>
      <c r="T1296" s="3038"/>
      <c r="W1296" s="3038"/>
      <c r="X1296" s="3038"/>
      <c r="Y1296" s="3038"/>
      <c r="Z1296" s="3038"/>
      <c r="AA1296" s="3113"/>
      <c r="AB1296" s="3038"/>
      <c r="AC1296" s="3038"/>
      <c r="AD1296" s="3038"/>
      <c r="AE1296" s="3132"/>
      <c r="AF1296" s="3038"/>
      <c r="AG1296" s="3038"/>
      <c r="AH1296" s="3038"/>
      <c r="AK1296" s="3038"/>
      <c r="AL1296" s="3038"/>
      <c r="AM1296" s="3038"/>
      <c r="AN1296" s="3038"/>
      <c r="AO1296" s="3038"/>
      <c r="AP1296" s="3038"/>
      <c r="AQ1296" s="3038"/>
      <c r="AR1296" s="3038"/>
      <c r="AS1296" s="3038"/>
      <c r="AT1296" s="3038"/>
      <c r="AU1296" s="3038"/>
      <c r="AV1296" s="3038"/>
      <c r="AW1296" s="3038"/>
      <c r="AX1296" s="3038"/>
      <c r="AY1296" s="3038"/>
      <c r="AZ1296" s="3038"/>
      <c r="BA1296" s="3038"/>
      <c r="BB1296" s="3038"/>
      <c r="BC1296" s="3038"/>
      <c r="BD1296" s="3038"/>
      <c r="BE1296" s="3038"/>
      <c r="BF1296" s="3038"/>
      <c r="BG1296" s="3038"/>
      <c r="BH1296" s="3038"/>
      <c r="BI1296" s="3038"/>
      <c r="BJ1296" s="3038"/>
      <c r="BK1296" s="3038"/>
      <c r="BL1296" s="3038"/>
      <c r="BM1296" s="3038"/>
      <c r="BN1296" s="3038"/>
      <c r="BO1296" s="3038"/>
      <c r="BP1296" s="3038"/>
      <c r="BQ1296" s="3038"/>
      <c r="BR1296" s="3038"/>
      <c r="BS1296" s="3038"/>
      <c r="BT1296" s="3038"/>
      <c r="BU1296" s="3038"/>
    </row>
    <row r="1297" spans="3:73">
      <c r="C1297" s="3038"/>
      <c r="D1297" s="3038"/>
      <c r="E1297" s="3038"/>
      <c r="H1297" s="3038"/>
      <c r="I1297" s="3038"/>
      <c r="J1297" s="3038"/>
      <c r="K1297" s="3038"/>
      <c r="M1297" s="3038"/>
      <c r="N1297" s="3038"/>
      <c r="O1297" s="3038"/>
      <c r="P1297" s="3038"/>
      <c r="Q1297" s="3038"/>
      <c r="R1297" s="3038"/>
      <c r="S1297" s="3038"/>
      <c r="T1297" s="3038"/>
      <c r="W1297" s="3038"/>
      <c r="X1297" s="3038"/>
      <c r="Y1297" s="3038"/>
      <c r="Z1297" s="3038"/>
      <c r="AA1297" s="3113"/>
      <c r="AB1297" s="3038"/>
      <c r="AC1297" s="3038"/>
      <c r="AD1297" s="3038"/>
      <c r="AE1297" s="3132"/>
      <c r="AF1297" s="3038"/>
      <c r="AG1297" s="3038"/>
      <c r="AH1297" s="3038"/>
      <c r="AK1297" s="3038"/>
      <c r="AL1297" s="3038"/>
      <c r="AM1297" s="3038"/>
      <c r="AN1297" s="3038"/>
      <c r="AO1297" s="3038"/>
      <c r="AP1297" s="3038"/>
      <c r="AQ1297" s="3038"/>
      <c r="AR1297" s="3038"/>
      <c r="AS1297" s="3038"/>
      <c r="AT1297" s="3038"/>
      <c r="AU1297" s="3038"/>
      <c r="AV1297" s="3038"/>
      <c r="AW1297" s="3038"/>
      <c r="AX1297" s="3038"/>
      <c r="AY1297" s="3038"/>
      <c r="AZ1297" s="3038"/>
      <c r="BA1297" s="3038"/>
      <c r="BB1297" s="3038"/>
      <c r="BC1297" s="3038"/>
      <c r="BD1297" s="3038"/>
      <c r="BE1297" s="3038"/>
      <c r="BF1297" s="3038"/>
      <c r="BG1297" s="3038"/>
      <c r="BH1297" s="3038"/>
      <c r="BI1297" s="3038"/>
      <c r="BJ1297" s="3038"/>
      <c r="BK1297" s="3038"/>
      <c r="BL1297" s="3038"/>
      <c r="BM1297" s="3038"/>
      <c r="BN1297" s="3038"/>
      <c r="BO1297" s="3038"/>
      <c r="BP1297" s="3038"/>
      <c r="BQ1297" s="3038"/>
      <c r="BR1297" s="3038"/>
      <c r="BS1297" s="3038"/>
      <c r="BT1297" s="3038"/>
      <c r="BU1297" s="3038"/>
    </row>
    <row r="1298" spans="3:73">
      <c r="C1298" s="3038"/>
      <c r="D1298" s="3038"/>
      <c r="E1298" s="3038"/>
      <c r="H1298" s="3038"/>
      <c r="I1298" s="3038"/>
      <c r="J1298" s="3038"/>
      <c r="K1298" s="3038"/>
      <c r="M1298" s="3038"/>
      <c r="N1298" s="3038"/>
      <c r="O1298" s="3038"/>
      <c r="P1298" s="3038"/>
      <c r="Q1298" s="3038"/>
      <c r="R1298" s="3038"/>
      <c r="S1298" s="3038"/>
      <c r="T1298" s="3038"/>
      <c r="W1298" s="3038"/>
      <c r="X1298" s="3038"/>
      <c r="Y1298" s="3038"/>
      <c r="Z1298" s="3038"/>
      <c r="AA1298" s="3113"/>
      <c r="AB1298" s="3038"/>
      <c r="AC1298" s="3038"/>
      <c r="AD1298" s="3038"/>
      <c r="AE1298" s="3132"/>
      <c r="AF1298" s="3038"/>
      <c r="AG1298" s="3038"/>
      <c r="AH1298" s="3038"/>
      <c r="AK1298" s="3038"/>
      <c r="AL1298" s="3038"/>
      <c r="AM1298" s="3038"/>
      <c r="AN1298" s="3038"/>
      <c r="AO1298" s="3038"/>
      <c r="AP1298" s="3038"/>
      <c r="AQ1298" s="3038"/>
      <c r="AR1298" s="3038"/>
      <c r="AS1298" s="3038"/>
      <c r="AT1298" s="3038"/>
      <c r="AU1298" s="3038"/>
      <c r="AV1298" s="3038"/>
      <c r="AW1298" s="3038"/>
      <c r="AX1298" s="3038"/>
      <c r="AY1298" s="3038"/>
      <c r="AZ1298" s="3038"/>
      <c r="BA1298" s="3038"/>
      <c r="BB1298" s="3038"/>
      <c r="BC1298" s="3038"/>
      <c r="BD1298" s="3038"/>
      <c r="BE1298" s="3038"/>
      <c r="BF1298" s="3038"/>
      <c r="BG1298" s="3038"/>
      <c r="BH1298" s="3038"/>
      <c r="BI1298" s="3038"/>
      <c r="BJ1298" s="3038"/>
      <c r="BK1298" s="3038"/>
      <c r="BL1298" s="3038"/>
      <c r="BM1298" s="3038"/>
      <c r="BN1298" s="3038"/>
      <c r="BO1298" s="3038"/>
      <c r="BP1298" s="3038"/>
      <c r="BQ1298" s="3038"/>
      <c r="BR1298" s="3038"/>
      <c r="BS1298" s="3038"/>
      <c r="BT1298" s="3038"/>
      <c r="BU1298" s="3038"/>
    </row>
    <row r="1299" spans="3:73">
      <c r="C1299" s="3038"/>
      <c r="D1299" s="3038"/>
      <c r="E1299" s="3038"/>
      <c r="H1299" s="3038"/>
      <c r="I1299" s="3038"/>
      <c r="J1299" s="3038"/>
      <c r="K1299" s="3038"/>
      <c r="M1299" s="3038"/>
      <c r="N1299" s="3038"/>
      <c r="O1299" s="3038"/>
      <c r="P1299" s="3038"/>
      <c r="Q1299" s="3038"/>
      <c r="R1299" s="3038"/>
      <c r="S1299" s="3038"/>
      <c r="T1299" s="3038"/>
      <c r="W1299" s="3038"/>
      <c r="X1299" s="3038"/>
      <c r="Y1299" s="3038"/>
      <c r="Z1299" s="3038"/>
      <c r="AA1299" s="3113"/>
      <c r="AB1299" s="3038"/>
      <c r="AC1299" s="3038"/>
      <c r="AD1299" s="3038"/>
      <c r="AE1299" s="3132"/>
      <c r="AF1299" s="3038"/>
      <c r="AG1299" s="3038"/>
      <c r="AH1299" s="3038"/>
      <c r="AK1299" s="3038"/>
      <c r="AL1299" s="3038"/>
      <c r="AM1299" s="3038"/>
      <c r="AN1299" s="3038"/>
      <c r="AO1299" s="3038"/>
      <c r="AP1299" s="3038"/>
      <c r="AQ1299" s="3038"/>
      <c r="AR1299" s="3038"/>
      <c r="AS1299" s="3038"/>
      <c r="AT1299" s="3038"/>
      <c r="AU1299" s="3038"/>
      <c r="AV1299" s="3038"/>
      <c r="AW1299" s="3038"/>
      <c r="AX1299" s="3038"/>
      <c r="AY1299" s="3038"/>
      <c r="AZ1299" s="3038"/>
      <c r="BA1299" s="3038"/>
      <c r="BB1299" s="3038"/>
      <c r="BC1299" s="3038"/>
      <c r="BD1299" s="3038"/>
      <c r="BE1299" s="3038"/>
      <c r="BF1299" s="3038"/>
      <c r="BG1299" s="3038"/>
      <c r="BH1299" s="3038"/>
      <c r="BI1299" s="3038"/>
      <c r="BJ1299" s="3038"/>
      <c r="BK1299" s="3038"/>
      <c r="BL1299" s="3038"/>
      <c r="BM1299" s="3038"/>
      <c r="BN1299" s="3038"/>
      <c r="BO1299" s="3038"/>
      <c r="BP1299" s="3038"/>
      <c r="BQ1299" s="3038"/>
      <c r="BR1299" s="3038"/>
      <c r="BS1299" s="3038"/>
      <c r="BT1299" s="3038"/>
      <c r="BU1299" s="3038"/>
    </row>
    <row r="1300" spans="3:73">
      <c r="C1300" s="3038"/>
      <c r="D1300" s="3038"/>
      <c r="E1300" s="3038"/>
      <c r="H1300" s="3038"/>
      <c r="I1300" s="3038"/>
      <c r="J1300" s="3038"/>
      <c r="K1300" s="3038"/>
      <c r="M1300" s="3038"/>
      <c r="N1300" s="3038"/>
      <c r="O1300" s="3038"/>
      <c r="P1300" s="3038"/>
      <c r="Q1300" s="3038"/>
      <c r="R1300" s="3038"/>
      <c r="S1300" s="3038"/>
      <c r="T1300" s="3038"/>
      <c r="W1300" s="3038"/>
      <c r="X1300" s="3038"/>
      <c r="Y1300" s="3038"/>
      <c r="Z1300" s="3038"/>
      <c r="AA1300" s="3113"/>
      <c r="AB1300" s="3038"/>
      <c r="AC1300" s="3038"/>
      <c r="AD1300" s="3038"/>
      <c r="AE1300" s="3132"/>
      <c r="AF1300" s="3038"/>
      <c r="AG1300" s="3038"/>
      <c r="AH1300" s="3038"/>
      <c r="AK1300" s="3038"/>
      <c r="AL1300" s="3038"/>
      <c r="AM1300" s="3038"/>
      <c r="AN1300" s="3038"/>
      <c r="AO1300" s="3038"/>
      <c r="AP1300" s="3038"/>
      <c r="AQ1300" s="3038"/>
      <c r="AR1300" s="3038"/>
      <c r="AS1300" s="3038"/>
      <c r="AT1300" s="3038"/>
      <c r="AU1300" s="3038"/>
      <c r="AV1300" s="3038"/>
      <c r="AW1300" s="3038"/>
      <c r="AX1300" s="3038"/>
      <c r="AY1300" s="3038"/>
      <c r="AZ1300" s="3038"/>
      <c r="BA1300" s="3038"/>
      <c r="BB1300" s="3038"/>
      <c r="BC1300" s="3038"/>
      <c r="BD1300" s="3038"/>
      <c r="BE1300" s="3038"/>
      <c r="BF1300" s="3038"/>
      <c r="BG1300" s="3038"/>
      <c r="BH1300" s="3038"/>
      <c r="BI1300" s="3038"/>
      <c r="BJ1300" s="3038"/>
      <c r="BK1300" s="3038"/>
      <c r="BL1300" s="3038"/>
      <c r="BM1300" s="3038"/>
      <c r="BN1300" s="3038"/>
      <c r="BO1300" s="3038"/>
      <c r="BP1300" s="3038"/>
      <c r="BQ1300" s="3038"/>
      <c r="BR1300" s="3038"/>
      <c r="BS1300" s="3038"/>
      <c r="BT1300" s="3038"/>
      <c r="BU1300" s="3038"/>
    </row>
    <row r="1301" spans="3:73">
      <c r="C1301" s="3038"/>
      <c r="D1301" s="3038"/>
      <c r="E1301" s="3038"/>
      <c r="H1301" s="3038"/>
      <c r="I1301" s="3038"/>
      <c r="J1301" s="3038"/>
      <c r="K1301" s="3038"/>
      <c r="M1301" s="3038"/>
      <c r="N1301" s="3038"/>
      <c r="O1301" s="3038"/>
      <c r="P1301" s="3038"/>
      <c r="Q1301" s="3038"/>
      <c r="R1301" s="3038"/>
      <c r="S1301" s="3038"/>
      <c r="T1301" s="3038"/>
      <c r="W1301" s="3038"/>
      <c r="X1301" s="3038"/>
      <c r="Y1301" s="3038"/>
      <c r="Z1301" s="3038"/>
      <c r="AA1301" s="3113"/>
      <c r="AB1301" s="3038"/>
      <c r="AC1301" s="3038"/>
      <c r="AD1301" s="3038"/>
      <c r="AE1301" s="3132"/>
      <c r="AF1301" s="3038"/>
      <c r="AG1301" s="3038"/>
      <c r="AH1301" s="3038"/>
      <c r="AK1301" s="3038"/>
      <c r="AL1301" s="3038"/>
      <c r="AM1301" s="3038"/>
      <c r="AN1301" s="3038"/>
      <c r="AO1301" s="3038"/>
      <c r="AP1301" s="3038"/>
      <c r="AQ1301" s="3038"/>
      <c r="AR1301" s="3038"/>
      <c r="AS1301" s="3038"/>
      <c r="AT1301" s="3038"/>
      <c r="AU1301" s="3038"/>
      <c r="AV1301" s="3038"/>
      <c r="AW1301" s="3038"/>
      <c r="AX1301" s="3038"/>
      <c r="AY1301" s="3038"/>
      <c r="AZ1301" s="3038"/>
      <c r="BA1301" s="3038"/>
      <c r="BB1301" s="3038"/>
      <c r="BC1301" s="3038"/>
      <c r="BD1301" s="3038"/>
      <c r="BE1301" s="3038"/>
      <c r="BF1301" s="3038"/>
      <c r="BG1301" s="3038"/>
      <c r="BH1301" s="3038"/>
      <c r="BI1301" s="3038"/>
      <c r="BJ1301" s="3038"/>
      <c r="BK1301" s="3038"/>
      <c r="BL1301" s="3038"/>
      <c r="BM1301" s="3038"/>
      <c r="BN1301" s="3038"/>
      <c r="BO1301" s="3038"/>
      <c r="BP1301" s="3038"/>
      <c r="BQ1301" s="3038"/>
      <c r="BR1301" s="3038"/>
      <c r="BS1301" s="3038"/>
      <c r="BT1301" s="3038"/>
      <c r="BU1301" s="3038"/>
    </row>
    <row r="1302" spans="3:73">
      <c r="C1302" s="3038"/>
      <c r="D1302" s="3038"/>
      <c r="E1302" s="3038"/>
      <c r="H1302" s="3038"/>
      <c r="I1302" s="3038"/>
      <c r="J1302" s="3038"/>
      <c r="K1302" s="3038"/>
      <c r="M1302" s="3038"/>
      <c r="N1302" s="3038"/>
      <c r="O1302" s="3038"/>
      <c r="P1302" s="3038"/>
      <c r="Q1302" s="3038"/>
      <c r="R1302" s="3038"/>
      <c r="S1302" s="3038"/>
      <c r="T1302" s="3038"/>
      <c r="W1302" s="3038"/>
      <c r="X1302" s="3038"/>
      <c r="Y1302" s="3038"/>
      <c r="Z1302" s="3038"/>
      <c r="AA1302" s="3113"/>
      <c r="AB1302" s="3038"/>
      <c r="AC1302" s="3038"/>
      <c r="AD1302" s="3038"/>
      <c r="AE1302" s="3132"/>
      <c r="AF1302" s="3038"/>
      <c r="AG1302" s="3038"/>
      <c r="AH1302" s="3038"/>
      <c r="AK1302" s="3038"/>
      <c r="AL1302" s="3038"/>
      <c r="AM1302" s="3038"/>
      <c r="AN1302" s="3038"/>
      <c r="AO1302" s="3038"/>
      <c r="AP1302" s="3038"/>
      <c r="AQ1302" s="3038"/>
      <c r="AR1302" s="3038"/>
      <c r="AS1302" s="3038"/>
      <c r="AT1302" s="3038"/>
      <c r="AU1302" s="3038"/>
      <c r="AV1302" s="3038"/>
      <c r="AW1302" s="3038"/>
      <c r="AX1302" s="3038"/>
      <c r="AY1302" s="3038"/>
      <c r="AZ1302" s="3038"/>
      <c r="BA1302" s="3038"/>
      <c r="BB1302" s="3038"/>
      <c r="BC1302" s="3038"/>
      <c r="BD1302" s="3038"/>
      <c r="BE1302" s="3038"/>
      <c r="BF1302" s="3038"/>
      <c r="BG1302" s="3038"/>
      <c r="BH1302" s="3038"/>
      <c r="BI1302" s="3038"/>
      <c r="BJ1302" s="3038"/>
      <c r="BK1302" s="3038"/>
      <c r="BL1302" s="3038"/>
      <c r="BM1302" s="3038"/>
      <c r="BN1302" s="3038"/>
      <c r="BO1302" s="3038"/>
      <c r="BP1302" s="3038"/>
      <c r="BQ1302" s="3038"/>
      <c r="BR1302" s="3038"/>
      <c r="BS1302" s="3038"/>
      <c r="BT1302" s="3038"/>
      <c r="BU1302" s="3038"/>
    </row>
    <row r="1303" spans="3:73">
      <c r="C1303" s="3038"/>
      <c r="D1303" s="3038"/>
      <c r="E1303" s="3038"/>
      <c r="H1303" s="3038"/>
      <c r="I1303" s="3038"/>
      <c r="J1303" s="3038"/>
      <c r="K1303" s="3038"/>
      <c r="M1303" s="3038"/>
      <c r="N1303" s="3038"/>
      <c r="O1303" s="3038"/>
      <c r="P1303" s="3038"/>
      <c r="Q1303" s="3038"/>
      <c r="R1303" s="3038"/>
      <c r="S1303" s="3038"/>
      <c r="T1303" s="3038"/>
      <c r="W1303" s="3038"/>
      <c r="X1303" s="3038"/>
      <c r="Y1303" s="3038"/>
      <c r="Z1303" s="3038"/>
      <c r="AA1303" s="3113"/>
      <c r="AB1303" s="3038"/>
      <c r="AC1303" s="3038"/>
      <c r="AD1303" s="3038"/>
      <c r="AE1303" s="3132"/>
      <c r="AF1303" s="3038"/>
      <c r="AG1303" s="3038"/>
      <c r="AH1303" s="3038"/>
      <c r="AK1303" s="3038"/>
      <c r="AL1303" s="3038"/>
      <c r="AM1303" s="3038"/>
      <c r="AN1303" s="3038"/>
      <c r="AO1303" s="3038"/>
      <c r="AP1303" s="3038"/>
      <c r="AQ1303" s="3038"/>
      <c r="AR1303" s="3038"/>
      <c r="AS1303" s="3038"/>
      <c r="AT1303" s="3038"/>
      <c r="AU1303" s="3038"/>
      <c r="AV1303" s="3038"/>
      <c r="AW1303" s="3038"/>
      <c r="AX1303" s="3038"/>
      <c r="AY1303" s="3038"/>
      <c r="AZ1303" s="3038"/>
      <c r="BA1303" s="3038"/>
      <c r="BB1303" s="3038"/>
      <c r="BC1303" s="3038"/>
      <c r="BD1303" s="3038"/>
      <c r="BE1303" s="3038"/>
      <c r="BF1303" s="3038"/>
      <c r="BG1303" s="3038"/>
      <c r="BH1303" s="3038"/>
      <c r="BI1303" s="3038"/>
      <c r="BJ1303" s="3038"/>
      <c r="BK1303" s="3038"/>
      <c r="BL1303" s="3038"/>
      <c r="BM1303" s="3038"/>
      <c r="BN1303" s="3038"/>
      <c r="BO1303" s="3038"/>
      <c r="BP1303" s="3038"/>
      <c r="BQ1303" s="3038"/>
      <c r="BR1303" s="3038"/>
      <c r="BS1303" s="3038"/>
      <c r="BT1303" s="3038"/>
      <c r="BU1303" s="3038"/>
    </row>
    <row r="1304" spans="3:73">
      <c r="C1304" s="3038"/>
      <c r="D1304" s="3038"/>
      <c r="E1304" s="3038"/>
      <c r="H1304" s="3038"/>
      <c r="I1304" s="3038"/>
      <c r="J1304" s="3038"/>
      <c r="K1304" s="3038"/>
      <c r="M1304" s="3038"/>
      <c r="N1304" s="3038"/>
      <c r="O1304" s="3038"/>
      <c r="P1304" s="3038"/>
      <c r="Q1304" s="3038"/>
      <c r="R1304" s="3038"/>
      <c r="S1304" s="3038"/>
      <c r="T1304" s="3038"/>
      <c r="W1304" s="3038"/>
      <c r="X1304" s="3038"/>
      <c r="Y1304" s="3038"/>
      <c r="Z1304" s="3038"/>
      <c r="AA1304" s="3113"/>
      <c r="AB1304" s="3038"/>
      <c r="AC1304" s="3038"/>
      <c r="AD1304" s="3038"/>
      <c r="AE1304" s="3132"/>
      <c r="AF1304" s="3038"/>
      <c r="AG1304" s="3038"/>
      <c r="AH1304" s="3038"/>
      <c r="AK1304" s="3038"/>
      <c r="AL1304" s="3038"/>
      <c r="AM1304" s="3038"/>
      <c r="AN1304" s="3038"/>
      <c r="AO1304" s="3038"/>
      <c r="AP1304" s="3038"/>
      <c r="AQ1304" s="3038"/>
      <c r="AR1304" s="3038"/>
      <c r="AS1304" s="3038"/>
      <c r="AT1304" s="3038"/>
      <c r="AU1304" s="3038"/>
      <c r="AV1304" s="3038"/>
      <c r="AW1304" s="3038"/>
      <c r="AX1304" s="3038"/>
      <c r="AY1304" s="3038"/>
      <c r="AZ1304" s="3038"/>
      <c r="BA1304" s="3038"/>
      <c r="BB1304" s="3038"/>
      <c r="BC1304" s="3038"/>
      <c r="BD1304" s="3038"/>
      <c r="BE1304" s="3038"/>
      <c r="BF1304" s="3038"/>
      <c r="BG1304" s="3038"/>
      <c r="BH1304" s="3038"/>
      <c r="BI1304" s="3038"/>
      <c r="BJ1304" s="3038"/>
      <c r="BK1304" s="3038"/>
      <c r="BL1304" s="3038"/>
      <c r="BM1304" s="3038"/>
      <c r="BN1304" s="3038"/>
      <c r="BO1304" s="3038"/>
      <c r="BP1304" s="3038"/>
      <c r="BQ1304" s="3038"/>
      <c r="BR1304" s="3038"/>
      <c r="BS1304" s="3038"/>
      <c r="BT1304" s="3038"/>
      <c r="BU1304" s="3038"/>
    </row>
    <row r="1305" spans="3:73">
      <c r="C1305" s="3038"/>
      <c r="D1305" s="3038"/>
      <c r="E1305" s="3038"/>
      <c r="H1305" s="3038"/>
      <c r="I1305" s="3038"/>
      <c r="J1305" s="3038"/>
      <c r="K1305" s="3038"/>
      <c r="M1305" s="3038"/>
      <c r="N1305" s="3038"/>
      <c r="O1305" s="3038"/>
      <c r="P1305" s="3038"/>
      <c r="Q1305" s="3038"/>
      <c r="R1305" s="3038"/>
      <c r="S1305" s="3038"/>
      <c r="T1305" s="3038"/>
      <c r="W1305" s="3038"/>
      <c r="X1305" s="3038"/>
      <c r="Y1305" s="3038"/>
      <c r="Z1305" s="3038"/>
      <c r="AA1305" s="3113"/>
      <c r="AB1305" s="3038"/>
      <c r="AC1305" s="3038"/>
      <c r="AD1305" s="3038"/>
      <c r="AE1305" s="3132"/>
      <c r="AF1305" s="3038"/>
      <c r="AG1305" s="3038"/>
      <c r="AH1305" s="3038"/>
      <c r="AK1305" s="3038"/>
      <c r="AL1305" s="3038"/>
      <c r="AM1305" s="3038"/>
      <c r="AN1305" s="3038"/>
      <c r="AO1305" s="3038"/>
      <c r="AP1305" s="3038"/>
      <c r="AQ1305" s="3038"/>
      <c r="AR1305" s="3038"/>
      <c r="AS1305" s="3038"/>
      <c r="AT1305" s="3038"/>
      <c r="AU1305" s="3038"/>
      <c r="AV1305" s="3038"/>
      <c r="AW1305" s="3038"/>
      <c r="AX1305" s="3038"/>
      <c r="AY1305" s="3038"/>
      <c r="AZ1305" s="3038"/>
      <c r="BA1305" s="3038"/>
      <c r="BB1305" s="3038"/>
      <c r="BC1305" s="3038"/>
      <c r="BD1305" s="3038"/>
      <c r="BE1305" s="3038"/>
      <c r="BF1305" s="3038"/>
      <c r="BG1305" s="3038"/>
      <c r="BH1305" s="3038"/>
      <c r="BI1305" s="3038"/>
      <c r="BJ1305" s="3038"/>
      <c r="BK1305" s="3038"/>
      <c r="BL1305" s="3038"/>
      <c r="BM1305" s="3038"/>
      <c r="BN1305" s="3038"/>
      <c r="BO1305" s="3038"/>
      <c r="BP1305" s="3038"/>
      <c r="BQ1305" s="3038"/>
      <c r="BR1305" s="3038"/>
      <c r="BS1305" s="3038"/>
      <c r="BT1305" s="3038"/>
      <c r="BU1305" s="3038"/>
    </row>
    <row r="1306" spans="3:73">
      <c r="C1306" s="3038"/>
      <c r="D1306" s="3038"/>
      <c r="E1306" s="3038"/>
      <c r="H1306" s="3038"/>
      <c r="I1306" s="3038"/>
      <c r="J1306" s="3038"/>
      <c r="K1306" s="3038"/>
      <c r="M1306" s="3038"/>
      <c r="N1306" s="3038"/>
      <c r="O1306" s="3038"/>
      <c r="P1306" s="3038"/>
      <c r="Q1306" s="3038"/>
      <c r="R1306" s="3038"/>
      <c r="S1306" s="3038"/>
      <c r="T1306" s="3038"/>
      <c r="W1306" s="3038"/>
      <c r="X1306" s="3038"/>
      <c r="Y1306" s="3038"/>
      <c r="Z1306" s="3038"/>
      <c r="AA1306" s="3113"/>
      <c r="AB1306" s="3038"/>
      <c r="AC1306" s="3038"/>
      <c r="AD1306" s="3038"/>
      <c r="AE1306" s="3132"/>
      <c r="AF1306" s="3038"/>
      <c r="AG1306" s="3038"/>
      <c r="AH1306" s="3038"/>
      <c r="AK1306" s="3038"/>
      <c r="AL1306" s="3038"/>
      <c r="AM1306" s="3038"/>
      <c r="AN1306" s="3038"/>
      <c r="AO1306" s="3038"/>
      <c r="AP1306" s="3038"/>
      <c r="AQ1306" s="3038"/>
      <c r="AR1306" s="3038"/>
      <c r="AS1306" s="3038"/>
      <c r="AT1306" s="3038"/>
      <c r="AU1306" s="3038"/>
      <c r="AV1306" s="3038"/>
      <c r="AW1306" s="3038"/>
      <c r="AX1306" s="3038"/>
      <c r="AY1306" s="3038"/>
      <c r="AZ1306" s="3038"/>
      <c r="BA1306" s="3038"/>
      <c r="BB1306" s="3038"/>
      <c r="BC1306" s="3038"/>
      <c r="BD1306" s="3038"/>
      <c r="BE1306" s="3038"/>
      <c r="BF1306" s="3038"/>
      <c r="BG1306" s="3038"/>
      <c r="BH1306" s="3038"/>
      <c r="BI1306" s="3038"/>
      <c r="BJ1306" s="3038"/>
      <c r="BK1306" s="3038"/>
      <c r="BL1306" s="3038"/>
      <c r="BM1306" s="3038"/>
      <c r="BN1306" s="3038"/>
      <c r="BO1306" s="3038"/>
      <c r="BP1306" s="3038"/>
      <c r="BQ1306" s="3038"/>
      <c r="BR1306" s="3038"/>
      <c r="BS1306" s="3038"/>
      <c r="BT1306" s="3038"/>
      <c r="BU1306" s="3038"/>
    </row>
    <row r="1307" spans="3:73">
      <c r="C1307" s="3038"/>
      <c r="D1307" s="3038"/>
      <c r="E1307" s="3038"/>
      <c r="H1307" s="3038"/>
      <c r="I1307" s="3038"/>
      <c r="J1307" s="3038"/>
      <c r="K1307" s="3038"/>
      <c r="M1307" s="3038"/>
      <c r="N1307" s="3038"/>
      <c r="O1307" s="3038"/>
      <c r="P1307" s="3038"/>
      <c r="Q1307" s="3038"/>
      <c r="R1307" s="3038"/>
      <c r="S1307" s="3038"/>
      <c r="T1307" s="3038"/>
      <c r="W1307" s="3038"/>
      <c r="X1307" s="3038"/>
      <c r="Y1307" s="3038"/>
      <c r="Z1307" s="3038"/>
      <c r="AA1307" s="3113"/>
      <c r="AB1307" s="3038"/>
      <c r="AC1307" s="3038"/>
      <c r="AD1307" s="3038"/>
      <c r="AE1307" s="3132"/>
      <c r="AF1307" s="3038"/>
      <c r="AG1307" s="3038"/>
      <c r="AH1307" s="3038"/>
      <c r="AK1307" s="3038"/>
      <c r="AL1307" s="3038"/>
      <c r="AM1307" s="3038"/>
      <c r="AN1307" s="3038"/>
      <c r="AO1307" s="3038"/>
      <c r="AP1307" s="3038"/>
      <c r="AQ1307" s="3038"/>
      <c r="AR1307" s="3038"/>
      <c r="AS1307" s="3038"/>
      <c r="AT1307" s="3038"/>
      <c r="AU1307" s="3038"/>
      <c r="AV1307" s="3038"/>
      <c r="AW1307" s="3038"/>
      <c r="AX1307" s="3038"/>
      <c r="AY1307" s="3038"/>
      <c r="AZ1307" s="3038"/>
      <c r="BA1307" s="3038"/>
      <c r="BB1307" s="3038"/>
      <c r="BC1307" s="3038"/>
      <c r="BD1307" s="3038"/>
      <c r="BE1307" s="3038"/>
      <c r="BF1307" s="3038"/>
      <c r="BG1307" s="3038"/>
      <c r="BH1307" s="3038"/>
      <c r="BI1307" s="3038"/>
      <c r="BJ1307" s="3038"/>
      <c r="BK1307" s="3038"/>
      <c r="BL1307" s="3038"/>
      <c r="BM1307" s="3038"/>
      <c r="BN1307" s="3038"/>
      <c r="BO1307" s="3038"/>
      <c r="BP1307" s="3038"/>
      <c r="BQ1307" s="3038"/>
      <c r="BR1307" s="3038"/>
      <c r="BS1307" s="3038"/>
      <c r="BT1307" s="3038"/>
      <c r="BU1307" s="3038"/>
    </row>
    <row r="1308" spans="3:73">
      <c r="C1308" s="3038"/>
      <c r="D1308" s="3038"/>
      <c r="E1308" s="3038"/>
      <c r="H1308" s="3038"/>
      <c r="I1308" s="3038"/>
      <c r="J1308" s="3038"/>
      <c r="K1308" s="3038"/>
      <c r="M1308" s="3038"/>
      <c r="N1308" s="3038"/>
      <c r="O1308" s="3038"/>
      <c r="P1308" s="3038"/>
      <c r="Q1308" s="3038"/>
      <c r="R1308" s="3038"/>
      <c r="S1308" s="3038"/>
      <c r="T1308" s="3038"/>
      <c r="W1308" s="3038"/>
      <c r="X1308" s="3038"/>
      <c r="Y1308" s="3038"/>
      <c r="Z1308" s="3038"/>
      <c r="AA1308" s="3113"/>
      <c r="AB1308" s="3038"/>
      <c r="AC1308" s="3038"/>
      <c r="AD1308" s="3038"/>
      <c r="AE1308" s="3132"/>
      <c r="AF1308" s="3038"/>
      <c r="AG1308" s="3038"/>
      <c r="AH1308" s="3038"/>
      <c r="AK1308" s="3038"/>
      <c r="AL1308" s="3038"/>
      <c r="AM1308" s="3038"/>
      <c r="AN1308" s="3038"/>
      <c r="AO1308" s="3038"/>
      <c r="AP1308" s="3038"/>
      <c r="AQ1308" s="3038"/>
      <c r="AR1308" s="3038"/>
      <c r="AS1308" s="3038"/>
      <c r="AT1308" s="3038"/>
      <c r="AU1308" s="3038"/>
      <c r="AV1308" s="3038"/>
      <c r="AW1308" s="3038"/>
      <c r="AX1308" s="3038"/>
      <c r="AY1308" s="3038"/>
      <c r="AZ1308" s="3038"/>
      <c r="BA1308" s="3038"/>
      <c r="BB1308" s="3038"/>
      <c r="BC1308" s="3038"/>
      <c r="BD1308" s="3038"/>
      <c r="BE1308" s="3038"/>
      <c r="BF1308" s="3038"/>
      <c r="BG1308" s="3038"/>
      <c r="BH1308" s="3038"/>
      <c r="BI1308" s="3038"/>
      <c r="BJ1308" s="3038"/>
      <c r="BK1308" s="3038"/>
      <c r="BL1308" s="3038"/>
      <c r="BM1308" s="3038"/>
      <c r="BN1308" s="3038"/>
      <c r="BO1308" s="3038"/>
      <c r="BP1308" s="3038"/>
      <c r="BQ1308" s="3038"/>
      <c r="BR1308" s="3038"/>
      <c r="BS1308" s="3038"/>
      <c r="BT1308" s="3038"/>
      <c r="BU1308" s="3038"/>
    </row>
    <row r="1309" spans="3:73">
      <c r="C1309" s="3038"/>
      <c r="D1309" s="3038"/>
      <c r="E1309" s="3038"/>
      <c r="H1309" s="3038"/>
      <c r="I1309" s="3038"/>
      <c r="J1309" s="3038"/>
      <c r="K1309" s="3038"/>
      <c r="M1309" s="3038"/>
      <c r="N1309" s="3038"/>
      <c r="O1309" s="3038"/>
      <c r="P1309" s="3038"/>
      <c r="Q1309" s="3038"/>
      <c r="R1309" s="3038"/>
      <c r="S1309" s="3038"/>
      <c r="T1309" s="3038"/>
      <c r="W1309" s="3038"/>
      <c r="X1309" s="3038"/>
      <c r="Y1309" s="3038"/>
      <c r="Z1309" s="3038"/>
      <c r="AA1309" s="3113"/>
      <c r="AB1309" s="3038"/>
      <c r="AC1309" s="3038"/>
      <c r="AD1309" s="3038"/>
      <c r="AE1309" s="3132"/>
      <c r="AF1309" s="3038"/>
      <c r="AG1309" s="3038"/>
      <c r="AH1309" s="3038"/>
      <c r="AK1309" s="3038"/>
      <c r="AL1309" s="3038"/>
      <c r="AM1309" s="3038"/>
      <c r="AN1309" s="3038"/>
      <c r="AO1309" s="3038"/>
      <c r="AP1309" s="3038"/>
      <c r="AQ1309" s="3038"/>
      <c r="AR1309" s="3038"/>
      <c r="AS1309" s="3038"/>
      <c r="AT1309" s="3038"/>
      <c r="AU1309" s="3038"/>
      <c r="AV1309" s="3038"/>
      <c r="AW1309" s="3038"/>
      <c r="AX1309" s="3038"/>
      <c r="AY1309" s="3038"/>
      <c r="AZ1309" s="3038"/>
      <c r="BA1309" s="3038"/>
      <c r="BB1309" s="3038"/>
      <c r="BC1309" s="3038"/>
      <c r="BD1309" s="3038"/>
      <c r="BE1309" s="3038"/>
      <c r="BF1309" s="3038"/>
      <c r="BG1309" s="3038"/>
      <c r="BH1309" s="3038"/>
      <c r="BI1309" s="3038"/>
      <c r="BJ1309" s="3038"/>
      <c r="BK1309" s="3038"/>
      <c r="BL1309" s="3038"/>
      <c r="BM1309" s="3038"/>
      <c r="BN1309" s="3038"/>
      <c r="BO1309" s="3038"/>
      <c r="BP1309" s="3038"/>
      <c r="BQ1309" s="3038"/>
      <c r="BR1309" s="3038"/>
      <c r="BS1309" s="3038"/>
      <c r="BT1309" s="3038"/>
      <c r="BU1309" s="3038"/>
    </row>
    <row r="1310" spans="3:73">
      <c r="C1310" s="3038"/>
      <c r="D1310" s="3038"/>
      <c r="E1310" s="3038"/>
      <c r="H1310" s="3038"/>
      <c r="I1310" s="3038"/>
      <c r="J1310" s="3038"/>
      <c r="K1310" s="3038"/>
      <c r="M1310" s="3038"/>
      <c r="N1310" s="3038"/>
      <c r="O1310" s="3038"/>
      <c r="P1310" s="3038"/>
      <c r="Q1310" s="3038"/>
      <c r="R1310" s="3038"/>
      <c r="S1310" s="3038"/>
      <c r="T1310" s="3038"/>
      <c r="W1310" s="3038"/>
      <c r="X1310" s="3038"/>
      <c r="Y1310" s="3038"/>
      <c r="Z1310" s="3038"/>
      <c r="AA1310" s="3113"/>
      <c r="AB1310" s="3038"/>
      <c r="AC1310" s="3038"/>
      <c r="AD1310" s="3038"/>
      <c r="AE1310" s="3132"/>
      <c r="AF1310" s="3038"/>
      <c r="AG1310" s="3038"/>
      <c r="AH1310" s="3038"/>
      <c r="AK1310" s="3038"/>
      <c r="AL1310" s="3038"/>
      <c r="AM1310" s="3038"/>
      <c r="AN1310" s="3038"/>
      <c r="AO1310" s="3038"/>
      <c r="AP1310" s="3038"/>
      <c r="AQ1310" s="3038"/>
      <c r="AR1310" s="3038"/>
      <c r="AS1310" s="3038"/>
      <c r="AT1310" s="3038"/>
      <c r="AU1310" s="3038"/>
      <c r="AV1310" s="3038"/>
      <c r="AW1310" s="3038"/>
      <c r="AX1310" s="3038"/>
      <c r="AY1310" s="3038"/>
      <c r="AZ1310" s="3038"/>
      <c r="BA1310" s="3038"/>
      <c r="BB1310" s="3038"/>
      <c r="BC1310" s="3038"/>
      <c r="BD1310" s="3038"/>
      <c r="BE1310" s="3038"/>
      <c r="BF1310" s="3038"/>
      <c r="BG1310" s="3038"/>
      <c r="BH1310" s="3038"/>
      <c r="BI1310" s="3038"/>
      <c r="BJ1310" s="3038"/>
      <c r="BK1310" s="3038"/>
      <c r="BL1310" s="3038"/>
      <c r="BM1310" s="3038"/>
      <c r="BN1310" s="3038"/>
      <c r="BO1310" s="3038"/>
      <c r="BP1310" s="3038"/>
      <c r="BQ1310" s="3038"/>
      <c r="BR1310" s="3038"/>
      <c r="BS1310" s="3038"/>
      <c r="BT1310" s="3038"/>
      <c r="BU1310" s="3038"/>
    </row>
    <row r="1311" spans="3:73">
      <c r="C1311" s="3038"/>
      <c r="D1311" s="3038"/>
      <c r="E1311" s="3038"/>
      <c r="H1311" s="3038"/>
      <c r="I1311" s="3038"/>
      <c r="J1311" s="3038"/>
      <c r="K1311" s="3038"/>
      <c r="M1311" s="3038"/>
      <c r="N1311" s="3038"/>
      <c r="O1311" s="3038"/>
      <c r="P1311" s="3038"/>
      <c r="Q1311" s="3038"/>
      <c r="R1311" s="3038"/>
      <c r="S1311" s="3038"/>
      <c r="T1311" s="3038"/>
      <c r="W1311" s="3038"/>
      <c r="X1311" s="3038"/>
      <c r="Y1311" s="3038"/>
      <c r="Z1311" s="3038"/>
      <c r="AA1311" s="3113"/>
      <c r="AB1311" s="3038"/>
      <c r="AC1311" s="3038"/>
      <c r="AD1311" s="3038"/>
      <c r="AE1311" s="3132"/>
      <c r="AF1311" s="3038"/>
      <c r="AG1311" s="3038"/>
      <c r="AH1311" s="3038"/>
      <c r="AK1311" s="3038"/>
      <c r="AL1311" s="3038"/>
      <c r="AM1311" s="3038"/>
      <c r="AN1311" s="3038"/>
      <c r="AO1311" s="3038"/>
      <c r="AP1311" s="3038"/>
      <c r="AQ1311" s="3038"/>
      <c r="AR1311" s="3038"/>
      <c r="AS1311" s="3038"/>
      <c r="AT1311" s="3038"/>
      <c r="AU1311" s="3038"/>
      <c r="AV1311" s="3038"/>
      <c r="AW1311" s="3038"/>
      <c r="AX1311" s="3038"/>
      <c r="AY1311" s="3038"/>
      <c r="AZ1311" s="3038"/>
      <c r="BA1311" s="3038"/>
      <c r="BB1311" s="3038"/>
      <c r="BC1311" s="3038"/>
      <c r="BD1311" s="3038"/>
      <c r="BE1311" s="3038"/>
      <c r="BF1311" s="3038"/>
      <c r="BG1311" s="3038"/>
      <c r="BH1311" s="3038"/>
      <c r="BI1311" s="3038"/>
      <c r="BJ1311" s="3038"/>
      <c r="BK1311" s="3038"/>
      <c r="BL1311" s="3038"/>
      <c r="BM1311" s="3038"/>
      <c r="BN1311" s="3038"/>
      <c r="BO1311" s="3038"/>
      <c r="BP1311" s="3038"/>
      <c r="BQ1311" s="3038"/>
      <c r="BR1311" s="3038"/>
      <c r="BS1311" s="3038"/>
      <c r="BT1311" s="3038"/>
      <c r="BU1311" s="3038"/>
    </row>
    <row r="1312" spans="3:73">
      <c r="C1312" s="3038"/>
      <c r="D1312" s="3038"/>
      <c r="E1312" s="3038"/>
      <c r="H1312" s="3038"/>
      <c r="I1312" s="3038"/>
      <c r="J1312" s="3038"/>
      <c r="K1312" s="3038"/>
      <c r="M1312" s="3038"/>
      <c r="N1312" s="3038"/>
      <c r="O1312" s="3038"/>
      <c r="P1312" s="3038"/>
      <c r="Q1312" s="3038"/>
      <c r="R1312" s="3038"/>
      <c r="S1312" s="3038"/>
      <c r="T1312" s="3038"/>
      <c r="W1312" s="3038"/>
      <c r="X1312" s="3038"/>
      <c r="Y1312" s="3038"/>
      <c r="Z1312" s="3038"/>
      <c r="AA1312" s="3113"/>
      <c r="AB1312" s="3038"/>
      <c r="AC1312" s="3038"/>
      <c r="AD1312" s="3038"/>
      <c r="AE1312" s="3132"/>
      <c r="AF1312" s="3038"/>
      <c r="AG1312" s="3038"/>
      <c r="AH1312" s="3038"/>
      <c r="AK1312" s="3038"/>
      <c r="AL1312" s="3038"/>
      <c r="AM1312" s="3038"/>
      <c r="AN1312" s="3038"/>
      <c r="AO1312" s="3038"/>
      <c r="AP1312" s="3038"/>
      <c r="AQ1312" s="3038"/>
      <c r="AR1312" s="3038"/>
      <c r="AS1312" s="3038"/>
      <c r="AT1312" s="3038"/>
      <c r="AU1312" s="3038"/>
      <c r="AV1312" s="3038"/>
      <c r="AW1312" s="3038"/>
      <c r="AX1312" s="3038"/>
      <c r="AY1312" s="3038"/>
      <c r="AZ1312" s="3038"/>
      <c r="BA1312" s="3038"/>
      <c r="BB1312" s="3038"/>
      <c r="BC1312" s="3038"/>
      <c r="BD1312" s="3038"/>
      <c r="BE1312" s="3038"/>
      <c r="BF1312" s="3038"/>
      <c r="BG1312" s="3038"/>
      <c r="BH1312" s="3038"/>
      <c r="BI1312" s="3038"/>
      <c r="BJ1312" s="3038"/>
      <c r="BK1312" s="3038"/>
      <c r="BL1312" s="3038"/>
      <c r="BM1312" s="3038"/>
      <c r="BN1312" s="3038"/>
      <c r="BO1312" s="3038"/>
      <c r="BP1312" s="3038"/>
      <c r="BQ1312" s="3038"/>
      <c r="BR1312" s="3038"/>
      <c r="BS1312" s="3038"/>
      <c r="BT1312" s="3038"/>
      <c r="BU1312" s="3038"/>
    </row>
    <row r="1313" spans="3:73">
      <c r="C1313" s="3038"/>
      <c r="D1313" s="3038"/>
      <c r="E1313" s="3038"/>
      <c r="H1313" s="3038"/>
      <c r="I1313" s="3038"/>
      <c r="J1313" s="3038"/>
      <c r="K1313" s="3038"/>
      <c r="M1313" s="3038"/>
      <c r="N1313" s="3038"/>
      <c r="O1313" s="3038"/>
      <c r="P1313" s="3038"/>
      <c r="Q1313" s="3038"/>
      <c r="R1313" s="3038"/>
      <c r="S1313" s="3038"/>
      <c r="T1313" s="3038"/>
      <c r="W1313" s="3038"/>
      <c r="X1313" s="3038"/>
      <c r="Y1313" s="3038"/>
      <c r="Z1313" s="3038"/>
      <c r="AA1313" s="3113"/>
      <c r="AB1313" s="3038"/>
      <c r="AC1313" s="3038"/>
      <c r="AD1313" s="3038"/>
      <c r="AE1313" s="3132"/>
      <c r="AF1313" s="3038"/>
      <c r="AG1313" s="3038"/>
      <c r="AH1313" s="3038"/>
      <c r="AK1313" s="3038"/>
      <c r="AL1313" s="3038"/>
      <c r="AM1313" s="3038"/>
      <c r="AN1313" s="3038"/>
      <c r="AO1313" s="3038"/>
      <c r="AP1313" s="3038"/>
      <c r="AQ1313" s="3038"/>
      <c r="AR1313" s="3038"/>
      <c r="AS1313" s="3038"/>
      <c r="AT1313" s="3038"/>
      <c r="AU1313" s="3038"/>
      <c r="AV1313" s="3038"/>
      <c r="AW1313" s="3038"/>
      <c r="AX1313" s="3038"/>
      <c r="AY1313" s="3038"/>
      <c r="AZ1313" s="3038"/>
      <c r="BA1313" s="3038"/>
      <c r="BB1313" s="3038"/>
      <c r="BC1313" s="3038"/>
      <c r="BD1313" s="3038"/>
      <c r="BE1313" s="3038"/>
      <c r="BF1313" s="3038"/>
      <c r="BG1313" s="3038"/>
      <c r="BH1313" s="3038"/>
      <c r="BI1313" s="3038"/>
      <c r="BJ1313" s="3038"/>
      <c r="BK1313" s="3038"/>
      <c r="BL1313" s="3038"/>
      <c r="BM1313" s="3038"/>
      <c r="BN1313" s="3038"/>
      <c r="BO1313" s="3038"/>
      <c r="BP1313" s="3038"/>
      <c r="BQ1313" s="3038"/>
      <c r="BR1313" s="3038"/>
      <c r="BS1313" s="3038"/>
      <c r="BT1313" s="3038"/>
      <c r="BU1313" s="3038"/>
    </row>
    <row r="1314" spans="3:73">
      <c r="C1314" s="3038"/>
      <c r="D1314" s="3038"/>
      <c r="E1314" s="3038"/>
      <c r="H1314" s="3038"/>
      <c r="I1314" s="3038"/>
      <c r="J1314" s="3038"/>
      <c r="K1314" s="3038"/>
      <c r="M1314" s="3038"/>
      <c r="N1314" s="3038"/>
      <c r="O1314" s="3038"/>
      <c r="P1314" s="3038"/>
      <c r="Q1314" s="3038"/>
      <c r="R1314" s="3038"/>
      <c r="S1314" s="3038"/>
      <c r="T1314" s="3038"/>
      <c r="W1314" s="3038"/>
      <c r="X1314" s="3038"/>
      <c r="Y1314" s="3038"/>
      <c r="Z1314" s="3038"/>
      <c r="AA1314" s="3113"/>
      <c r="AB1314" s="3038"/>
      <c r="AC1314" s="3038"/>
      <c r="AD1314" s="3038"/>
      <c r="AE1314" s="3132"/>
      <c r="AF1314" s="3038"/>
      <c r="AG1314" s="3038"/>
      <c r="AH1314" s="3038"/>
      <c r="AK1314" s="3038"/>
      <c r="AL1314" s="3038"/>
      <c r="AM1314" s="3038"/>
      <c r="AN1314" s="3038"/>
      <c r="AO1314" s="3038"/>
      <c r="AP1314" s="3038"/>
      <c r="AQ1314" s="3038"/>
      <c r="AR1314" s="3038"/>
      <c r="AS1314" s="3038"/>
      <c r="AT1314" s="3038"/>
      <c r="AU1314" s="3038"/>
      <c r="AV1314" s="3038"/>
      <c r="AW1314" s="3038"/>
      <c r="AX1314" s="3038"/>
      <c r="AY1314" s="3038"/>
      <c r="AZ1314" s="3038"/>
      <c r="BA1314" s="3038"/>
      <c r="BB1314" s="3038"/>
      <c r="BC1314" s="3038"/>
      <c r="BD1314" s="3038"/>
      <c r="BE1314" s="3038"/>
      <c r="BF1314" s="3038"/>
      <c r="BG1314" s="3038"/>
      <c r="BH1314" s="3038"/>
      <c r="BI1314" s="3038"/>
      <c r="BJ1314" s="3038"/>
      <c r="BK1314" s="3038"/>
      <c r="BL1314" s="3038"/>
      <c r="BM1314" s="3038"/>
      <c r="BN1314" s="3038"/>
      <c r="BO1314" s="3038"/>
      <c r="BP1314" s="3038"/>
      <c r="BQ1314" s="3038"/>
      <c r="BR1314" s="3038"/>
      <c r="BS1314" s="3038"/>
      <c r="BT1314" s="3038"/>
      <c r="BU1314" s="3038"/>
    </row>
    <row r="1315" spans="3:73">
      <c r="C1315" s="3038"/>
      <c r="D1315" s="3038"/>
      <c r="E1315" s="3038"/>
      <c r="H1315" s="3038"/>
      <c r="I1315" s="3038"/>
      <c r="J1315" s="3038"/>
      <c r="K1315" s="3038"/>
      <c r="M1315" s="3038"/>
      <c r="N1315" s="3038"/>
      <c r="O1315" s="3038"/>
      <c r="P1315" s="3038"/>
      <c r="Q1315" s="3038"/>
      <c r="R1315" s="3038"/>
      <c r="S1315" s="3038"/>
      <c r="T1315" s="3038"/>
      <c r="W1315" s="3038"/>
      <c r="X1315" s="3038"/>
      <c r="Y1315" s="3038"/>
      <c r="Z1315" s="3038"/>
      <c r="AA1315" s="3113"/>
      <c r="AB1315" s="3038"/>
      <c r="AC1315" s="3038"/>
      <c r="AD1315" s="3038"/>
      <c r="AE1315" s="3132"/>
      <c r="AF1315" s="3038"/>
      <c r="AG1315" s="3038"/>
      <c r="AH1315" s="3038"/>
      <c r="AK1315" s="3038"/>
      <c r="AL1315" s="3038"/>
      <c r="AM1315" s="3038"/>
      <c r="AN1315" s="3038"/>
      <c r="AO1315" s="3038"/>
      <c r="AP1315" s="3038"/>
      <c r="AQ1315" s="3038"/>
      <c r="AR1315" s="3038"/>
      <c r="AS1315" s="3038"/>
      <c r="AT1315" s="3038"/>
      <c r="AU1315" s="3038"/>
      <c r="AV1315" s="3038"/>
      <c r="AW1315" s="3038"/>
      <c r="AX1315" s="3038"/>
      <c r="AY1315" s="3038"/>
      <c r="AZ1315" s="3038"/>
      <c r="BA1315" s="3038"/>
      <c r="BB1315" s="3038"/>
      <c r="BC1315" s="3038"/>
      <c r="BD1315" s="3038"/>
      <c r="BE1315" s="3038"/>
      <c r="BF1315" s="3038"/>
      <c r="BG1315" s="3038"/>
      <c r="BH1315" s="3038"/>
      <c r="BI1315" s="3038"/>
      <c r="BJ1315" s="3038"/>
      <c r="BK1315" s="3038"/>
      <c r="BL1315" s="3038"/>
      <c r="BM1315" s="3038"/>
      <c r="BN1315" s="3038"/>
      <c r="BO1315" s="3038"/>
      <c r="BP1315" s="3038"/>
      <c r="BQ1315" s="3038"/>
      <c r="BR1315" s="3038"/>
      <c r="BS1315" s="3038"/>
      <c r="BT1315" s="3038"/>
      <c r="BU1315" s="3038"/>
    </row>
    <row r="1316" spans="3:73">
      <c r="C1316" s="3038"/>
      <c r="D1316" s="3038"/>
      <c r="E1316" s="3038"/>
      <c r="H1316" s="3038"/>
      <c r="I1316" s="3038"/>
      <c r="J1316" s="3038"/>
      <c r="K1316" s="3038"/>
      <c r="M1316" s="3038"/>
      <c r="N1316" s="3038"/>
      <c r="O1316" s="3038"/>
      <c r="P1316" s="3038"/>
      <c r="Q1316" s="3038"/>
      <c r="R1316" s="3038"/>
      <c r="S1316" s="3038"/>
      <c r="T1316" s="3038"/>
      <c r="W1316" s="3038"/>
      <c r="X1316" s="3038"/>
      <c r="Y1316" s="3038"/>
      <c r="Z1316" s="3038"/>
      <c r="AA1316" s="3113"/>
      <c r="AB1316" s="3038"/>
      <c r="AC1316" s="3038"/>
      <c r="AD1316" s="3038"/>
      <c r="AE1316" s="3132"/>
      <c r="AF1316" s="3038"/>
      <c r="AG1316" s="3038"/>
      <c r="AH1316" s="3038"/>
      <c r="AK1316" s="3038"/>
      <c r="AL1316" s="3038"/>
      <c r="AM1316" s="3038"/>
      <c r="AN1316" s="3038"/>
      <c r="AO1316" s="3038"/>
      <c r="AP1316" s="3038"/>
      <c r="AQ1316" s="3038"/>
      <c r="AR1316" s="3038"/>
      <c r="AS1316" s="3038"/>
      <c r="AT1316" s="3038"/>
      <c r="AU1316" s="3038"/>
      <c r="AV1316" s="3038"/>
      <c r="AW1316" s="3038"/>
      <c r="AX1316" s="3038"/>
      <c r="AY1316" s="3038"/>
      <c r="AZ1316" s="3038"/>
      <c r="BA1316" s="3038"/>
      <c r="BB1316" s="3038"/>
      <c r="BC1316" s="3038"/>
      <c r="BD1316" s="3038"/>
      <c r="BE1316" s="3038"/>
      <c r="BF1316" s="3038"/>
      <c r="BG1316" s="3038"/>
      <c r="BH1316" s="3038"/>
      <c r="BI1316" s="3038"/>
      <c r="BJ1316" s="3038"/>
      <c r="BK1316" s="3038"/>
      <c r="BL1316" s="3038"/>
      <c r="BM1316" s="3038"/>
      <c r="BN1316" s="3038"/>
      <c r="BO1316" s="3038"/>
      <c r="BP1316" s="3038"/>
      <c r="BQ1316" s="3038"/>
      <c r="BR1316" s="3038"/>
      <c r="BS1316" s="3038"/>
      <c r="BT1316" s="3038"/>
      <c r="BU1316" s="3038"/>
    </row>
    <row r="1317" spans="3:73">
      <c r="C1317" s="3038"/>
      <c r="D1317" s="3038"/>
      <c r="E1317" s="3038"/>
      <c r="H1317" s="3038"/>
      <c r="I1317" s="3038"/>
      <c r="J1317" s="3038"/>
      <c r="K1317" s="3038"/>
      <c r="M1317" s="3038"/>
      <c r="N1317" s="3038"/>
      <c r="O1317" s="3038"/>
      <c r="P1317" s="3038"/>
      <c r="Q1317" s="3038"/>
      <c r="R1317" s="3038"/>
      <c r="S1317" s="3038"/>
      <c r="T1317" s="3038"/>
      <c r="W1317" s="3038"/>
      <c r="X1317" s="3038"/>
      <c r="Y1317" s="3038"/>
      <c r="Z1317" s="3038"/>
      <c r="AA1317" s="3113"/>
      <c r="AB1317" s="3038"/>
      <c r="AC1317" s="3038"/>
      <c r="AD1317" s="3038"/>
      <c r="AE1317" s="3132"/>
      <c r="AF1317" s="3038"/>
      <c r="AG1317" s="3038"/>
      <c r="AH1317" s="3038"/>
      <c r="AK1317" s="3038"/>
      <c r="AL1317" s="3038"/>
      <c r="AM1317" s="3038"/>
      <c r="AN1317" s="3038"/>
      <c r="AO1317" s="3038"/>
      <c r="AP1317" s="3038"/>
      <c r="AQ1317" s="3038"/>
      <c r="AR1317" s="3038"/>
      <c r="AS1317" s="3038"/>
      <c r="AT1317" s="3038"/>
      <c r="AU1317" s="3038"/>
      <c r="AV1317" s="3038"/>
      <c r="AW1317" s="3038"/>
      <c r="AX1317" s="3038"/>
      <c r="AY1317" s="3038"/>
      <c r="AZ1317" s="3038"/>
      <c r="BA1317" s="3038"/>
      <c r="BB1317" s="3038"/>
      <c r="BC1317" s="3038"/>
      <c r="BD1317" s="3038"/>
      <c r="BE1317" s="3038"/>
      <c r="BF1317" s="3038"/>
      <c r="BG1317" s="3038"/>
      <c r="BH1317" s="3038"/>
      <c r="BI1317" s="3038"/>
      <c r="BJ1317" s="3038"/>
      <c r="BK1317" s="3038"/>
      <c r="BL1317" s="3038"/>
      <c r="BM1317" s="3038"/>
      <c r="BN1317" s="3038"/>
      <c r="BO1317" s="3038"/>
      <c r="BP1317" s="3038"/>
      <c r="BQ1317" s="3038"/>
      <c r="BR1317" s="3038"/>
      <c r="BS1317" s="3038"/>
      <c r="BT1317" s="3038"/>
      <c r="BU1317" s="3038"/>
    </row>
    <row r="1318" spans="3:73">
      <c r="C1318" s="3038"/>
      <c r="D1318" s="3038"/>
      <c r="E1318" s="3038"/>
      <c r="H1318" s="3038"/>
      <c r="I1318" s="3038"/>
      <c r="J1318" s="3038"/>
      <c r="K1318" s="3038"/>
      <c r="M1318" s="3038"/>
      <c r="N1318" s="3038"/>
      <c r="O1318" s="3038"/>
      <c r="P1318" s="3038"/>
      <c r="Q1318" s="3038"/>
      <c r="R1318" s="3038"/>
      <c r="S1318" s="3038"/>
      <c r="T1318" s="3038"/>
      <c r="W1318" s="3038"/>
      <c r="X1318" s="3038"/>
      <c r="Y1318" s="3038"/>
      <c r="Z1318" s="3038"/>
      <c r="AA1318" s="3113"/>
      <c r="AB1318" s="3038"/>
      <c r="AC1318" s="3038"/>
      <c r="AD1318" s="3038"/>
      <c r="AE1318" s="3132"/>
      <c r="AF1318" s="3038"/>
      <c r="AG1318" s="3038"/>
      <c r="AH1318" s="3038"/>
      <c r="AK1318" s="3038"/>
      <c r="AL1318" s="3038"/>
      <c r="AM1318" s="3038"/>
      <c r="AN1318" s="3038"/>
      <c r="AO1318" s="3038"/>
      <c r="AP1318" s="3038"/>
      <c r="AQ1318" s="3038"/>
      <c r="AR1318" s="3038"/>
      <c r="AS1318" s="3038"/>
      <c r="AT1318" s="3038"/>
      <c r="AU1318" s="3038"/>
      <c r="AV1318" s="3038"/>
      <c r="AW1318" s="3038"/>
      <c r="AX1318" s="3038"/>
      <c r="AY1318" s="3038"/>
      <c r="AZ1318" s="3038"/>
      <c r="BA1318" s="3038"/>
      <c r="BB1318" s="3038"/>
      <c r="BC1318" s="3038"/>
      <c r="BD1318" s="3038"/>
      <c r="BE1318" s="3038"/>
      <c r="BF1318" s="3038"/>
      <c r="BG1318" s="3038"/>
      <c r="BH1318" s="3038"/>
      <c r="BI1318" s="3038"/>
      <c r="BJ1318" s="3038"/>
      <c r="BK1318" s="3038"/>
      <c r="BL1318" s="3038"/>
      <c r="BM1318" s="3038"/>
      <c r="BN1318" s="3038"/>
      <c r="BO1318" s="3038"/>
      <c r="BP1318" s="3038"/>
      <c r="BQ1318" s="3038"/>
      <c r="BR1318" s="3038"/>
      <c r="BS1318" s="3038"/>
      <c r="BT1318" s="3038"/>
      <c r="BU1318" s="3038"/>
    </row>
    <row r="1319" spans="3:73">
      <c r="C1319" s="3038"/>
      <c r="D1319" s="3038"/>
      <c r="E1319" s="3038"/>
      <c r="H1319" s="3038"/>
      <c r="I1319" s="3038"/>
      <c r="J1319" s="3038"/>
      <c r="K1319" s="3038"/>
      <c r="M1319" s="3038"/>
      <c r="N1319" s="3038"/>
      <c r="O1319" s="3038"/>
      <c r="P1319" s="3038"/>
      <c r="Q1319" s="3038"/>
      <c r="R1319" s="3038"/>
      <c r="S1319" s="3038"/>
      <c r="T1319" s="3038"/>
      <c r="W1319" s="3038"/>
      <c r="X1319" s="3038"/>
      <c r="Y1319" s="3038"/>
      <c r="Z1319" s="3038"/>
      <c r="AA1319" s="3113"/>
      <c r="AB1319" s="3038"/>
      <c r="AC1319" s="3038"/>
      <c r="AD1319" s="3038"/>
      <c r="AE1319" s="3132"/>
      <c r="AF1319" s="3038"/>
      <c r="AG1319" s="3038"/>
      <c r="AH1319" s="3038"/>
      <c r="AK1319" s="3038"/>
      <c r="AL1319" s="3038"/>
      <c r="AM1319" s="3038"/>
      <c r="AN1319" s="3038"/>
      <c r="AO1319" s="3038"/>
      <c r="AP1319" s="3038"/>
      <c r="AQ1319" s="3038"/>
      <c r="AR1319" s="3038"/>
      <c r="AS1319" s="3038"/>
      <c r="AT1319" s="3038"/>
      <c r="AU1319" s="3038"/>
      <c r="AV1319" s="3038"/>
      <c r="AW1319" s="3038"/>
      <c r="AX1319" s="3038"/>
      <c r="AY1319" s="3038"/>
      <c r="AZ1319" s="3038"/>
      <c r="BA1319" s="3038"/>
      <c r="BB1319" s="3038"/>
      <c r="BC1319" s="3038"/>
      <c r="BD1319" s="3038"/>
      <c r="BE1319" s="3038"/>
      <c r="BF1319" s="3038"/>
      <c r="BG1319" s="3038"/>
      <c r="BH1319" s="3038"/>
      <c r="BI1319" s="3038"/>
      <c r="BJ1319" s="3038"/>
      <c r="BK1319" s="3038"/>
      <c r="BL1319" s="3038"/>
      <c r="BM1319" s="3038"/>
      <c r="BN1319" s="3038"/>
      <c r="BO1319" s="3038"/>
      <c r="BP1319" s="3038"/>
      <c r="BQ1319" s="3038"/>
      <c r="BR1319" s="3038"/>
      <c r="BS1319" s="3038"/>
      <c r="BT1319" s="3038"/>
      <c r="BU1319" s="3038"/>
    </row>
    <row r="1320" spans="3:73">
      <c r="C1320" s="3038"/>
      <c r="D1320" s="3038"/>
      <c r="E1320" s="3038"/>
      <c r="H1320" s="3038"/>
      <c r="I1320" s="3038"/>
      <c r="J1320" s="3038"/>
      <c r="K1320" s="3038"/>
      <c r="M1320" s="3038"/>
      <c r="N1320" s="3038"/>
      <c r="O1320" s="3038"/>
      <c r="P1320" s="3038"/>
      <c r="Q1320" s="3038"/>
      <c r="R1320" s="3038"/>
      <c r="S1320" s="3038"/>
      <c r="T1320" s="3038"/>
      <c r="W1320" s="3038"/>
      <c r="X1320" s="3038"/>
      <c r="Y1320" s="3038"/>
      <c r="Z1320" s="3038"/>
      <c r="AA1320" s="3113"/>
      <c r="AB1320" s="3038"/>
      <c r="AC1320" s="3038"/>
      <c r="AD1320" s="3038"/>
      <c r="AE1320" s="3132"/>
      <c r="AF1320" s="3038"/>
      <c r="AG1320" s="3038"/>
      <c r="AH1320" s="3038"/>
      <c r="AK1320" s="3038"/>
      <c r="AL1320" s="3038"/>
      <c r="AM1320" s="3038"/>
      <c r="AN1320" s="3038"/>
      <c r="AO1320" s="3038"/>
      <c r="AP1320" s="3038"/>
      <c r="AQ1320" s="3038"/>
      <c r="AR1320" s="3038"/>
      <c r="AS1320" s="3038"/>
      <c r="AT1320" s="3038"/>
      <c r="AU1320" s="3038"/>
      <c r="AV1320" s="3038"/>
      <c r="AW1320" s="3038"/>
      <c r="AX1320" s="3038"/>
      <c r="AY1320" s="3038"/>
      <c r="AZ1320" s="3038"/>
      <c r="BA1320" s="3038"/>
      <c r="BB1320" s="3038"/>
      <c r="BC1320" s="3038"/>
      <c r="BD1320" s="3038"/>
      <c r="BE1320" s="3038"/>
      <c r="BF1320" s="3038"/>
      <c r="BG1320" s="3038"/>
      <c r="BH1320" s="3038"/>
      <c r="BI1320" s="3038"/>
      <c r="BJ1320" s="3038"/>
      <c r="BK1320" s="3038"/>
      <c r="BL1320" s="3038"/>
      <c r="BM1320" s="3038"/>
      <c r="BN1320" s="3038"/>
      <c r="BO1320" s="3038"/>
      <c r="BP1320" s="3038"/>
      <c r="BQ1320" s="3038"/>
      <c r="BR1320" s="3038"/>
      <c r="BS1320" s="3038"/>
      <c r="BT1320" s="3038"/>
      <c r="BU1320" s="3038"/>
    </row>
    <row r="1321" spans="3:73">
      <c r="C1321" s="3038"/>
      <c r="D1321" s="3038"/>
      <c r="E1321" s="3038"/>
      <c r="H1321" s="3038"/>
      <c r="I1321" s="3038"/>
      <c r="J1321" s="3038"/>
      <c r="K1321" s="3038"/>
      <c r="M1321" s="3038"/>
      <c r="N1321" s="3038"/>
      <c r="O1321" s="3038"/>
      <c r="P1321" s="3038"/>
      <c r="Q1321" s="3038"/>
      <c r="R1321" s="3038"/>
      <c r="S1321" s="3038"/>
      <c r="T1321" s="3038"/>
      <c r="W1321" s="3038"/>
      <c r="X1321" s="3038"/>
      <c r="Y1321" s="3038"/>
      <c r="Z1321" s="3038"/>
      <c r="AA1321" s="3113"/>
      <c r="AB1321" s="3038"/>
      <c r="AC1321" s="3038"/>
      <c r="AD1321" s="3038"/>
      <c r="AE1321" s="3132"/>
      <c r="AF1321" s="3038"/>
      <c r="AG1321" s="3038"/>
      <c r="AH1321" s="3038"/>
      <c r="AK1321" s="3038"/>
      <c r="AL1321" s="3038"/>
      <c r="AM1321" s="3038"/>
      <c r="AN1321" s="3038"/>
      <c r="AO1321" s="3038"/>
      <c r="AP1321" s="3038"/>
      <c r="AQ1321" s="3038"/>
      <c r="AR1321" s="3038"/>
      <c r="AS1321" s="3038"/>
      <c r="AT1321" s="3038"/>
      <c r="AU1321" s="3038"/>
      <c r="AV1321" s="3038"/>
      <c r="AW1321" s="3038"/>
      <c r="AX1321" s="3038"/>
      <c r="AY1321" s="3038"/>
      <c r="AZ1321" s="3038"/>
      <c r="BA1321" s="3038"/>
      <c r="BB1321" s="3038"/>
      <c r="BC1321" s="3038"/>
      <c r="BD1321" s="3038"/>
      <c r="BE1321" s="3038"/>
      <c r="BF1321" s="3038"/>
      <c r="BG1321" s="3038"/>
      <c r="BH1321" s="3038"/>
      <c r="BI1321" s="3038"/>
      <c r="BJ1321" s="3038"/>
      <c r="BK1321" s="3038"/>
      <c r="BL1321" s="3038"/>
      <c r="BM1321" s="3038"/>
      <c r="BN1321" s="3038"/>
      <c r="BO1321" s="3038"/>
      <c r="BP1321" s="3038"/>
      <c r="BQ1321" s="3038"/>
      <c r="BR1321" s="3038"/>
      <c r="BS1321" s="3038"/>
      <c r="BT1321" s="3038"/>
      <c r="BU1321" s="3038"/>
    </row>
    <row r="1322" spans="3:73">
      <c r="C1322" s="3038"/>
      <c r="D1322" s="3038"/>
      <c r="E1322" s="3038"/>
      <c r="H1322" s="3038"/>
      <c r="I1322" s="3038"/>
      <c r="J1322" s="3038"/>
      <c r="K1322" s="3038"/>
      <c r="M1322" s="3038"/>
      <c r="N1322" s="3038"/>
      <c r="O1322" s="3038"/>
      <c r="P1322" s="3038"/>
      <c r="Q1322" s="3038"/>
      <c r="R1322" s="3038"/>
      <c r="S1322" s="3038"/>
      <c r="T1322" s="3038"/>
      <c r="W1322" s="3038"/>
      <c r="X1322" s="3038"/>
      <c r="Y1322" s="3038"/>
      <c r="Z1322" s="3038"/>
      <c r="AA1322" s="3113"/>
      <c r="AB1322" s="3038"/>
      <c r="AC1322" s="3038"/>
      <c r="AD1322" s="3038"/>
      <c r="AE1322" s="3132"/>
      <c r="AF1322" s="3038"/>
      <c r="AG1322" s="3038"/>
      <c r="AH1322" s="3038"/>
      <c r="AK1322" s="3038"/>
      <c r="AL1322" s="3038"/>
      <c r="AM1322" s="3038"/>
      <c r="AN1322" s="3038"/>
      <c r="AO1322" s="3038"/>
      <c r="AP1322" s="3038"/>
      <c r="AQ1322" s="3038"/>
      <c r="AR1322" s="3038"/>
      <c r="AS1322" s="3038"/>
      <c r="AT1322" s="3038"/>
      <c r="AU1322" s="3038"/>
      <c r="AV1322" s="3038"/>
      <c r="AW1322" s="3038"/>
      <c r="AX1322" s="3038"/>
      <c r="AY1322" s="3038"/>
      <c r="AZ1322" s="3038"/>
      <c r="BA1322" s="3038"/>
      <c r="BB1322" s="3038"/>
      <c r="BC1322" s="3038"/>
      <c r="BD1322" s="3038"/>
      <c r="BE1322" s="3038"/>
      <c r="BF1322" s="3038"/>
      <c r="BG1322" s="3038"/>
      <c r="BH1322" s="3038"/>
      <c r="BI1322" s="3038"/>
      <c r="BJ1322" s="3038"/>
      <c r="BK1322" s="3038"/>
      <c r="BL1322" s="3038"/>
      <c r="BM1322" s="3038"/>
      <c r="BN1322" s="3038"/>
      <c r="BO1322" s="3038"/>
      <c r="BP1322" s="3038"/>
      <c r="BQ1322" s="3038"/>
      <c r="BR1322" s="3038"/>
      <c r="BS1322" s="3038"/>
      <c r="BT1322" s="3038"/>
      <c r="BU1322" s="3038"/>
    </row>
  </sheetData>
  <autoFilter ref="A5:FA30"/>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 ref="M3:M5"/>
    <mergeCell ref="N3:N5"/>
    <mergeCell ref="O3:O5"/>
  </mergeCells>
  <phoneticPr fontId="143" type="noConversion"/>
  <conditionalFormatting sqref="P3:P4">
    <cfRule type="cellIs" dxfId="0" priority="1" stopIfTrue="1" operator="lessThan">
      <formula>0</formula>
    </cfRule>
  </conditionalFormatting>
  <dataValidations disablePrompts="1"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76" workbookViewId="0">
      <selection activeCell="K109" sqref="K109"/>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319" t="s">
        <v>1664</v>
      </c>
      <c r="B1" s="3319"/>
      <c r="C1" s="3319"/>
      <c r="D1" s="3319"/>
    </row>
    <row r="2" spans="1:4" ht="18">
      <c r="A2" s="3320" t="s">
        <v>1648</v>
      </c>
      <c r="B2" s="3320"/>
      <c r="C2" s="3320"/>
      <c r="D2" s="3320"/>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3320" t="s">
        <v>1654</v>
      </c>
      <c r="B6" s="3320"/>
      <c r="C6" s="3320"/>
      <c r="D6" s="3320"/>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321" t="s">
        <v>1657</v>
      </c>
      <c r="B11" s="3322"/>
      <c r="C11" s="3322"/>
      <c r="D11" s="3322"/>
    </row>
    <row r="12" spans="1:4" ht="15.75">
      <c r="A12" s="33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3"/>
      <c r="C12" s="3323"/>
      <c r="D12" s="3323"/>
    </row>
    <row r="13" spans="1:4" ht="30" customHeight="1">
      <c r="A13" s="33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3"/>
      <c r="C13" s="3323"/>
      <c r="D13" s="3323"/>
    </row>
    <row r="14" spans="1:4" ht="15.75" customHeight="1">
      <c r="A14" s="3322" t="str">
        <f>IF(项目基本情况!B8="抵押","4.本次评估估价师所知悉的法定优先受偿款情况说明如下：","——")</f>
        <v>4.本次评估估价师所知悉的法定优先受偿款情况说明如下：</v>
      </c>
      <c r="B14" s="3323"/>
      <c r="C14" s="3323"/>
      <c r="D14" s="3323"/>
    </row>
    <row r="15" spans="1:4" ht="42" customHeight="1">
      <c r="A15" s="3322" t="str">
        <f>IF(项目基本情况!B8="抵押","（1）"&amp;CONCATENATE(项目基本情况!L20,项目基本情况!L21,项目基本情况!L22),"——")</f>
        <v>（1）根据估价对象《房屋所有权证》复印件、《国有土地使用权》复印件，截至价值时点，估价对象抵押权未见登记。</v>
      </c>
      <c r="B15" s="3322"/>
      <c r="C15" s="3322"/>
      <c r="D15" s="3322"/>
    </row>
    <row r="16" spans="1:4" ht="30" customHeight="1">
      <c r="A16" s="3325" t="s">
        <v>1658</v>
      </c>
      <c r="B16" s="3325"/>
      <c r="C16" s="3325"/>
      <c r="D16" s="3325"/>
    </row>
    <row r="17" spans="1:4" ht="144" customHeight="1">
      <c r="A17" s="3325" t="s">
        <v>1659</v>
      </c>
      <c r="B17" s="3325"/>
      <c r="C17" s="3325"/>
      <c r="D17" s="3325"/>
    </row>
    <row r="18" spans="1:4" ht="15.75" customHeight="1">
      <c r="A18" s="3322" t="str">
        <f>IF(项目基本情况!B8="抵押",结果表!K120,"——")</f>
        <v>故，本次评估不存在估价师知悉的法定优先受偿款</v>
      </c>
      <c r="B18" s="3322"/>
      <c r="C18" s="3322"/>
      <c r="D18" s="3322"/>
    </row>
    <row r="19" spans="1:4" ht="46.5" customHeight="1">
      <c r="A19" s="33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2"/>
      <c r="C19" s="3322"/>
      <c r="D19" s="3322"/>
    </row>
    <row r="20" spans="1:4" ht="57.75" customHeight="1">
      <c r="A20" s="33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2"/>
      <c r="C20" s="3322"/>
      <c r="D20" s="3322"/>
    </row>
    <row r="21" spans="1:4" ht="57.75" customHeight="1">
      <c r="A21" s="33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6"/>
      <c r="C21" s="3326"/>
      <c r="D21" s="3326"/>
    </row>
    <row r="22" spans="1:4" ht="18.75" customHeight="1">
      <c r="A22" s="3327" t="s">
        <v>1660</v>
      </c>
      <c r="B22" s="3327"/>
      <c r="C22" s="3327"/>
      <c r="D22" s="3327"/>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324">
        <v>42551</v>
      </c>
      <c r="D31" s="33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333" t="s">
        <v>1671</v>
      </c>
      <c r="B15" s="3328" t="s">
        <v>136</v>
      </c>
      <c r="C15" s="3329"/>
    </row>
    <row r="16" spans="1:7" ht="13.5">
      <c r="A16" s="3334"/>
      <c r="B16" s="3328" t="s">
        <v>69</v>
      </c>
      <c r="C16" s="3329"/>
    </row>
    <row r="17" spans="1:3" ht="13.5">
      <c r="A17" s="3334"/>
      <c r="B17" s="3331" t="s">
        <v>1672</v>
      </c>
      <c r="C17" s="2001" t="s">
        <v>1671</v>
      </c>
    </row>
    <row r="18" spans="1:3" ht="13.5">
      <c r="A18" s="3334"/>
      <c r="B18" s="3331"/>
      <c r="C18" s="2001" t="s">
        <v>1673</v>
      </c>
    </row>
    <row r="19" spans="1:3" ht="13.5">
      <c r="A19" s="3334"/>
      <c r="B19" s="3331"/>
      <c r="C19" s="2001" t="s">
        <v>1674</v>
      </c>
    </row>
    <row r="20" spans="1:3" ht="13.5">
      <c r="A20" s="3335"/>
      <c r="B20" s="3330" t="s">
        <v>1675</v>
      </c>
      <c r="C20" s="3329"/>
    </row>
    <row r="21" spans="1:3" ht="13.5">
      <c r="A21" s="2002" t="s">
        <v>1676</v>
      </c>
      <c r="B21" s="2003"/>
      <c r="C21" s="2004"/>
    </row>
    <row r="22" spans="1:3" ht="13.5">
      <c r="A22" s="3332" t="s">
        <v>1677</v>
      </c>
      <c r="B22" s="3330" t="s">
        <v>1678</v>
      </c>
      <c r="C22" s="3329"/>
    </row>
    <row r="23" spans="1:3" ht="13.5">
      <c r="A23" s="3332"/>
      <c r="B23" s="3330" t="s">
        <v>1679</v>
      </c>
      <c r="C23" s="3329"/>
    </row>
    <row r="24" spans="1:3" ht="13.5">
      <c r="A24" s="3332"/>
      <c r="B24" s="3330" t="s">
        <v>1680</v>
      </c>
      <c r="C24" s="3329"/>
    </row>
    <row r="25" spans="1:3" ht="13.5">
      <c r="A25" s="3332"/>
      <c r="B25" s="3331" t="s">
        <v>1681</v>
      </c>
      <c r="C25" s="2001" t="s">
        <v>1682</v>
      </c>
    </row>
    <row r="26" spans="1:3" ht="13.5">
      <c r="A26" s="3332"/>
      <c r="B26" s="3331"/>
      <c r="C26" s="2001" t="s">
        <v>1683</v>
      </c>
    </row>
    <row r="27" spans="1:3" ht="13.5">
      <c r="A27" s="3332"/>
      <c r="B27" s="3331"/>
      <c r="C27" s="2001" t="s">
        <v>1684</v>
      </c>
    </row>
    <row r="28" spans="1:3" ht="13.5">
      <c r="A28" s="3332"/>
      <c r="B28" s="3331"/>
      <c r="C28" s="2001" t="s">
        <v>1685</v>
      </c>
    </row>
    <row r="29" spans="1:3" ht="13.5">
      <c r="A29" s="3332"/>
      <c r="B29" s="3331"/>
      <c r="C29" s="2001" t="s">
        <v>1686</v>
      </c>
    </row>
    <row r="30" spans="1:3" ht="13.5">
      <c r="A30" s="3332"/>
      <c r="B30" s="3331"/>
      <c r="C30" s="2001" t="s">
        <v>1687</v>
      </c>
    </row>
    <row r="31" spans="1:3" ht="13.5">
      <c r="A31" s="3332"/>
      <c r="B31" s="3331"/>
      <c r="C31" s="2001" t="s">
        <v>1688</v>
      </c>
    </row>
    <row r="32" spans="1:3" ht="13.5">
      <c r="A32" s="3332"/>
      <c r="B32" s="3331"/>
      <c r="C32" s="2001" t="s">
        <v>1689</v>
      </c>
    </row>
    <row r="33" spans="1:3" ht="13.5">
      <c r="A33" s="3332"/>
      <c r="B33" s="3331"/>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43060</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3336" t="s">
        <v>846</v>
      </c>
      <c r="B25" s="3336"/>
      <c r="C25" s="3336"/>
      <c r="D25" s="3336"/>
      <c r="E25" s="3336"/>
      <c r="F25" s="3336"/>
      <c r="G25" s="3336"/>
    </row>
    <row r="26" spans="1:7" s="1026" customFormat="1" ht="24" customHeight="1">
      <c r="A26" s="3337" t="s">
        <v>847</v>
      </c>
      <c r="B26" s="3337"/>
      <c r="C26" s="3338"/>
      <c r="D26" s="3339" t="s">
        <v>848</v>
      </c>
      <c r="E26" s="3337"/>
      <c r="F26" s="3337"/>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面积分摊表</vt:lpstr>
      <vt:lpstr>租赁情况</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2017-11-15T03:24:19Z</cp:lastPrinted>
  <dcterms:created xsi:type="dcterms:W3CDTF">2015-07-13T07:17:23Z</dcterms:created>
  <dcterms:modified xsi:type="dcterms:W3CDTF">2017-11-21T02:00:52Z</dcterms:modified>
</cp:coreProperties>
</file>