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桌面\门头沟利德衡大厦\"/>
    </mc:Choice>
  </mc:AlternateContent>
  <xr:revisionPtr revIDLastSave="0" documentId="13_ncr:1_{9519DEA1-389E-408E-AC3E-3C9A90AD0D59}" xr6:coauthVersionLast="47" xr6:coauthVersionMax="47" xr10:uidLastSave="{00000000-0000-0000-0000-000000000000}"/>
  <bookViews>
    <workbookView xWindow="-120" yWindow="-120" windowWidth="19440" windowHeight="15000" tabRatio="899" firstSheet="1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基准地价修正" sheetId="43" state="hidden" r:id="rId22"/>
    <sheet name="土地案例" sheetId="82" r:id="rId23"/>
    <sheet name="收益法 (车库)" sheetId="81" r:id="rId24"/>
    <sheet name="收益法" sheetId="15" r:id="rId25"/>
    <sheet name="收益法（汇总）" sheetId="70" r:id="rId26"/>
    <sheet name="成本法 (元)" sheetId="69" state="hidden" r:id="rId27"/>
    <sheet name="假设开发法" sheetId="12" state="hidden"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23">'收益法 (车库)'!$A$1:$F$43,'收益法 (车库)'!$H$3:$M$29,'收益法 (车库)'!$A$46:$F$71,'收益法 (车库)'!$I$46:$N$65</definedName>
    <definedName name="_xlnm.Print_Area" localSheetId="2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'数据-基础表'!$A$1:$AL$13</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4" i="1" l="1"/>
  <c r="N7" i="1"/>
  <c r="N22" i="1"/>
  <c r="O19" i="1"/>
  <c r="D10" i="80"/>
  <c r="L21" i="68"/>
  <c r="K20" i="68"/>
  <c r="I46" i="39"/>
  <c r="G46" i="39"/>
  <c r="E46" i="39"/>
  <c r="I38" i="39"/>
  <c r="G38" i="39"/>
  <c r="E38" i="39"/>
  <c r="C11" i="39"/>
  <c r="I11" i="39"/>
  <c r="G11" i="39"/>
  <c r="E11" i="39"/>
  <c r="I5" i="39"/>
  <c r="G5" i="39"/>
  <c r="E5" i="39"/>
  <c r="D70" i="39" l="1"/>
  <c r="E70" i="39"/>
  <c r="F70" i="39"/>
  <c r="G70" i="39"/>
  <c r="H70" i="39"/>
  <c r="I70" i="39"/>
  <c r="J70" i="39"/>
  <c r="K70" i="39"/>
  <c r="L70" i="39"/>
  <c r="M70" i="39"/>
  <c r="I7" i="39"/>
  <c r="G7" i="39"/>
  <c r="E7" i="39"/>
  <c r="H3" i="82"/>
  <c r="H4" i="82"/>
  <c r="H5" i="82"/>
  <c r="H2" i="82"/>
  <c r="F19" i="6" l="1"/>
  <c r="Q72" i="81" l="1"/>
  <c r="Q59" i="81"/>
  <c r="K59" i="8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D14" i="9"/>
  <c r="Y7" i="1"/>
  <c r="Y6" i="1"/>
  <c r="V19" i="1"/>
  <c r="AL13" i="3"/>
  <c r="K13" i="3"/>
  <c r="G20" i="6" s="1"/>
  <c r="I13" i="3"/>
  <c r="C30" i="80"/>
  <c r="C29" i="80"/>
  <c r="I13" i="4"/>
  <c r="C32" i="80"/>
  <c r="C33" i="80"/>
  <c r="C26" i="80"/>
  <c r="B26" i="80"/>
  <c r="D26" i="80" s="1"/>
  <c r="C76" i="81" l="1"/>
  <c r="Q71" i="81" s="1"/>
  <c r="L47" i="81"/>
  <c r="F42" i="81"/>
  <c r="F40" i="81"/>
  <c r="F68" i="81" s="1"/>
  <c r="F38" i="81"/>
  <c r="F66" i="81" s="1"/>
  <c r="F37" i="81"/>
  <c r="F65" i="81" s="1"/>
  <c r="F36" i="81"/>
  <c r="F64" i="81" s="1"/>
  <c r="M28" i="81"/>
  <c r="M27" i="81"/>
  <c r="M26" i="81"/>
  <c r="F26" i="81"/>
  <c r="M24" i="81"/>
  <c r="M23" i="81"/>
  <c r="M22" i="81"/>
  <c r="F16" i="81"/>
  <c r="J15" i="81"/>
  <c r="F13" i="81"/>
  <c r="M9" i="81"/>
  <c r="F9" i="81"/>
  <c r="M8" i="81"/>
  <c r="F8" i="81"/>
  <c r="F51" i="81" s="1"/>
  <c r="F7" i="81"/>
  <c r="M6" i="81"/>
  <c r="F6" i="81"/>
  <c r="C6" i="81" s="1"/>
  <c r="C27" i="81"/>
  <c r="P74" i="81"/>
  <c r="P61" i="81"/>
  <c r="F50" i="81" l="1"/>
  <c r="M7" i="81"/>
  <c r="J6" i="81" s="1"/>
  <c r="C49" i="8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P37" i="43"/>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F93" i="43"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H83" i="43"/>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26" i="15"/>
  <c r="J15" i="67"/>
  <c r="M24" i="67"/>
  <c r="L48" i="15"/>
  <c r="E2" i="68"/>
  <c r="M24" i="15"/>
  <c r="M6" i="15"/>
  <c r="F40" i="67"/>
  <c r="E8" i="76"/>
  <c r="M9" i="67"/>
  <c r="F43" i="67"/>
  <c r="F16" i="67"/>
  <c r="M8" i="67"/>
  <c r="M8" i="15"/>
  <c r="F3" i="73"/>
  <c r="F13" i="67"/>
  <c r="L48" i="67"/>
  <c r="B7" i="76"/>
  <c r="M22" i="15"/>
  <c r="E10" i="76"/>
  <c r="B13" i="76"/>
  <c r="F37" i="67"/>
  <c r="M9" i="15"/>
  <c r="B11" i="76"/>
  <c r="F8" i="67"/>
  <c r="B9" i="76"/>
  <c r="E13" i="76"/>
  <c r="L47" i="15"/>
  <c r="F38" i="15"/>
  <c r="F36" i="15"/>
  <c r="AO13" i="1"/>
  <c r="F6" i="73"/>
  <c r="M23" i="15"/>
  <c r="C76" i="67"/>
  <c r="F5" i="73"/>
  <c r="L47" i="67"/>
  <c r="M26" i="67"/>
  <c r="F13" i="15"/>
  <c r="M29" i="67"/>
  <c r="F9" i="15"/>
  <c r="D5" i="73"/>
  <c r="E11" i="76"/>
  <c r="B10" i="76"/>
  <c r="F6" i="15"/>
  <c r="D7" i="73"/>
  <c r="M28" i="15"/>
  <c r="F42" i="67"/>
  <c r="M23" i="67"/>
  <c r="F42" i="15"/>
  <c r="F40" i="15"/>
  <c r="M6" i="67"/>
  <c r="F9" i="67"/>
  <c r="F38" i="67"/>
  <c r="M28" i="67"/>
  <c r="F37" i="15"/>
  <c r="J15" i="15"/>
  <c r="F20" i="31"/>
  <c r="B8" i="76"/>
  <c r="F7" i="73"/>
  <c r="F6" i="67"/>
  <c r="F16" i="15"/>
  <c r="F26" i="67"/>
  <c r="E2" i="69"/>
  <c r="F36" i="67"/>
  <c r="C76" i="15"/>
  <c r="M26" i="15"/>
  <c r="D4" i="73"/>
  <c r="E9" i="76"/>
  <c r="F7" i="67"/>
  <c r="B12" i="76"/>
  <c r="F4" i="73"/>
  <c r="E7" i="76"/>
  <c r="F8" i="15"/>
  <c r="E12" i="76"/>
  <c r="D3" i="73"/>
  <c r="D6" i="73"/>
  <c r="M22" i="67"/>
  <c r="C28" i="81" l="1"/>
  <c r="C33" i="81"/>
  <c r="C32" i="81"/>
  <c r="C61" i="81"/>
  <c r="J19" i="81"/>
  <c r="J18" i="81"/>
  <c r="G7" i="1"/>
  <c r="L48" i="81"/>
  <c r="J57" i="81"/>
  <c r="J55" i="81" s="1"/>
  <c r="J58" i="81" s="1"/>
  <c r="Q50" i="81" s="1"/>
  <c r="I54" i="81"/>
  <c r="J53" i="81"/>
  <c r="N59" i="81"/>
  <c r="M59" i="81"/>
  <c r="L59" i="81"/>
  <c r="J51" i="15"/>
  <c r="M7" i="1"/>
  <c r="F43" i="81"/>
  <c r="M29" i="8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67"/>
  <c r="G1" i="73"/>
  <c r="Q74" i="81" l="1"/>
  <c r="Q61" i="81"/>
  <c r="Q52" i="81"/>
  <c r="F1" i="81"/>
  <c r="L60" i="81"/>
  <c r="L58" i="81"/>
  <c r="L57" i="81"/>
  <c r="L56" i="81"/>
  <c r="F71" i="81"/>
  <c r="O7" i="1"/>
  <c r="P7" i="1" s="1"/>
  <c r="C16" i="81"/>
  <c r="M11" i="81"/>
  <c r="J10" i="81" s="1"/>
  <c r="J5" i="81" s="1"/>
  <c r="F11" i="81"/>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E65" i="39" s="1"/>
  <c r="M14" i="1"/>
  <c r="D5" i="43"/>
  <c r="D26" i="43"/>
  <c r="C25" i="43" s="1"/>
  <c r="C7" i="43"/>
  <c r="C5" i="43" s="1"/>
  <c r="D10" i="52"/>
  <c r="D125" i="9"/>
  <c r="D11" i="52" s="1"/>
  <c r="B7" i="74"/>
  <c r="F67" i="39"/>
  <c r="E69"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6" i="1"/>
  <c r="AE9" i="1"/>
  <c r="AE7" i="1"/>
  <c r="AE8" i="1"/>
  <c r="AE12" i="1"/>
  <c r="AE10" i="1"/>
  <c r="F41" i="67"/>
  <c r="Q73" i="81" l="1"/>
  <c r="Q60" i="81"/>
  <c r="Q66" i="81"/>
  <c r="Q57" i="81"/>
  <c r="F41" i="81"/>
  <c r="F69" i="81" s="1"/>
  <c r="C24" i="81"/>
  <c r="C53" i="81"/>
  <c r="C48" i="81" s="1"/>
  <c r="C10" i="81"/>
  <c r="C5" i="81" s="1"/>
  <c r="J26" i="81"/>
  <c r="J29" i="81" s="1"/>
  <c r="J24" i="81"/>
  <c r="D15" i="71"/>
  <c r="C14" i="71"/>
  <c r="AZ5" i="3"/>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F25" i="12"/>
  <c r="F22" i="69"/>
  <c r="F41" i="69" s="1"/>
  <c r="F24" i="67"/>
  <c r="C24" i="67" s="1"/>
  <c r="F22" i="11"/>
  <c r="F22" i="68"/>
  <c r="F24" i="15"/>
  <c r="C24" i="15" s="1"/>
  <c r="F41" i="15"/>
  <c r="M27" i="67"/>
  <c r="M27" i="15"/>
  <c r="C38" i="81" l="1"/>
  <c r="C66" i="81"/>
  <c r="C60" i="81"/>
  <c r="D116" i="43"/>
  <c r="AY6" i="3"/>
  <c r="E3" i="6"/>
  <c r="D14" i="71"/>
  <c r="C13" i="71"/>
  <c r="C34" i="43"/>
  <c r="E34" i="43" s="1"/>
  <c r="F69" i="15"/>
  <c r="E33" i="43"/>
  <c r="S11" i="1"/>
  <c r="E11" i="70" s="1"/>
  <c r="S9" i="1"/>
  <c r="S10" i="1"/>
  <c r="E10" i="70" s="1"/>
  <c r="S12" i="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66" i="67"/>
  <c r="C60"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0" i="43"/>
  <c r="C31" i="43"/>
  <c r="E12" i="70"/>
  <c r="F34" i="11"/>
  <c r="F11" i="12"/>
  <c r="E9" i="70"/>
  <c r="AR9" i="1"/>
  <c r="AQ9" i="1"/>
  <c r="T9" i="1"/>
  <c r="AQ11" i="1"/>
  <c r="AR11" i="1"/>
  <c r="T11" i="1"/>
  <c r="AR12" i="1"/>
  <c r="T12" i="1"/>
  <c r="AQ12" i="1"/>
  <c r="AQ10" i="1"/>
  <c r="T10" i="1"/>
  <c r="AR10" i="1"/>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67"/>
  <c r="J19" i="67"/>
  <c r="E6" i="76"/>
  <c r="B6" i="76"/>
  <c r="D25" i="6" l="1"/>
  <c r="D15" i="6"/>
  <c r="D22" i="6"/>
  <c r="D21" i="6"/>
  <c r="D24" i="6"/>
  <c r="D20" i="6"/>
  <c r="M19" i="9"/>
  <c r="C118" i="9" s="1"/>
  <c r="B2" i="74" s="1"/>
  <c r="D26" i="6"/>
  <c r="D8" i="6"/>
  <c r="D14" i="6"/>
  <c r="D6" i="6"/>
  <c r="D9" i="6"/>
  <c r="D10" i="6"/>
  <c r="L19" i="9"/>
  <c r="D29" i="6"/>
  <c r="C18" i="4"/>
  <c r="D23" i="6"/>
  <c r="D5" i="6"/>
  <c r="D12" i="6"/>
  <c r="D11" i="6"/>
  <c r="D13" i="6"/>
  <c r="D28" i="6"/>
  <c r="D30" i="6" s="1"/>
  <c r="E61" i="40"/>
  <c r="C20" i="11"/>
  <c r="C24" i="11"/>
  <c r="C8" i="74"/>
  <c r="B10" i="74"/>
  <c r="C7" i="74"/>
  <c r="D10" i="11"/>
  <c r="C10" i="11" s="1"/>
  <c r="D20" i="12"/>
  <c r="C20" i="12" s="1"/>
  <c r="D10" i="69"/>
  <c r="D10" i="68"/>
  <c r="C11" i="71"/>
  <c r="T12" i="71"/>
  <c r="D12" i="71"/>
  <c r="U12" i="71" s="1"/>
  <c r="C36" i="11"/>
  <c r="C37" i="11"/>
  <c r="C23" i="12"/>
  <c r="C14" i="12"/>
  <c r="C16" i="12" s="1"/>
  <c r="E2" i="76"/>
  <c r="B2" i="76"/>
  <c r="I69" i="39"/>
  <c r="J67" i="39"/>
  <c r="I63" i="40"/>
  <c r="H65" i="40"/>
  <c r="I58" i="21"/>
  <c r="J58" i="21" s="1"/>
  <c r="K58" i="21" s="1"/>
  <c r="L58" i="21" s="1"/>
  <c r="M58" i="21" s="1"/>
  <c r="N58" i="21" s="1"/>
  <c r="O58" i="21" s="1"/>
  <c r="H7" i="21" s="1"/>
  <c r="J7" i="21"/>
  <c r="F7" i="21"/>
  <c r="J48" i="35"/>
  <c r="D16" i="6" l="1"/>
  <c r="D11" i="71"/>
  <c r="C10" i="71"/>
  <c r="C10" i="68"/>
  <c r="B29" i="1" s="1"/>
  <c r="D19" i="68"/>
  <c r="C10" i="69"/>
  <c r="C8" i="69" s="1"/>
  <c r="C5" i="69" s="1"/>
  <c r="C23" i="69" s="1"/>
  <c r="D19" i="69"/>
  <c r="C25" i="11"/>
  <c r="C22" i="11" s="1"/>
  <c r="C4" i="52"/>
  <c r="B45" i="72" s="1"/>
  <c r="A10" i="51"/>
  <c r="B9" i="72" s="1"/>
  <c r="A7" i="51"/>
  <c r="B7" i="72" s="1"/>
  <c r="D8" i="74"/>
  <c r="D7" i="74"/>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18" i="12"/>
  <c r="C21" i="12" s="1"/>
  <c r="C19" i="69"/>
  <c r="D37" i="69"/>
  <c r="C37" i="69" s="1"/>
  <c r="C19" i="68"/>
  <c r="D37" i="68"/>
  <c r="C37" i="68" s="1"/>
  <c r="D10" i="71"/>
  <c r="C9" i="71"/>
  <c r="C61" i="67"/>
  <c r="L67" i="39"/>
  <c r="K69" i="39"/>
  <c r="W7" i="35"/>
  <c r="AC7" i="35"/>
  <c r="V38" i="35" s="1"/>
  <c r="I38" i="35" s="1"/>
  <c r="J65" i="40"/>
  <c r="K63" i="40"/>
  <c r="I52" i="21"/>
  <c r="J52" i="21" s="1"/>
  <c r="U7" i="35"/>
  <c r="AB7" i="35"/>
  <c r="T38" i="35" s="1"/>
  <c r="G38" i="35" s="1"/>
  <c r="R49" i="21"/>
  <c r="E48" i="21"/>
  <c r="G52" i="21"/>
  <c r="H52" i="21" s="1"/>
  <c r="G53" i="21"/>
  <c r="H53" i="21" s="1"/>
  <c r="F7" i="35"/>
  <c r="C22" i="12" l="1"/>
  <c r="C27" i="12"/>
  <c r="C25" i="12" s="1"/>
  <c r="C8" i="71"/>
  <c r="D9" i="71"/>
  <c r="C24" i="68"/>
  <c r="C24" i="69"/>
  <c r="C20" i="69"/>
  <c r="L69" i="39"/>
  <c r="M67" i="39"/>
  <c r="S7" i="35"/>
  <c r="AA7" i="35"/>
  <c r="R38" i="35" s="1"/>
  <c r="C49" i="21"/>
  <c r="C48" i="21"/>
  <c r="E52" i="21"/>
  <c r="F52" i="21" s="1"/>
  <c r="E53" i="21"/>
  <c r="F53" i="21" s="1"/>
  <c r="G42" i="35"/>
  <c r="H42" i="35" s="1"/>
  <c r="G43" i="35"/>
  <c r="H43" i="35" s="1"/>
  <c r="I53" i="21"/>
  <c r="J53" i="21" s="1"/>
  <c r="K65" i="40"/>
  <c r="L63" i="40"/>
  <c r="I42" i="35"/>
  <c r="J42" i="35" s="1"/>
  <c r="C25" i="69" l="1"/>
  <c r="C22" i="69" s="1"/>
  <c r="D8" i="71"/>
  <c r="C7" i="71"/>
  <c r="M69" i="39"/>
  <c r="N67" i="39"/>
  <c r="R39" i="35"/>
  <c r="E38" i="35"/>
  <c r="M63" i="40"/>
  <c r="L65" i="40"/>
  <c r="D2" i="21"/>
  <c r="D7" i="71" l="1"/>
  <c r="C6" i="71"/>
  <c r="B2" i="21"/>
  <c r="B3" i="21" s="1"/>
  <c r="O67" i="39"/>
  <c r="O69" i="39" s="1"/>
  <c r="N69" i="39"/>
  <c r="F7" i="39"/>
  <c r="C39" i="35"/>
  <c r="C38" i="35"/>
  <c r="N63" i="40"/>
  <c r="M65" i="40"/>
  <c r="E43" i="35"/>
  <c r="F43" i="35" s="1"/>
  <c r="E42" i="35"/>
  <c r="F42" i="35" s="1"/>
  <c r="I43" i="35"/>
  <c r="J43" i="35" s="1"/>
  <c r="D2" i="33"/>
  <c r="D6" i="71" l="1"/>
  <c r="C5" i="71"/>
  <c r="D5" i="71" s="1"/>
  <c r="M24" i="43" s="1"/>
  <c r="B2" i="33"/>
  <c r="B3" i="33" s="1"/>
  <c r="H7" i="39"/>
  <c r="J7" i="39"/>
  <c r="S7" i="39"/>
  <c r="AA7" i="39"/>
  <c r="O63" i="40"/>
  <c r="O65" i="40" s="1"/>
  <c r="N65" i="40"/>
  <c r="D2" i="34"/>
  <c r="D2" i="36"/>
  <c r="D2" i="35"/>
  <c r="D2" i="37"/>
  <c r="L57" i="15" l="1"/>
  <c r="L60" i="15" s="1"/>
  <c r="Q57" i="15" s="1"/>
  <c r="B2" i="36"/>
  <c r="B3" i="36" s="1"/>
  <c r="B2" i="35"/>
  <c r="B3" i="35" s="1"/>
  <c r="M3" i="35"/>
  <c r="B2" i="37"/>
  <c r="B3" i="37" s="1"/>
  <c r="B2" i="34"/>
  <c r="B3" i="34" s="1"/>
  <c r="W7" i="39"/>
  <c r="AC7" i="39"/>
  <c r="U7" i="39"/>
  <c r="AB7" i="39"/>
  <c r="J7" i="40"/>
  <c r="F7" i="40"/>
  <c r="H7" i="40"/>
  <c r="AO11" i="1"/>
  <c r="AO9" i="1"/>
  <c r="AO8" i="1"/>
  <c r="AO12" i="1"/>
  <c r="AO10"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C5" i="74" l="1"/>
  <c r="B6" i="74"/>
  <c r="D6" i="74" s="1"/>
  <c r="C6" i="74" l="1"/>
  <c r="AB18" i="71"/>
  <c r="R8" i="1" l="1"/>
  <c r="F35" i="67"/>
  <c r="C34" i="67"/>
  <c r="C31" i="67"/>
  <c r="S8" i="1"/>
  <c r="C14" i="67"/>
  <c r="C15" i="67"/>
  <c r="C17" i="67"/>
  <c r="C18" i="67"/>
  <c r="C19" i="67"/>
  <c r="C20" i="67"/>
  <c r="C23" i="67"/>
  <c r="C26" i="67"/>
  <c r="C29" i="67"/>
  <c r="C36" i="67"/>
  <c r="C13" i="67"/>
  <c r="C37" i="67"/>
  <c r="C30" i="67"/>
  <c r="C39" i="67"/>
  <c r="C40" i="67"/>
  <c r="J26" i="67"/>
  <c r="J29" i="67"/>
  <c r="J59" i="67"/>
  <c r="J60" i="67"/>
  <c r="L46" i="67"/>
  <c r="D2" i="67"/>
  <c r="B3" i="67"/>
  <c r="B2" i="67"/>
  <c r="Q56" i="67"/>
  <c r="L51" i="67"/>
  <c r="L57" i="67"/>
  <c r="L60" i="67"/>
  <c r="Q57" i="67"/>
  <c r="Q62" i="67"/>
  <c r="Q65" i="67"/>
  <c r="Q66" i="67"/>
  <c r="Q75" i="67"/>
  <c r="F63" i="67"/>
  <c r="C62" i="67"/>
  <c r="C59" i="67"/>
  <c r="C57" i="67"/>
  <c r="C64" i="67"/>
  <c r="C56" i="67"/>
  <c r="C65" i="67"/>
  <c r="C58" i="67"/>
  <c r="C67" i="67"/>
  <c r="C68" i="67"/>
  <c r="C45" i="67"/>
  <c r="C46" i="67"/>
  <c r="C43" i="67"/>
  <c r="Q47" i="67"/>
  <c r="Q48" i="67"/>
  <c r="Q53" i="67"/>
  <c r="C75" i="67"/>
  <c r="C80" i="67"/>
  <c r="C79" i="67"/>
  <c r="Q67" i="67"/>
  <c r="Q69" i="67"/>
  <c r="Q70" i="67"/>
  <c r="Q68" i="67"/>
  <c r="M21" i="67"/>
  <c r="J20" i="67"/>
  <c r="J17" i="67"/>
  <c r="J14" i="67"/>
  <c r="J22" i="67"/>
  <c r="J13" i="67"/>
  <c r="J23" i="67"/>
  <c r="J16" i="67"/>
  <c r="J25" i="67"/>
  <c r="C71" i="67"/>
  <c r="C83" i="67"/>
  <c r="C82" i="67"/>
  <c r="Q49" i="67"/>
  <c r="R12" i="1"/>
  <c r="R9" i="1"/>
  <c r="R11" i="1"/>
  <c r="R10" i="1"/>
  <c r="AR8" i="1"/>
  <c r="T8" i="1"/>
  <c r="AQ8" i="1"/>
  <c r="E8" i="70"/>
  <c r="O6" i="1"/>
  <c r="O16" i="1"/>
  <c r="AP6" i="1"/>
  <c r="C36" i="69"/>
  <c r="F27" i="6"/>
  <c r="F31" i="6" s="1"/>
  <c r="E19" i="6"/>
  <c r="K6" i="1"/>
  <c r="Q16" i="1"/>
  <c r="F27" i="68"/>
  <c r="F45" i="68" l="1"/>
  <c r="C47" i="68"/>
  <c r="D45" i="68" s="1"/>
  <c r="C29" i="68"/>
  <c r="D27" i="68" s="1"/>
  <c r="F28" i="12"/>
  <c r="F27" i="11"/>
  <c r="F27" i="69"/>
  <c r="M29" i="15"/>
  <c r="H16" i="1"/>
  <c r="K16" i="1"/>
  <c r="F43" i="15"/>
  <c r="G16" i="1"/>
  <c r="C34" i="69"/>
  <c r="M6" i="1"/>
  <c r="F7" i="15"/>
  <c r="D19" i="6"/>
  <c r="E27" i="6"/>
  <c r="K23" i="6" l="1"/>
  <c r="M23" i="6" s="1"/>
  <c r="I23" i="6" s="1"/>
  <c r="K26" i="6"/>
  <c r="M26" i="6" s="1"/>
  <c r="I26" i="6" s="1"/>
  <c r="K24" i="6"/>
  <c r="M24" i="6" s="1"/>
  <c r="I24" i="6" s="1"/>
  <c r="K21" i="6"/>
  <c r="M21" i="6" s="1"/>
  <c r="I21" i="6" s="1"/>
  <c r="K22" i="6"/>
  <c r="M22" i="6" s="1"/>
  <c r="I22" i="6" s="1"/>
  <c r="K25" i="6"/>
  <c r="M25" i="6" s="1"/>
  <c r="I25" i="6" s="1"/>
  <c r="E31" i="6"/>
  <c r="K20" i="6"/>
  <c r="K19" i="6"/>
  <c r="D27" i="6"/>
  <c r="D31" i="6" s="1"/>
  <c r="I6" i="6" s="1"/>
  <c r="M7" i="15"/>
  <c r="J6" i="15" s="1"/>
  <c r="F50" i="15"/>
  <c r="C49" i="15" s="1"/>
  <c r="C6" i="15"/>
  <c r="C16" i="15"/>
  <c r="M16" i="1"/>
  <c r="C38" i="69"/>
  <c r="C35" i="69"/>
  <c r="C33" i="69"/>
  <c r="F10" i="39"/>
  <c r="H10" i="39"/>
  <c r="F10" i="40"/>
  <c r="H10" i="40"/>
  <c r="J10" i="40"/>
  <c r="J10" i="39"/>
  <c r="F71" i="15"/>
  <c r="C47" i="69"/>
  <c r="D45" i="69" s="1"/>
  <c r="C29" i="69"/>
  <c r="D27" i="69" s="1"/>
  <c r="F45" i="69"/>
  <c r="C28" i="69"/>
  <c r="C27" i="69" s="1"/>
  <c r="C31" i="69" s="1"/>
  <c r="C29" i="11"/>
  <c r="D27" i="11" s="1"/>
  <c r="C47" i="11"/>
  <c r="D45" i="11" s="1"/>
  <c r="C28" i="11"/>
  <c r="C27" i="11" s="1"/>
  <c r="C31" i="11" s="1"/>
  <c r="C29" i="12"/>
  <c r="D28" i="12" s="1"/>
  <c r="C30" i="12"/>
  <c r="C28" i="12" s="1"/>
  <c r="C32" i="12" s="1"/>
  <c r="B2" i="12" s="1"/>
  <c r="B3" i="12" s="1"/>
  <c r="W10" i="39" l="1"/>
  <c r="AC10" i="39"/>
  <c r="V47" i="39" s="1"/>
  <c r="I47" i="39" s="1"/>
  <c r="AC10" i="40"/>
  <c r="W10" i="40"/>
  <c r="AB10" i="40"/>
  <c r="U10" i="40"/>
  <c r="S10" i="40"/>
  <c r="AA10" i="40"/>
  <c r="U10" i="39"/>
  <c r="AB10" i="39"/>
  <c r="T47" i="39" s="1"/>
  <c r="G47" i="39" s="1"/>
  <c r="S10" i="39"/>
  <c r="AA10" i="39"/>
  <c r="R47" i="39" s="1"/>
  <c r="C39" i="69"/>
  <c r="C42" i="69"/>
  <c r="L16" i="1"/>
  <c r="C34" i="68"/>
  <c r="C34" i="11"/>
  <c r="N16" i="1"/>
  <c r="C10" i="15"/>
  <c r="C33" i="15"/>
  <c r="C32" i="15"/>
  <c r="C5" i="15"/>
  <c r="C61" i="15"/>
  <c r="C48" i="15"/>
  <c r="J19" i="15"/>
  <c r="J18" i="15"/>
  <c r="J5" i="15"/>
  <c r="K27" i="6"/>
  <c r="S6" i="1"/>
  <c r="M19" i="6"/>
  <c r="S7" i="1"/>
  <c r="M20" i="6"/>
  <c r="I20" i="6" s="1"/>
  <c r="I5" i="6"/>
  <c r="S25" i="6"/>
  <c r="H25" i="6"/>
  <c r="R25" i="6" s="1"/>
  <c r="S22" i="6"/>
  <c r="H22" i="6"/>
  <c r="R22" i="6" s="1"/>
  <c r="S21" i="6"/>
  <c r="H21" i="6"/>
  <c r="R21" i="6" s="1"/>
  <c r="S24" i="6"/>
  <c r="H24" i="6"/>
  <c r="R24" i="6" s="1"/>
  <c r="S26" i="6"/>
  <c r="H26" i="6"/>
  <c r="R26" i="6" s="1"/>
  <c r="S23" i="6"/>
  <c r="H23" i="6"/>
  <c r="R23" i="6" s="1"/>
  <c r="E47" i="39" l="1"/>
  <c r="R48" i="39"/>
  <c r="G51" i="39"/>
  <c r="H51" i="39" s="1"/>
  <c r="G52" i="39"/>
  <c r="H52" i="39" s="1"/>
  <c r="I51" i="39"/>
  <c r="J51" i="39" s="1"/>
  <c r="I52" i="39"/>
  <c r="J52" i="39" s="1"/>
  <c r="S20" i="6"/>
  <c r="H20" i="6"/>
  <c r="R20" i="6" s="1"/>
  <c r="R7" i="1" s="1"/>
  <c r="E7" i="70"/>
  <c r="C17" i="81"/>
  <c r="AR7" i="1"/>
  <c r="AQ7" i="1"/>
  <c r="T7" i="1"/>
  <c r="C14" i="81" s="1"/>
  <c r="M27" i="6"/>
  <c r="I19" i="6"/>
  <c r="AQ6" i="1"/>
  <c r="AR6" i="1"/>
  <c r="S16" i="1"/>
  <c r="T6" i="1"/>
  <c r="E6" i="70"/>
  <c r="E2" i="70" s="1"/>
  <c r="C17" i="15"/>
  <c r="J24" i="15"/>
  <c r="J26" i="15"/>
  <c r="J29" i="15" s="1"/>
  <c r="C66" i="15"/>
  <c r="C60" i="15"/>
  <c r="C38" i="15"/>
  <c r="F50" i="69"/>
  <c r="F50" i="11"/>
  <c r="F50" i="68"/>
  <c r="C38" i="11"/>
  <c r="C35" i="11"/>
  <c r="C33" i="11"/>
  <c r="C38" i="68"/>
  <c r="C35" i="68"/>
  <c r="C33" i="68"/>
  <c r="C43" i="69"/>
  <c r="C41" i="69" s="1"/>
  <c r="C46" i="69"/>
  <c r="C45" i="69" s="1"/>
  <c r="C48" i="39" l="1"/>
  <c r="C47" i="39"/>
  <c r="E52" i="39"/>
  <c r="F52" i="39" s="1"/>
  <c r="E51" i="39"/>
  <c r="F51" i="39" s="1"/>
  <c r="C49" i="69"/>
  <c r="C51" i="69" s="1"/>
  <c r="C39" i="68"/>
  <c r="C42" i="68"/>
  <c r="C39" i="11"/>
  <c r="C42" i="11"/>
  <c r="T16" i="1"/>
  <c r="C14" i="15"/>
  <c r="I27" i="6"/>
  <c r="H19" i="6"/>
  <c r="S19" i="6"/>
  <c r="S27" i="6" s="1"/>
  <c r="C18" i="81"/>
  <c r="C15" i="81"/>
  <c r="C19" i="81"/>
  <c r="M21" i="81"/>
  <c r="J20" i="81" s="1"/>
  <c r="J17" i="81" s="1"/>
  <c r="F35" i="81"/>
  <c r="B56" i="39" l="1"/>
  <c r="F56" i="39" s="1"/>
  <c r="B63" i="39"/>
  <c r="F63" i="39" s="1"/>
  <c r="B64" i="39"/>
  <c r="F64" i="39" s="1"/>
  <c r="B60" i="39"/>
  <c r="F60" i="39" s="1"/>
  <c r="B61" i="39"/>
  <c r="F61" i="39" s="1"/>
  <c r="B57" i="39"/>
  <c r="F57" i="39" s="1"/>
  <c r="B58" i="39"/>
  <c r="F58" i="39" s="1"/>
  <c r="B62" i="39"/>
  <c r="F62" i="39" s="1"/>
  <c r="B59" i="39"/>
  <c r="F59" i="39" s="1"/>
  <c r="F63" i="81"/>
  <c r="C62" i="81" s="1"/>
  <c r="C59" i="81" s="1"/>
  <c r="C34" i="81"/>
  <c r="C31" i="81" s="1"/>
  <c r="C20" i="81"/>
  <c r="C26" i="81"/>
  <c r="C23" i="81"/>
  <c r="C29" i="81"/>
  <c r="J59" i="81" s="1"/>
  <c r="J60" i="81" s="1"/>
  <c r="H27" i="6"/>
  <c r="R19" i="6"/>
  <c r="C18" i="15"/>
  <c r="C15" i="15"/>
  <c r="C19" i="15"/>
  <c r="C43" i="11"/>
  <c r="C41" i="11" s="1"/>
  <c r="C46" i="11"/>
  <c r="C45" i="11" s="1"/>
  <c r="C43" i="68"/>
  <c r="C41" i="68" s="1"/>
  <c r="C46" i="68"/>
  <c r="C45" i="68" s="1"/>
  <c r="C52" i="69"/>
  <c r="F65" i="39" l="1"/>
  <c r="B2" i="39" s="1"/>
  <c r="Q48" i="81"/>
  <c r="L46" i="81"/>
  <c r="B2" i="69"/>
  <c r="B3" i="69" s="1"/>
  <c r="C57" i="69"/>
  <c r="C56" i="69" s="1"/>
  <c r="C49" i="68"/>
  <c r="C51" i="68" s="1"/>
  <c r="C49" i="11"/>
  <c r="C51" i="11" s="1"/>
  <c r="C20" i="15"/>
  <c r="C26" i="15"/>
  <c r="C23" i="15"/>
  <c r="C29" i="15"/>
  <c r="J59" i="15" s="1"/>
  <c r="J60" i="15" s="1"/>
  <c r="R27" i="6"/>
  <c r="R6" i="1"/>
  <c r="C57" i="81"/>
  <c r="C64" i="81" s="1"/>
  <c r="Q49" i="81"/>
  <c r="C36" i="81"/>
  <c r="J14" i="81"/>
  <c r="C13" i="81"/>
  <c r="C6" i="68" l="1"/>
  <c r="B3" i="39"/>
  <c r="K21" i="68"/>
  <c r="M20" i="68" s="1"/>
  <c r="Q48" i="15"/>
  <c r="L46" i="15"/>
  <c r="Q70" i="81"/>
  <c r="C56" i="81"/>
  <c r="C65" i="81" s="1"/>
  <c r="C58" i="81" s="1"/>
  <c r="C67" i="81" s="1"/>
  <c r="C68" i="81" s="1"/>
  <c r="C37" i="81"/>
  <c r="C30" i="81" s="1"/>
  <c r="C39" i="81" s="1"/>
  <c r="C75" i="81"/>
  <c r="C80" i="81" s="1"/>
  <c r="C79" i="81" s="1"/>
  <c r="J22" i="81"/>
  <c r="J13" i="81"/>
  <c r="J23" i="81" s="1"/>
  <c r="R16" i="1"/>
  <c r="F35" i="15"/>
  <c r="M21" i="15"/>
  <c r="J20" i="15" s="1"/>
  <c r="J17" i="15" s="1"/>
  <c r="C36" i="15"/>
  <c r="Q49" i="15"/>
  <c r="J14" i="15"/>
  <c r="C57" i="15"/>
  <c r="C64" i="15" s="1"/>
  <c r="C13" i="15"/>
  <c r="C52" i="11"/>
  <c r="C7" i="68" l="1"/>
  <c r="C5" i="68"/>
  <c r="B2" i="11"/>
  <c r="B3" i="11" s="1"/>
  <c r="C56" i="11"/>
  <c r="C57" i="11" s="1"/>
  <c r="Q70" i="15"/>
  <c r="C37" i="15"/>
  <c r="C56" i="15"/>
  <c r="C65" i="15" s="1"/>
  <c r="C75" i="15"/>
  <c r="J13" i="15"/>
  <c r="J23" i="15" s="1"/>
  <c r="J22" i="15"/>
  <c r="J16" i="15"/>
  <c r="J25" i="15" s="1"/>
  <c r="F63" i="15"/>
  <c r="C62" i="15" s="1"/>
  <c r="C59" i="15" s="1"/>
  <c r="C58" i="15" s="1"/>
  <c r="C67" i="15" s="1"/>
  <c r="C68" i="15" s="1"/>
  <c r="C34" i="15"/>
  <c r="C31" i="15" s="1"/>
  <c r="C30" i="15" s="1"/>
  <c r="C39" i="15" s="1"/>
  <c r="J16" i="81"/>
  <c r="J25" i="81" s="1"/>
  <c r="Q69" i="81"/>
  <c r="Q68" i="81" s="1"/>
  <c r="L51" i="81"/>
  <c r="Q67" i="81" s="1"/>
  <c r="C40" i="81"/>
  <c r="C71" i="81"/>
  <c r="C46" i="81"/>
  <c r="C23" i="68" l="1"/>
  <c r="C20" i="68"/>
  <c r="C25" i="68" s="1"/>
  <c r="C22" i="68" s="1"/>
  <c r="C28" i="68"/>
  <c r="C27" i="68" s="1"/>
  <c r="C31" i="68"/>
  <c r="C52" i="68" s="1"/>
  <c r="Q65" i="81"/>
  <c r="Q75" i="81" s="1"/>
  <c r="Q56" i="81"/>
  <c r="Q62" i="81" s="1"/>
  <c r="Q47" i="81"/>
  <c r="Q53" i="81" s="1"/>
  <c r="C43" i="81"/>
  <c r="B2" i="81"/>
  <c r="C83" i="81"/>
  <c r="C82" i="81" s="1"/>
  <c r="Q69" i="15"/>
  <c r="Q68" i="15" s="1"/>
  <c r="L51" i="15"/>
  <c r="Q67" i="15" s="1"/>
  <c r="C40" i="15"/>
  <c r="C71" i="15"/>
  <c r="C46" i="15"/>
  <c r="C80" i="15"/>
  <c r="C79" i="15" s="1"/>
  <c r="B2" i="68" l="1"/>
  <c r="C57" i="68"/>
  <c r="C56" i="68" s="1"/>
  <c r="Q47" i="15"/>
  <c r="Q53" i="15" s="1"/>
  <c r="C43" i="15"/>
  <c r="Q56" i="15"/>
  <c r="Q62" i="15" s="1"/>
  <c r="Q65" i="15"/>
  <c r="Q75" i="15" s="1"/>
  <c r="B2" i="15"/>
  <c r="C83" i="15"/>
  <c r="C82" i="15" s="1"/>
  <c r="B3" i="81"/>
  <c r="AO7" i="1"/>
  <c r="B7" i="70" s="1"/>
  <c r="B3" i="68" l="1"/>
  <c r="C19" i="9"/>
  <c r="B3" i="15"/>
  <c r="AO6" i="1"/>
  <c r="B6" i="70" s="1"/>
  <c r="B2" i="70" s="1"/>
  <c r="C102" i="9" l="1"/>
  <c r="C21" i="9"/>
  <c r="C20" i="9"/>
  <c r="C103" i="9" s="1"/>
  <c r="D35" i="9"/>
  <c r="D34" i="9"/>
  <c r="D19" i="9"/>
  <c r="B3" i="70"/>
  <c r="D20" i="9" s="1"/>
  <c r="D103" i="9" l="1"/>
  <c r="G20" i="9"/>
  <c r="D102" i="9"/>
  <c r="D21" i="9"/>
  <c r="D22" i="9"/>
  <c r="G19" i="9"/>
  <c r="G24" i="9" s="1"/>
  <c r="F34" i="6" l="1"/>
  <c r="F36" i="6"/>
  <c r="G21" i="9"/>
  <c r="C32" i="9"/>
  <c r="C35" i="9" l="1"/>
  <c r="H118" i="9"/>
  <c r="H119" i="9" l="1"/>
  <c r="H5" i="52" s="1"/>
  <c r="H4" i="52"/>
  <c r="C104" i="9"/>
  <c r="I118" i="9"/>
  <c r="H101" i="9"/>
  <c r="F118" i="9"/>
  <c r="C34" i="9"/>
  <c r="D118" i="9" s="1"/>
  <c r="D119" i="9" l="1"/>
  <c r="D5" i="52" s="1"/>
  <c r="B49" i="72" s="1"/>
  <c r="D4" i="52"/>
  <c r="B47" i="72" s="1"/>
  <c r="F4" i="52"/>
  <c r="B51" i="72" s="1"/>
  <c r="F119" i="9"/>
  <c r="F5" i="52" s="1"/>
  <c r="B53" i="72" s="1"/>
  <c r="G118" i="9"/>
  <c r="G4" i="52" s="1"/>
  <c r="B52" i="72" s="1"/>
  <c r="M48" i="9"/>
  <c r="D5" i="53"/>
  <c r="D45" i="9"/>
  <c r="H107" i="9"/>
  <c r="H102" i="9"/>
  <c r="D7" i="53" s="1"/>
  <c r="B21" i="72" s="1"/>
  <c r="C105" i="9"/>
  <c r="I4" i="52"/>
  <c r="E118" i="9"/>
  <c r="E4" i="52" s="1"/>
  <c r="B48" i="72" s="1"/>
  <c r="H108" i="9" l="1"/>
  <c r="D15" i="53" s="1"/>
  <c r="B31" i="72" s="1"/>
  <c r="D122" i="9"/>
  <c r="D13" i="53"/>
  <c r="M49" i="9"/>
  <c r="C78" i="9"/>
  <c r="C73" i="9" s="1"/>
  <c r="D53" i="9"/>
  <c r="D52" i="9"/>
  <c r="C93" i="9"/>
  <c r="C86" i="9" s="1"/>
  <c r="C64" i="9"/>
  <c r="C63" i="9" s="1"/>
  <c r="C67" i="9" s="1"/>
  <c r="C72" i="9"/>
  <c r="C79" i="9" s="1"/>
  <c r="C85" i="9"/>
  <c r="C95" i="9" s="1"/>
  <c r="D55" i="9"/>
  <c r="M53" i="9" s="1"/>
  <c r="D6" i="53"/>
  <c r="B22" i="72" s="1"/>
  <c r="B20" i="72"/>
  <c r="C96" i="9" l="1"/>
  <c r="E96" i="9" s="1"/>
  <c r="E97" i="9" s="1"/>
  <c r="C97" i="9"/>
  <c r="D58" i="9" s="1"/>
  <c r="D56" i="9" s="1"/>
  <c r="M54" i="9" s="1"/>
  <c r="C80" i="9"/>
  <c r="E80" i="9" s="1"/>
  <c r="E81" i="9" s="1"/>
  <c r="C81" i="9"/>
  <c r="D59" i="9"/>
  <c r="M55" i="9" s="1"/>
  <c r="C68" i="9"/>
  <c r="D54" i="9" s="1"/>
  <c r="L67" i="9"/>
  <c r="M67" i="9" s="1"/>
  <c r="L64" i="9"/>
  <c r="M64" i="9" s="1"/>
  <c r="L66" i="9"/>
  <c r="M66" i="9" s="1"/>
  <c r="L65" i="9"/>
  <c r="M65" i="9" s="1"/>
  <c r="L68" i="9"/>
  <c r="M68" i="9" s="1"/>
  <c r="L63" i="9"/>
  <c r="M63" i="9" s="1"/>
  <c r="M69" i="9" s="1"/>
  <c r="N69" i="9" s="1"/>
  <c r="D14" i="53"/>
  <c r="B32" i="72" s="1"/>
  <c r="B30" i="72"/>
  <c r="D123" i="9"/>
  <c r="D9" i="52" s="1"/>
  <c r="D8" i="52"/>
  <c r="N57" i="9" l="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113CE85-593E-4DE2-A020-C03423FB09F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B820C17-C30A-4878-B462-27D731B6045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50B549A-396B-43EA-A062-9DDE14BE8AC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ADD0F3A-AD44-4CF3-B999-2A9DC180847D}">
      <text>
        <r>
          <rPr>
            <sz val="11"/>
            <color indexed="81"/>
            <rFont val="宋体"/>
            <family val="3"/>
            <charset val="134"/>
          </rPr>
          <t>在建项目均选择“是”</t>
        </r>
      </text>
    </comment>
    <comment ref="F59" authorId="1" shapeId="0" xr:uid="{FE5FBE34-65D2-4791-8C8D-27AB62ED003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A2B9EF0-0D26-4CBD-A4B6-BD48F2881E35}">
      <text>
        <r>
          <rPr>
            <sz val="10"/>
            <color indexed="81"/>
            <rFont val="宋体"/>
            <family val="3"/>
            <charset val="134"/>
          </rPr>
          <t xml:space="preserve">在建
</t>
        </r>
      </text>
    </comment>
    <comment ref="N59" authorId="0" shapeId="0" xr:uid="{0BEC7446-B5E1-4730-A7AD-98B027231F7D}">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<sst xmlns="http://schemas.openxmlformats.org/spreadsheetml/2006/main" count="8338" uniqueCount="3485">
  <si>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</si>
  <si>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</si>
  <si>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</si>
  <si>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</si>
  <si>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</si>
  <si>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</si>
  <si>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</si>
  <si>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</si>
  <si>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</si>
  <si>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</si>
  <si>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</si>
  <si>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</si>
  <si>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</si>
  <si>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</si>
  <si>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</si>
  <si>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</si>
  <si>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</si>
  <si>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</si>
  <si>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</si>
  <si>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</si>
  <si>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</si>
  <si>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</si>
  <si>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</si>
  <si>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</si>
  <si>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</si>
  <si>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</si>
  <si>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</si>
  <si>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</si>
  <si>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</si>
  <si>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</si>
  <si>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</si>
  <si>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</si>
  <si>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</si>
  <si>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</si>
  <si>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</si>
  <si>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</si>
  <si>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</si>
  <si>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</si>
  <si>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</si>
  <si>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</si>
  <si>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</si>
  <si>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</si>
  <si>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</si>
  <si>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</si>
  <si>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</si>
  <si>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</si>
  <si>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</si>
  <si>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</si>
  <si>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</si>
  <si>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</si>
  <si>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</si>
  <si>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</si>
  <si>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</si>
  <si>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</si>
  <si>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</si>
  <si>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</si>
  <si>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</si>
  <si>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</si>
  <si>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</si>
  <si>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</si>
  <si>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</si>
  <si>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</si>
  <si>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</si>
  <si>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</si>
  <si>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</si>
  <si>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</si>
  <si>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</si>
  <si>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</si>
  <si>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</si>
  <si>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</si>
  <si>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</si>
  <si>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</si>
  <si>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</si>
  <si>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</si>
  <si>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</si>
  <si>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</si>
  <si>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</si>
  <si>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</si>
  <si>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</si>
  <si>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</si>
  <si>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</si>
  <si>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</si>
  <si>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</si>
  <si>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</si>
  <si>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</si>
  <si>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</si>
  <si>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</si>
  <si>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</si>
  <si>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</si>
  <si>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</si>
  <si>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</si>
  <si>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</si>
  <si>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</si>
  <si>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</si>
  <si>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</si>
  <si>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</si>
  <si>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</si>
  <si>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</si>
  <si>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</si>
  <si>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</si>
  <si>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</si>
  <si>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</si>
  <si>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</si>
  <si>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</si>
  <si>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</si>
  <si>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</si>
  <si>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</si>
  <si>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</si>
  <si>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</si>
  <si>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</si>
  <si>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</si>
  <si>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</si>
  <si>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</si>
  <si>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</si>
  <si>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</si>
  <si>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</si>
  <si>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</si>
  <si>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</si>
  <si>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</si>
  <si>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</si>
  <si>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</si>
  <si>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</si>
  <si>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</si>
  <si>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</si>
  <si>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</si>
  <si>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</si>
  <si>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</si>
  <si>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</si>
  <si>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</si>
  <si>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</si>
  <si>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</si>
  <si>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</si>
  <si>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</si>
  <si>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</si>
  <si>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</si>
  <si>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</si>
  <si>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</si>
  <si>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</si>
  <si>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</si>
  <si>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</si>
  <si>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</si>
  <si>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</si>
  <si>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</si>
  <si>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</si>
  <si>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</si>
  <si>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</si>
  <si>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</si>
  <si>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</si>
  <si>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</si>
  <si>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</si>
  <si>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</si>
  <si>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</si>
  <si>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</si>
  <si>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</si>
  <si>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</si>
  <si>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</si>
  <si>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</si>
  <si>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</si>
  <si>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</si>
  <si>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</si>
  <si>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</si>
  <si>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</si>
  <si>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</si>
  <si>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</si>
  <si>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</si>
  <si>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</si>
  <si>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</si>
  <si>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</si>
  <si>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</si>
  <si>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</si>
  <si>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</si>
  <si>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</si>
  <si>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</si>
  <si>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</si>
  <si>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</si>
  <si>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</si>
  <si>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</si>
  <si>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</si>
  <si>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</si>
  <si>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</si>
  <si>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</si>
  <si>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</si>
  <si>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</si>
  <si>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</si>
  <si>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</si>
  <si>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</si>
  <si>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</si>
  <si>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</si>
  <si>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</si>
  <si>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</si>
  <si>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</si>
  <si>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</si>
  <si>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</si>
  <si>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</si>
  <si>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</si>
  <si>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</si>
  <si>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</si>
  <si>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</si>
  <si>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</si>
  <si>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</si>
  <si>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</si>
  <si>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</si>
  <si>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</si>
  <si>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</si>
  <si>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</si>
  <si>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</si>
  <si>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</si>
  <si>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</si>
  <si>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</si>
  <si>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</si>
  <si>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</si>
  <si>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</si>
  <si>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</si>
  <si>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</si>
  <si>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</si>
  <si>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</si>
  <si>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</si>
  <si>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</si>
  <si>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</si>
  <si>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</si>
  <si>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</si>
  <si>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</si>
  <si>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</si>
  <si>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</si>
  <si>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</si>
  <si>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</si>
  <si>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</si>
  <si>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</si>
  <si>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</si>
  <si>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</si>
  <si>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</si>
  <si>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</si>
  <si>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</si>
  <si>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</si>
  <si>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</si>
  <si>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</si>
  <si>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</si>
  <si>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</si>
  <si>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</si>
  <si>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</si>
  <si>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</si>
  <si>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</si>
  <si>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</si>
  <si>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</si>
  <si>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</si>
  <si>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</si>
  <si>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</si>
  <si>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</si>
  <si>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</si>
  <si>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</si>
  <si>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</si>
  <si>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</si>
  <si>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</si>
  <si>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</si>
  <si>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</si>
  <si>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</si>
  <si>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</si>
  <si>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</si>
  <si>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</si>
  <si>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</si>
  <si>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</si>
  <si>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</si>
  <si>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</si>
  <si>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</si>
  <si>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</si>
  <si>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</si>
  <si>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</si>
  <si>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</si>
  <si>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</si>
  <si>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</si>
  <si>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</si>
  <si>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</si>
  <si>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</si>
  <si>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</si>
  <si>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</si>
  <si>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</si>
  <si>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</si>
  <si>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</si>
  <si>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</si>
  <si>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</si>
  <si>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</si>
  <si>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</si>
  <si>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</si>
  <si>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</si>
  <si>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</si>
  <si>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</si>
  <si>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</si>
  <si>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</si>
  <si>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</si>
  <si>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</si>
  <si>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</si>
  <si>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</si>
  <si>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</si>
  <si>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</si>
  <si>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</si>
  <si>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</si>
  <si>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</si>
  <si>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</si>
  <si>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</si>
  <si>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</si>
  <si>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</si>
  <si>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</si>
  <si>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</si>
  <si>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</si>
  <si>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</si>
  <si>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</si>
  <si>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</si>
  <si>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</si>
  <si>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</si>
  <si>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</si>
  <si>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</si>
  <si>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</si>
  <si>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</si>
  <si>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</si>
  <si>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</si>
  <si>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</si>
  <si>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</si>
  <si>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</si>
  <si>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</si>
  <si>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</si>
  <si>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</si>
  <si>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</si>
  <si>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</si>
  <si>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</si>
  <si>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</si>
  <si>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</si>
  <si>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</si>
  <si>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</si>
  <si>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</si>
  <si>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</si>
  <si>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</si>
  <si>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</si>
  <si>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</si>
  <si>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</si>
  <si>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</si>
  <si>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</si>
  <si>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</si>
  <si>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</si>
  <si>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</si>
  <si>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</si>
  <si>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</si>
  <si>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</si>
  <si>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</si>
  <si>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</si>
  <si>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</si>
  <si>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</si>
  <si>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</si>
  <si>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</si>
  <si>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</si>
  <si>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</si>
  <si>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</si>
  <si>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</si>
  <si>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</si>
  <si>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</si>
  <si>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</si>
  <si>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</si>
  <si>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</si>
  <si>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</si>
  <si>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</si>
  <si>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</si>
  <si>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</si>
  <si>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</si>
  <si>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</si>
  <si>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</si>
  <si>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</si>
  <si>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</si>
  <si>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</si>
  <si>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</si>
  <si>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</si>
  <si>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</si>
  <si>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</si>
  <si>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</si>
  <si>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</si>
  <si>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</si>
  <si>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</si>
  <si>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</si>
  <si>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</si>
  <si>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</si>
  <si>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</si>
  <si>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</si>
  <si>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</si>
  <si>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</si>
  <si>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</si>
  <si>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</si>
  <si>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</si>
  <si>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</si>
  <si>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</si>
  <si>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</si>
  <si>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</si>
  <si>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</si>
  <si>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</si>
  <si>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</si>
  <si>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</si>
  <si>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</si>
  <si>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</si>
  <si>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</si>
  <si>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</si>
  <si>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</si>
  <si>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</si>
  <si>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</si>
  <si>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</si>
  <si>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</si>
  <si>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</si>
  <si>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</si>
  <si>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</si>
  <si>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</si>
  <si>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</si>
  <si>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</si>
  <si>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</si>
  <si>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</si>
  <si>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</si>
  <si>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</si>
  <si>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</si>
  <si>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</si>
  <si>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</si>
  <si>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</si>
  <si>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</si>
  <si>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</si>
  <si>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</si>
  <si>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</si>
  <si>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</si>
  <si>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</si>
  <si>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</si>
  <si>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</si>
  <si>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</si>
  <si>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</si>
  <si>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</si>
  <si>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</si>
  <si>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</si>
  <si>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</si>
  <si>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</si>
  <si>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</si>
  <si>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</si>
  <si>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</si>
  <si>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</si>
  <si>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</si>
  <si>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</si>
  <si>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</si>
  <si>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</si>
  <si>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</si>
  <si>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</si>
  <si>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</si>
  <si>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</si>
  <si>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</si>
  <si>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</si>
  <si>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</si>
  <si>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</si>
  <si>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</si>
  <si>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</si>
  <si>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</si>
  <si>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</si>
  <si>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</si>
  <si>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</si>
  <si>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</si>
  <si>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</si>
  <si>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</si>
  <si>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</si>
  <si>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</si>
  <si>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</si>
  <si>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</si>
  <si>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</si>
  <si>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</si>
  <si>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</si>
  <si>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</si>
  <si>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</si>
  <si>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</si>
  <si>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</si>
  <si>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</si>
  <si>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</si>
  <si>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</si>
  <si>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</si>
  <si>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</si>
  <si>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</si>
  <si>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</si>
  <si>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</si>
  <si>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</si>
  <si>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</si>
  <si>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</si>
  <si>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</si>
  <si>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</si>
  <si>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</si>
  <si>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</si>
  <si>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</si>
  <si>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</si>
  <si>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</si>
  <si>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</si>
  <si>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</si>
  <si>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</si>
  <si>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</si>
  <si>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</si>
  <si>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</si>
  <si>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</si>
  <si>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</si>
  <si>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</si>
  <si>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</si>
  <si>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</si>
  <si>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</si>
  <si>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</si>
  <si>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</si>
  <si>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</si>
  <si>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</si>
  <si>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</si>
  <si>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</si>
  <si>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</si>
  <si>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</si>
  <si>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</si>
  <si>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</si>
  <si>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</si>
  <si>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</si>
  <si>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</si>
  <si>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</si>
  <si>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</si>
  <si>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</si>
  <si>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</si>
  <si>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</si>
  <si>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</si>
  <si>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</si>
  <si>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</si>
  <si>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</si>
  <si>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</si>
  <si>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</si>
  <si>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</si>
  <si>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</si>
  <si>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</si>
  <si>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</si>
  <si>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</si>
  <si>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</si>
  <si>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</si>
  <si>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</si>
  <si>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</si>
  <si>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</si>
  <si>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</si>
  <si>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</si>
  <si>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</si>
  <si>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</si>
  <si>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</si>
  <si>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</si>
  <si>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</si>
  <si>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</si>
  <si>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</si>
  <si>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</si>
  <si>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</si>
  <si>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</si>
  <si>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</si>
  <si>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</si>
  <si>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</si>
  <si>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</si>
  <si>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</si>
  <si>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</si>
  <si>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</si>
  <si>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</si>
  <si>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</si>
  <si>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</si>
  <si>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</si>
  <si>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</si>
  <si>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</si>
  <si>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</si>
  <si>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</si>
  <si>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</si>
  <si>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</si>
  <si>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</si>
  <si>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</si>
  <si>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</si>
  <si>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</si>
  <si>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</si>
  <si>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</si>
  <si>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</si>
  <si>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</si>
  <si>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</si>
  <si>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</si>
  <si>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</si>
  <si>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</si>
  <si>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</si>
  <si>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</si>
  <si>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</si>
  <si>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</si>
  <si>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</si>
  <si>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</si>
  <si>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</si>
  <si>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</si>
  <si>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</si>
  <si>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</si>
  <si>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</si>
  <si>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</si>
  <si>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</si>
  <si>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</si>
  <si>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</si>
  <si>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</si>
  <si>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</si>
  <si>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</si>
  <si>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</si>
  <si>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</si>
  <si>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</si>
  <si>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</si>
  <si>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</si>
  <si>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</si>
  <si>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</si>
  <si>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</si>
  <si>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</si>
  <si>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</si>
  <si>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</si>
  <si>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</si>
  <si>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</si>
  <si>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</si>
  <si>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</si>
  <si>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</si>
  <si>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</si>
  <si>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</si>
  <si>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</si>
  <si>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</si>
  <si>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</si>
  <si>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</si>
  <si>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</si>
  <si>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</si>
  <si>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</si>
  <si>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</si>
  <si>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</si>
  <si>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</si>
  <si>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</si>
  <si>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</si>
  <si>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</si>
  <si>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</si>
  <si>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</si>
  <si>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</si>
  <si>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</si>
  <si>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</si>
  <si>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</si>
  <si>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</si>
  <si>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</si>
  <si>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</si>
  <si>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</si>
  <si>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</si>
  <si>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</si>
  <si>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</si>
  <si>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</si>
  <si>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</si>
  <si>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</si>
  <si>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</si>
  <si>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</si>
  <si>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</si>
  <si>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</si>
  <si>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</si>
  <si>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</si>
  <si>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</si>
  <si>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</si>
  <si>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</si>
  <si>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</si>
  <si>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</si>
  <si>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</si>
  <si>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</si>
  <si>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</si>
  <si>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</si>
  <si>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</si>
  <si>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</si>
  <si>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</si>
  <si>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</si>
  <si>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</si>
  <si>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</si>
  <si>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</si>
  <si>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</si>
  <si>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</si>
  <si>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</si>
  <si>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</si>
  <si>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</si>
  <si>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</si>
  <si>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</si>
  <si>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</si>
  <si>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</si>
  <si>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</si>
  <si>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</si>
  <si>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</si>
  <si>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</si>
  <si>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</si>
  <si>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</si>
  <si>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</si>
  <si>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</si>
  <si>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</si>
  <si>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</si>
  <si>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</si>
  <si>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</si>
  <si>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</si>
  <si>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</si>
  <si>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</si>
  <si>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</si>
  <si>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</si>
  <si>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</si>
  <si>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</si>
  <si>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</si>
  <si>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</si>
  <si>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</si>
  <si>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</si>
  <si>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</si>
  <si>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</si>
  <si>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</si>
  <si>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</si>
  <si>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</si>
  <si>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</si>
  <si>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</si>
  <si>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</si>
  <si>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</si>
  <si>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</si>
  <si>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</si>
  <si>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</si>
  <si>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</si>
  <si>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</si>
  <si>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</si>
  <si>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</si>
  <si>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</si>
  <si>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</si>
  <si>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</si>
  <si>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</si>
  <si>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</si>
  <si>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</si>
  <si>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</si>
  <si>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</si>
  <si>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</si>
  <si>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</si>
  <si>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</si>
  <si>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</si>
  <si>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</si>
  <si>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</si>
  <si>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</si>
  <si>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</si>
  <si>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</si>
  <si>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</si>
  <si>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</si>
  <si>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</si>
  <si>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</si>
  <si>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</si>
  <si>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</si>
  <si>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</si>
  <si>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</si>
  <si>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</si>
  <si>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</si>
  <si>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</si>
  <si>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</si>
  <si>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</si>
  <si>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</si>
  <si>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</si>
  <si>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</si>
  <si>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</si>
  <si>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</si>
  <si>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</si>
  <si>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</si>
  <si>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</si>
  <si>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</si>
  <si>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</si>
  <si>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</si>
  <si>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</si>
  <si>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</si>
  <si>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</si>
  <si>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</si>
  <si>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</si>
  <si>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</si>
  <si>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</si>
  <si>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</si>
  <si>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</si>
  <si>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</si>
  <si>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</si>
  <si>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</si>
  <si>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</si>
  <si>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</si>
  <si>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</si>
  <si>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</si>
  <si>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</si>
  <si>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</si>
  <si>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</si>
  <si>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</si>
  <si>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</si>
  <si>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</si>
  <si>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</si>
  <si>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</si>
  <si>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</si>
  <si>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</si>
  <si>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</si>
  <si>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</si>
  <si>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</si>
  <si>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</si>
  <si>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</si>
  <si>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</si>
  <si>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</si>
  <si>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</si>
  <si>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</si>
  <si>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</si>
  <si>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</si>
  <si>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</si>
  <si>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</si>
  <si>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</si>
  <si>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</si>
  <si>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</si>
  <si>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</si>
  <si>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</si>
  <si>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</si>
  <si>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</si>
  <si>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</si>
  <si>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</si>
  <si>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</si>
  <si>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</si>
  <si>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</si>
  <si>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</si>
  <si>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</si>
  <si>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</si>
  <si>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</si>
  <si>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</si>
  <si>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</si>
  <si>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</si>
  <si>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</si>
  <si>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</si>
  <si>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</si>
  <si>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</si>
  <si>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</si>
  <si>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</si>
  <si>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</si>
  <si>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</si>
  <si>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</si>
  <si>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</si>
  <si>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</si>
  <si>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</si>
  <si>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</si>
  <si>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</si>
  <si>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</si>
  <si>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</si>
  <si>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</si>
  <si>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</si>
  <si>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</si>
  <si>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</si>
  <si>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</si>
  <si>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</si>
  <si>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</si>
  <si>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</si>
  <si>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</si>
  <si>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</si>
  <si>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</si>
  <si>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</si>
  <si>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</si>
  <si>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</si>
  <si>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</si>
  <si>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</si>
  <si>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</si>
  <si>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</si>
  <si>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</si>
  <si>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</si>
  <si>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</si>
  <si>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</si>
  <si>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</si>
  <si>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</si>
  <si>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</si>
  <si>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</si>
  <si>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</si>
  <si>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</si>
  <si>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</si>
  <si>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</si>
  <si>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</si>
  <si>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</si>
  <si>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</si>
  <si>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</si>
  <si>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</si>
  <si>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</si>
  <si>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</si>
  <si>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</si>
  <si>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</si>
  <si>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</si>
  <si>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</si>
  <si>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</si>
  <si>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</si>
  <si>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</si>
  <si>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</si>
  <si>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</si>
  <si>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</si>
  <si>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</si>
  <si>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</si>
  <si>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</si>
  <si>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</si>
  <si>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</si>
  <si>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</si>
  <si>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</si>
  <si>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</si>
  <si>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</si>
  <si>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</si>
  <si>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</si>
  <si>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</si>
  <si>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</si>
  <si>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</si>
  <si>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</si>
  <si>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</si>
  <si>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</si>
  <si>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</si>
  <si>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</si>
  <si>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</si>
  <si>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</si>
  <si>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</si>
  <si>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</si>
  <si>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</si>
  <si>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</si>
  <si>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</si>
  <si>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</si>
  <si>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</si>
  <si>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</si>
  <si>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</si>
  <si>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</si>
  <si>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</si>
  <si>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</si>
  <si>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</si>
  <si>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</si>
  <si>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</si>
  <si>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</si>
  <si>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</si>
  <si>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</si>
  <si>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</si>
  <si>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</si>
  <si>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</si>
  <si>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</si>
  <si>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</si>
  <si>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</si>
  <si>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</si>
  <si>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</si>
  <si>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</si>
  <si>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</si>
  <si>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</si>
  <si>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</si>
  <si>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</si>
  <si>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</si>
  <si>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</si>
  <si>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</si>
  <si>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</si>
  <si>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</si>
  <si>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</si>
  <si>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</si>
  <si>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</si>
  <si>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</si>
  <si>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</si>
  <si>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</si>
  <si>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</si>
  <si>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</si>
  <si>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</si>
  <si>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</si>
  <si>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</si>
  <si>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</si>
  <si>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</si>
  <si>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</si>
  <si>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</si>
  <si>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</si>
  <si>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</si>
  <si>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</si>
  <si>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</si>
  <si>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</si>
  <si>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</si>
  <si>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</si>
  <si>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</si>
  <si>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</si>
  <si>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</si>
  <si>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</si>
  <si>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</si>
  <si>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</si>
  <si>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</si>
  <si>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</si>
  <si>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</si>
  <si>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</si>
  <si>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</si>
  <si>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</si>
  <si>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</si>
  <si>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</si>
  <si>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</si>
  <si>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</si>
  <si>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</si>
  <si>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</si>
  <si>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</si>
  <si>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</si>
  <si>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</si>
  <si>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</si>
  <si>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</si>
  <si>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</si>
  <si>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</si>
  <si>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</si>
  <si>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</si>
  <si>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</si>
  <si>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</si>
  <si>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</si>
  <si>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</si>
  <si>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</si>
  <si>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</si>
  <si>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</si>
  <si>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</si>
  <si>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</si>
  <si>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</si>
  <si>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</si>
  <si>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</si>
  <si>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</si>
  <si>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</si>
  <si>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</si>
  <si>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</si>
  <si>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</si>
  <si>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</si>
  <si>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</si>
  <si>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</si>
  <si>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</si>
  <si>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</si>
  <si>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</si>
  <si>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</si>
  <si>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</si>
  <si>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</si>
  <si>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</si>
  <si>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</si>
  <si>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</si>
  <si>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</si>
  <si>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</si>
  <si>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</si>
  <si>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</si>
  <si>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</si>
  <si>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</si>
  <si>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</si>
  <si>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</si>
  <si>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</si>
  <si>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</si>
  <si>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</si>
  <si>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</si>
  <si>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</si>
  <si>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</si>
  <si>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</si>
  <si>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</si>
  <si>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</si>
  <si>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</si>
  <si>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</si>
  <si>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</si>
  <si>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</si>
  <si>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</si>
  <si>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</si>
  <si>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</si>
  <si>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</si>
  <si>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</si>
  <si>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</si>
  <si>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</si>
  <si>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</si>
  <si>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</si>
  <si>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</si>
  <si>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</si>
  <si>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</si>
  <si>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</si>
  <si>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</si>
  <si>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</si>
  <si>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</si>
  <si>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</si>
  <si>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</si>
  <si>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</si>
  <si>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</si>
  <si>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</si>
  <si>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</si>
  <si>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</si>
  <si>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</si>
  <si>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</si>
  <si>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</si>
  <si>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</si>
  <si>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</si>
  <si>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</si>
  <si>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</si>
  <si>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</si>
  <si>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</si>
  <si>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</si>
  <si>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</si>
  <si>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</si>
  <si>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</si>
  <si>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</si>
  <si>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</si>
  <si>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</si>
  <si>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</si>
  <si>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</si>
  <si>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</si>
  <si>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</si>
  <si>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</si>
  <si>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</si>
  <si>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</si>
  <si>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</si>
  <si>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</si>
  <si>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</si>
  <si>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</si>
  <si>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</si>
  <si>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</si>
  <si>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</si>
  <si>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</si>
  <si>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</si>
  <si>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</si>
  <si>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</si>
  <si>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</si>
  <si>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</si>
  <si>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</si>
  <si>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</si>
  <si>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</si>
  <si>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</si>
  <si>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</si>
  <si>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</si>
  <si>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</si>
  <si>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</si>
  <si>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</si>
  <si>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</si>
  <si>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</si>
  <si>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</si>
  <si>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</si>
  <si>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</si>
  <si>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</si>
  <si>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</si>
  <si>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</si>
  <si>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</si>
  <si>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</si>
  <si>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</si>
  <si>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</si>
  <si>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</si>
  <si>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</si>
  <si>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</si>
  <si>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</si>
  <si>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</si>
  <si>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</si>
  <si>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</si>
  <si>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</si>
  <si>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</si>
  <si>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</si>
  <si>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</si>
  <si>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</si>
  <si>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</si>
  <si>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</si>
  <si>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</si>
  <si>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</si>
  <si>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</si>
  <si>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</si>
  <si>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</si>
  <si>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</si>
  <si>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</si>
  <si>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</si>
  <si>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</si>
  <si>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</si>
  <si>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</si>
  <si>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</si>
  <si>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</si>
  <si>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</si>
  <si>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</si>
  <si>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</si>
  <si>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</si>
  <si>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</si>
  <si>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</si>
  <si>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</si>
  <si>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</si>
  <si>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</si>
  <si>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</si>
  <si>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</si>
  <si>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</si>
  <si>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</si>
  <si>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</si>
  <si>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</si>
  <si>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</si>
  <si>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</si>
  <si>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</si>
  <si>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</si>
  <si>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</si>
  <si>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</si>
  <si>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</si>
  <si>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</si>
  <si>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</si>
  <si>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</si>
  <si>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</si>
  <si>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</si>
  <si>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</si>
  <si>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</si>
  <si>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</si>
  <si>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</si>
  <si>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</si>
  <si>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</si>
  <si>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</si>
  <si>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</si>
  <si>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</si>
  <si>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</si>
  <si>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</si>
  <si>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</si>
  <si>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</si>
  <si>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</si>
  <si>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</si>
  <si>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</si>
  <si>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</si>
  <si>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</si>
  <si>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</si>
  <si>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</si>
  <si>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</si>
  <si>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</si>
  <si>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</si>
  <si>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</si>
  <si>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</si>
  <si>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</si>
  <si>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</si>
  <si>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</si>
  <si>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</si>
  <si>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</si>
  <si>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</si>
  <si>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</si>
  <si>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</si>
  <si>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</si>
  <si>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</si>
  <si>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</si>
  <si>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</si>
  <si>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</si>
  <si>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</si>
  <si>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</si>
  <si>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</si>
  <si>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</si>
  <si>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</si>
  <si>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</si>
  <si>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</si>
  <si>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</si>
  <si>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</si>
  <si>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</si>
  <si>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</si>
  <si>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</si>
  <si>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</si>
  <si>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</si>
  <si>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</si>
  <si>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</si>
  <si>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</si>
  <si>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</si>
  <si>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</si>
  <si>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</si>
  <si>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</si>
  <si>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</si>
  <si>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</si>
  <si>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</si>
  <si>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</si>
  <si>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</si>
  <si>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</si>
  <si>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</si>
  <si>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</si>
  <si>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</si>
  <si>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</si>
  <si>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</si>
  <si>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</si>
  <si>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</si>
  <si>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</si>
  <si>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</si>
  <si>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</si>
  <si>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</si>
  <si>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</si>
  <si>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</si>
  <si>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</si>
  <si>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</si>
  <si>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</si>
  <si>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</si>
  <si>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</si>
  <si>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</si>
  <si>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</si>
  <si>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</si>
  <si>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</si>
  <si>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</si>
  <si>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</si>
  <si>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</si>
  <si>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</si>
  <si>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</si>
  <si>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</si>
  <si>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</si>
  <si>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</si>
  <si>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</si>
  <si>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</si>
  <si>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</si>
  <si>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</si>
  <si>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</si>
  <si>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</si>
  <si>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</si>
  <si>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</si>
  <si>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</si>
  <si>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</si>
  <si>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</si>
  <si>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</si>
  <si>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</si>
  <si>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</si>
  <si>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</si>
  <si>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</si>
  <si>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</si>
  <si>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</si>
  <si>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</si>
  <si>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</si>
  <si>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</si>
  <si>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</si>
  <si>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</si>
  <si>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</si>
  <si>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</si>
  <si>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</si>
  <si>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</si>
  <si>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</si>
  <si>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</si>
  <si>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</si>
  <si>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</si>
  <si>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</si>
  <si>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</si>
  <si>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</si>
  <si>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</si>
  <si>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</si>
  <si>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</si>
  <si>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</si>
  <si>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</si>
  <si>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</si>
  <si>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</si>
  <si>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</si>
  <si>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</si>
  <si>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</si>
  <si>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</si>
  <si>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</si>
  <si>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</si>
  <si>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</si>
  <si>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</si>
  <si>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</si>
  <si>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</si>
  <si>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</si>
  <si>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</si>
  <si>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</si>
  <si>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</si>
  <si>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</si>
  <si>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</si>
  <si>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</si>
  <si>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</si>
  <si>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</si>
  <si>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</si>
  <si>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</si>
  <si>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</si>
  <si>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</si>
  <si>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</si>
  <si>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</si>
  <si>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</si>
  <si>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</si>
  <si>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</si>
  <si>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</si>
  <si>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</si>
  <si>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</si>
  <si>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</si>
  <si>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</si>
  <si>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</si>
  <si>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</si>
  <si>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</si>
  <si>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</si>
  <si>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</si>
  <si>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</si>
  <si>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</si>
  <si>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</si>
  <si>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</si>
  <si>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</si>
  <si>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</si>
  <si>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</si>
  <si>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</si>
  <si>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</si>
  <si>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</si>
  <si>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</si>
  <si>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</si>
  <si>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</si>
  <si>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</si>
  <si>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</si>
  <si>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</si>
  <si>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</si>
  <si>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</si>
  <si>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</si>
  <si>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</si>
  <si>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</si>
  <si>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</si>
  <si>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</si>
  <si>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</si>
  <si>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</si>
  <si>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</si>
  <si>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</si>
  <si>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</si>
  <si>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</si>
  <si>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</si>
  <si>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</si>
  <si>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</si>
  <si>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</si>
  <si>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</si>
  <si>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</si>
  <si>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</si>
  <si>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</si>
  <si>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</si>
  <si>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</si>
  <si>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</si>
  <si>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</si>
  <si>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</si>
  <si>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</si>
  <si>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</si>
  <si>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</si>
  <si>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</si>
  <si>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</si>
  <si>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</si>
  <si>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</si>
  <si>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</si>
  <si>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</si>
  <si>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</si>
  <si>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</si>
  <si>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</si>
  <si>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</si>
  <si>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</si>
  <si>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</si>
  <si>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</si>
  <si>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</si>
  <si>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</si>
  <si>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</si>
  <si>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</si>
  <si>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</si>
  <si>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</si>
  <si>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</si>
  <si>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</si>
  <si>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</si>
  <si>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</si>
  <si>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</si>
  <si>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</si>
  <si>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</si>
  <si>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</si>
  <si>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</si>
  <si>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</si>
  <si>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</si>
  <si>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</si>
  <si>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</si>
  <si>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</si>
  <si>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</si>
  <si>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</si>
  <si>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</si>
  <si>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</si>
  <si>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</si>
  <si>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</si>
  <si>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</si>
  <si>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</si>
  <si>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</si>
  <si>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</si>
  <si>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</si>
  <si>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</si>
  <si>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</si>
  <si>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</si>
  <si>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</si>
  <si>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</si>
  <si>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</si>
  <si>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</si>
  <si>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</si>
  <si>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</si>
  <si>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</si>
  <si>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</si>
  <si>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</si>
  <si>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</si>
  <si>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</si>
  <si>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</si>
  <si>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</si>
  <si>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</si>
  <si>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</si>
  <si>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</si>
  <si>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</si>
  <si>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</si>
  <si>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</si>
  <si>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</si>
  <si>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</si>
  <si>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</si>
  <si>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</si>
  <si>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</si>
  <si>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</si>
  <si>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</si>
  <si>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</si>
  <si>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</si>
  <si>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</si>
  <si>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</si>
  <si>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</si>
  <si>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</si>
  <si>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</si>
  <si>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</si>
  <si>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</si>
  <si>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</si>
  <si>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</si>
  <si>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</si>
  <si>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</si>
  <si>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</si>
  <si>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</si>
  <si>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</si>
  <si>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</si>
  <si>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</si>
  <si>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</si>
  <si>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</si>
  <si>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</si>
  <si>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</si>
  <si>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</si>
  <si>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</si>
  <si>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</si>
  <si>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</si>
  <si>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</si>
  <si>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</si>
  <si>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</si>
  <si>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</si>
  <si>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</si>
  <si>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</si>
  <si>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</si>
  <si>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</si>
  <si>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</si>
  <si>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</si>
  <si>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</si>
  <si>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</si>
  <si>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</si>
  <si>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</si>
  <si>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</si>
  <si>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</si>
  <si>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</si>
  <si>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</si>
  <si>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</si>
  <si>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</si>
  <si>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</si>
  <si>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</si>
  <si>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</si>
  <si>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</si>
  <si>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</si>
  <si>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</si>
  <si>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</si>
  <si>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</si>
  <si>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</si>
  <si>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</si>
  <si>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</si>
  <si>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</si>
  <si>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</si>
  <si>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</si>
  <si>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</si>
  <si>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</si>
  <si>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</si>
  <si>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</si>
  <si>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</si>
  <si>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</si>
  <si>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</si>
  <si>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</si>
  <si>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</si>
  <si>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</si>
  <si>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</si>
  <si>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</si>
  <si>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</si>
  <si>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</si>
  <si>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</si>
  <si>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</si>
  <si>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</si>
  <si>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</si>
  <si>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</si>
  <si>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</si>
  <si>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</si>
  <si>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</si>
  <si>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</si>
  <si>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</si>
  <si>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</si>
  <si>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</si>
  <si>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</si>
  <si>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</si>
  <si>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</si>
  <si>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</si>
  <si>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</si>
  <si>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</si>
  <si>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</si>
  <si>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</si>
  <si>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</si>
  <si>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</si>
  <si>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</si>
  <si>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</si>
  <si>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</si>
  <si>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</si>
  <si>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</si>
  <si>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</si>
  <si>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</si>
  <si>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</si>
  <si>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</si>
  <si>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</si>
  <si>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</si>
  <si>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</si>
  <si>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</si>
  <si>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</si>
  <si>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</si>
  <si>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</si>
  <si>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</si>
  <si>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</si>
  <si>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</si>
  <si>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</si>
  <si>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</si>
  <si>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</si>
  <si>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</si>
  <si>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</si>
  <si>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</si>
  <si>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</si>
  <si>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</si>
  <si>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</si>
  <si>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</si>
  <si>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</si>
  <si>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</si>
  <si>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</si>
  <si>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</si>
  <si>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</si>
  <si>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</si>
  <si>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</si>
  <si>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</si>
  <si>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</si>
  <si>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</si>
  <si>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</si>
  <si>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</si>
  <si>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</si>
  <si>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</si>
  <si>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</si>
  <si>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</si>
  <si>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</si>
  <si>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</si>
  <si>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</si>
  <si>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</si>
  <si>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</si>
  <si>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</si>
  <si>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</si>
  <si>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</si>
  <si>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</si>
  <si>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</si>
  <si>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</si>
  <si>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</si>
  <si>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</si>
  <si>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</si>
  <si>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</si>
  <si>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</si>
  <si>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</si>
  <si>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</si>
  <si>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</si>
  <si>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</si>
  <si>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</si>
  <si>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</si>
  <si>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</si>
  <si>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</si>
  <si>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</si>
  <si>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</si>
  <si>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</si>
  <si>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</si>
  <si>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</si>
  <si>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</si>
  <si>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</si>
  <si>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</si>
  <si>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</si>
  <si>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</si>
  <si>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</si>
  <si>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</si>
  <si>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</si>
  <si>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</si>
  <si>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</si>
  <si>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</si>
  <si>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</si>
  <si>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</si>
  <si>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</si>
  <si>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</si>
  <si>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</si>
  <si>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</si>
  <si>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</si>
  <si>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</si>
  <si>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</si>
  <si>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</si>
  <si>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</si>
  <si>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</si>
  <si>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</si>
  <si>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</si>
  <si>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</si>
  <si>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</si>
  <si>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</si>
  <si>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</si>
  <si>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</si>
  <si>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</si>
  <si>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</si>
  <si>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</si>
  <si>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</si>
  <si>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</si>
  <si>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</si>
  <si>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</si>
  <si>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</si>
  <si>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</si>
  <si>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</si>
  <si>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</si>
  <si>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</si>
  <si>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</si>
  <si>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</si>
  <si>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</si>
  <si>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</si>
  <si>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</si>
  <si>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</si>
  <si>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</si>
  <si>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</si>
  <si>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</si>
  <si>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</si>
  <si>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</si>
  <si>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</si>
  <si>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</si>
  <si>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</si>
  <si>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</si>
  <si>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</si>
  <si>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</si>
  <si>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</si>
  <si>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</si>
  <si>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</si>
  <si>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</si>
  <si>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</si>
  <si>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</si>
  <si>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</si>
  <si>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</si>
  <si>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</si>
  <si>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</si>
  <si>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</si>
  <si>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</si>
  <si>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</si>
  <si>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</si>
  <si>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</si>
  <si>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</si>
  <si>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</si>
  <si>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</si>
  <si>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</si>
  <si>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</si>
  <si>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</si>
  <si>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</si>
  <si>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</si>
  <si>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</si>
  <si>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</si>
  <si>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</si>
  <si>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</si>
  <si>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</si>
  <si>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</si>
  <si>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</si>
  <si>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</si>
  <si>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</si>
  <si>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</si>
  <si>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</si>
  <si>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</si>
  <si>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</si>
  <si>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</si>
  <si>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</si>
  <si>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</si>
  <si>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</si>
  <si>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</si>
  <si>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</si>
  <si>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</si>
  <si>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</si>
  <si>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</si>
  <si>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</si>
  <si>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</si>
  <si>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</si>
  <si>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</si>
  <si>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</si>
  <si>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</si>
  <si>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</si>
  <si>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</si>
  <si>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</si>
  <si>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</si>
  <si>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</si>
  <si>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</si>
  <si>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</si>
  <si>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</si>
  <si>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</si>
  <si>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</si>
  <si>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</si>
  <si>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</si>
  <si>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</si>
  <si>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</si>
  <si>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</si>
  <si>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</si>
  <si>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</si>
  <si>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</si>
  <si>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</si>
  <si>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</si>
  <si>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</si>
  <si>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</si>
  <si>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</si>
  <si>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</si>
  <si>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</si>
  <si>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</si>
  <si>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</si>
  <si>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</si>
  <si>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</si>
  <si>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</si>
  <si>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</si>
  <si>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</si>
  <si>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</si>
  <si>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</si>
  <si>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</si>
  <si>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</si>
  <si>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</si>
  <si>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</si>
  <si>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</si>
  <si>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</si>
  <si>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</si>
  <si>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</si>
  <si>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</si>
  <si>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</si>
  <si>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</si>
  <si>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</si>
  <si>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</si>
  <si>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</si>
  <si>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</si>
  <si>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</si>
  <si>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</si>
  <si>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</si>
  <si>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</si>
  <si>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</si>
  <si>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</si>
  <si>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</si>
  <si>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</si>
  <si>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</si>
  <si>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</si>
  <si>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</si>
  <si>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</si>
  <si>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</si>
  <si>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</si>
  <si>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</si>
  <si>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</si>
  <si>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</si>
  <si>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</si>
  <si>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</si>
  <si>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</si>
  <si>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</si>
  <si>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</si>
  <si>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</si>
  <si>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</si>
  <si>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</si>
  <si>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</si>
  <si>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</si>
  <si>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</si>
  <si>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</si>
  <si>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</si>
  <si>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</si>
  <si>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</si>
  <si>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</si>
  <si>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</si>
  <si>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</si>
  <si>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</si>
  <si>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</si>
  <si>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</si>
  <si>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</si>
  <si>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</si>
  <si>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</si>
  <si>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</si>
  <si>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</si>
  <si>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</si>
  <si>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</si>
  <si>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</si>
  <si>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</si>
  <si>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</si>
  <si>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</si>
  <si>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</si>
  <si>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</si>
  <si>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</si>
  <si>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</si>
  <si>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</si>
  <si>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</si>
  <si>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</si>
  <si>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</si>
  <si>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</si>
  <si>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</si>
  <si>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</si>
  <si>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</si>
  <si>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</si>
  <si>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</si>
  <si>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</si>
  <si>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</si>
  <si>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</si>
  <si>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</si>
  <si>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</si>
  <si>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</si>
  <si>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</si>
  <si>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</si>
  <si>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</si>
  <si>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</si>
  <si>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</si>
  <si>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</si>
  <si>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</si>
  <si>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</si>
  <si>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</si>
  <si>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</si>
  <si>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</si>
  <si>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</si>
  <si>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</si>
  <si>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</si>
  <si>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</si>
  <si>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</si>
  <si>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</si>
  <si>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</si>
  <si>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</si>
  <si>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</si>
  <si>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</si>
  <si>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</si>
  <si>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</si>
  <si>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</si>
  <si>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</si>
  <si>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</si>
  <si>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</si>
  <si>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</si>
  <si>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</si>
  <si>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</si>
  <si>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</si>
  <si>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</si>
  <si>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</si>
  <si>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</si>
  <si>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</si>
  <si>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</si>
  <si>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</si>
  <si>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</si>
  <si>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</si>
  <si>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</si>
  <si>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</si>
  <si>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</si>
  <si>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</si>
  <si>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</si>
  <si>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</si>
  <si>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</si>
  <si>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</si>
  <si>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</si>
  <si>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</si>
  <si>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</si>
  <si>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</si>
  <si>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</si>
  <si>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</si>
  <si>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</si>
  <si>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</si>
  <si>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</si>
  <si>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</si>
  <si>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</si>
  <si>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</si>
  <si>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</si>
  <si>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</si>
  <si>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</si>
  <si>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</si>
  <si>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</si>
  <si>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</si>
  <si>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</si>
  <si>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</si>
  <si>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</si>
  <si>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</si>
  <si>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</si>
  <si>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</si>
  <si>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</si>
  <si>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</si>
  <si>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</si>
  <si>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</si>
  <si>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</si>
  <si>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</si>
  <si>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</si>
  <si>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</si>
  <si>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</si>
  <si>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</si>
  <si>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</si>
  <si>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</si>
  <si>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</si>
  <si>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</si>
  <si>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</si>
  <si>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</si>
  <si>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</si>
  <si>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</si>
  <si>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</si>
  <si>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</si>
  <si>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</si>
  <si>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</si>
  <si>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</si>
  <si>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</si>
  <si>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</si>
  <si>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</si>
  <si>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</si>
  <si>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</si>
  <si>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</si>
  <si>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</si>
  <si>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</si>
  <si>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</si>
  <si>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</si>
  <si>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</si>
  <si>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</si>
  <si>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</si>
  <si>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</si>
  <si>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</si>
  <si>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</si>
  <si>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</si>
  <si>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</si>
  <si>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</si>
  <si>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</si>
  <si>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</si>
  <si>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</si>
  <si>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</si>
  <si>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</si>
  <si>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</si>
  <si>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</si>
  <si>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</si>
  <si>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</si>
  <si>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</si>
  <si>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</si>
  <si>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</si>
  <si>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</si>
  <si>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</si>
  <si>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</si>
  <si>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</si>
  <si>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</si>
  <si>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</si>
  <si>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</si>
  <si>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</si>
  <si>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</si>
  <si>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</si>
  <si>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</si>
  <si>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</si>
  <si>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</si>
  <si>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</si>
  <si>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</si>
  <si>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</si>
  <si>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</si>
  <si>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</si>
  <si>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</si>
  <si>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</si>
  <si>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</si>
  <si>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</si>
  <si>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</si>
  <si>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</si>
  <si>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</si>
  <si>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</si>
  <si>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</si>
  <si>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</si>
  <si>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</si>
  <si>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</si>
  <si>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</si>
  <si>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</si>
  <si>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</si>
  <si>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</si>
  <si>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</si>
  <si>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</si>
  <si>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</si>
  <si>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</si>
  <si>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</si>
  <si>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</si>
  <si>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</si>
  <si>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</si>
  <si>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</si>
  <si>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</si>
  <si>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</si>
  <si>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</si>
  <si>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</si>
  <si>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</si>
  <si>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</si>
  <si>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</si>
  <si>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</si>
  <si>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</si>
  <si>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</si>
  <si>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</si>
  <si>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</si>
  <si>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</si>
  <si>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</si>
  <si>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</si>
  <si>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</si>
  <si>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</si>
  <si>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</si>
  <si>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</si>
  <si>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</si>
  <si>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</si>
  <si>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</si>
  <si>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</si>
  <si>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</si>
  <si>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</si>
  <si>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</si>
  <si>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</si>
  <si>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</si>
  <si>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</si>
  <si>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</si>
  <si>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</si>
  <si>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</si>
  <si>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</si>
  <si>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</si>
  <si>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</si>
  <si>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</si>
  <si>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</si>
  <si>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</si>
  <si>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</si>
  <si>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</si>
  <si>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</si>
  <si>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</si>
  <si>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</si>
  <si>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</si>
  <si>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</si>
  <si>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</si>
  <si>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</si>
  <si>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</si>
  <si>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</si>
  <si>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</si>
  <si>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</si>
  <si>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</si>
  <si>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</si>
  <si>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</si>
  <si>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</si>
  <si>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</si>
  <si>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</si>
  <si>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</si>
  <si>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</si>
  <si>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</si>
  <si>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</si>
  <si>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</si>
  <si>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</si>
  <si>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</si>
  <si>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</si>
  <si>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</si>
  <si>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</si>
  <si>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</si>
  <si>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</si>
  <si>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</si>
  <si>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</si>
  <si>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</si>
  <si>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</si>
  <si>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</si>
  <si>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</si>
  <si>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</si>
  <si>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</si>
  <si>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</si>
  <si>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</si>
  <si>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</si>
  <si>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</si>
  <si>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</si>
  <si>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</si>
  <si>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</si>
  <si>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</si>
  <si>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</si>
  <si>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</si>
  <si>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</si>
  <si>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</si>
  <si>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</si>
  <si>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</si>
  <si>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</si>
  <si>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</si>
  <si>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</si>
  <si>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</si>
  <si>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</si>
  <si>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</si>
  <si>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</si>
  <si>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</si>
  <si>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</si>
  <si>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</si>
  <si>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</si>
  <si>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</si>
  <si>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</si>
  <si>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</si>
  <si>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</si>
  <si>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</si>
  <si>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</si>
  <si>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</si>
  <si>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</si>
  <si>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</si>
  <si>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</si>
  <si>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</si>
  <si>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</si>
  <si>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</si>
  <si>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</si>
  <si>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</si>
  <si>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</si>
  <si>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</si>
  <si>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</si>
  <si>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</si>
  <si>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</si>
  <si>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</si>
  <si>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</si>
  <si>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</si>
  <si>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</si>
  <si>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</si>
  <si>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</si>
  <si>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</si>
  <si>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</si>
  <si>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</si>
  <si>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</si>
  <si>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</si>
  <si>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</si>
  <si>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</si>
  <si>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</si>
  <si>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</si>
  <si>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</si>
  <si>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</si>
  <si>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</si>
  <si>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</si>
  <si>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</si>
  <si>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</si>
  <si>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</si>
  <si>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</si>
  <si>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</si>
  <si>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</si>
  <si>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</si>
  <si>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</si>
  <si>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</si>
  <si>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</si>
  <si>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</si>
  <si>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</si>
  <si>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</si>
  <si>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</si>
  <si>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</si>
  <si>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</si>
  <si>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</si>
  <si>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</si>
  <si>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</si>
  <si>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</si>
  <si>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</si>
  <si>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</si>
  <si>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</si>
  <si>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</si>
  <si>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</si>
  <si>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</si>
  <si>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</si>
  <si>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</si>
  <si>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</si>
  <si>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</si>
  <si>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</si>
  <si>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</si>
  <si>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</si>
  <si>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</si>
  <si>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</si>
  <si>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</si>
  <si>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</si>
  <si>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</si>
  <si>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</si>
  <si>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</si>
  <si>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</si>
  <si>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</si>
  <si>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</si>
  <si>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</si>
  <si>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</si>
  <si>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</si>
  <si>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</si>
  <si>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</si>
  <si>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</si>
  <si>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</si>
  <si>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</si>
  <si>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</si>
  <si>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</si>
  <si>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</si>
  <si>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</si>
  <si>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</si>
  <si>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</si>
  <si>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</si>
  <si>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</si>
  <si>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</si>
  <si>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</si>
  <si>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</si>
  <si>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</si>
  <si>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</si>
  <si>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</si>
  <si>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</si>
  <si>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</si>
  <si>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</si>
  <si>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</si>
  <si>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</si>
  <si>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</si>
  <si>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</si>
  <si>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</si>
  <si>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</si>
  <si>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</si>
  <si>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</si>
  <si>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</si>
  <si>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</si>
  <si>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</si>
  <si>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</si>
  <si>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</si>
  <si>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</si>
  <si>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</si>
  <si>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</si>
  <si>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</si>
  <si>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</si>
  <si>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</si>
  <si>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</si>
  <si>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</si>
  <si>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</si>
  <si>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</si>
  <si>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</si>
  <si>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</si>
  <si>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</si>
  <si>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</si>
  <si>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</si>
  <si>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</si>
  <si>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</si>
  <si>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</si>
  <si>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</si>
  <si>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</si>
  <si>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</si>
  <si>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</si>
  <si>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</si>
  <si>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</si>
  <si>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</si>
  <si>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</si>
  <si>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</si>
  <si>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</si>
  <si>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</si>
  <si>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</si>
  <si>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</si>
  <si>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</si>
  <si>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</si>
  <si>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</si>
  <si>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</si>
  <si>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</si>
  <si>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</si>
  <si>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</si>
  <si>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</si>
  <si>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</si>
  <si>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</si>
  <si>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</si>
  <si>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</si>
  <si>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</si>
  <si>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</si>
  <si>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</si>
  <si>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</si>
  <si>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</si>
  <si>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</si>
  <si>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</si>
  <si>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</si>
  <si>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</si>
  <si>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</si>
  <si>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</si>
  <si>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</si>
  <si>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</si>
  <si>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</si>
  <si>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</si>
  <si>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</si>
  <si>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</si>
  <si>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</si>
  <si>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</si>
  <si>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</si>
  <si>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</si>
  <si>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</si>
  <si>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</si>
  <si>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</si>
  <si>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</si>
  <si>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</si>
  <si>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</si>
  <si>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</si>
  <si>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</si>
  <si>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</si>
  <si>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</si>
  <si>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</si>
  <si>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</si>
  <si>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</si>
  <si>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</si>
  <si>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</si>
  <si>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</si>
  <si>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</si>
  <si>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</si>
  <si>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</si>
  <si>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</si>
  <si>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</si>
  <si>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</si>
  <si>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</si>
  <si>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</si>
  <si>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</si>
  <si>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</si>
  <si>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</si>
  <si>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</si>
  <si>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</si>
  <si>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</si>
  <si>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</si>
  <si>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</si>
  <si>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</si>
  <si>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</si>
  <si>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</si>
  <si>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</si>
  <si>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</si>
  <si>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</si>
  <si>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</si>
  <si>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</si>
  <si>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</si>
  <si>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</si>
  <si>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</si>
  <si>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</si>
  <si>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</si>
  <si>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</si>
  <si>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</si>
  <si>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</si>
  <si>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</si>
  <si>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</si>
  <si>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</si>
  <si>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</si>
  <si>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</si>
  <si>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</si>
  <si>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</si>
  <si>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</si>
  <si>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</si>
  <si>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</si>
  <si>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</si>
  <si>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</si>
  <si>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</si>
  <si>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</si>
  <si>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</si>
  <si>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</si>
  <si>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</si>
  <si>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</si>
  <si>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</si>
  <si>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</si>
  <si>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</si>
  <si>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</si>
  <si>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</si>
  <si>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</si>
  <si>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</si>
  <si>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</si>
  <si>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</si>
  <si>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</si>
  <si>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</si>
  <si>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</si>
  <si>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</si>
  <si>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</si>
  <si>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</si>
  <si>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</si>
  <si>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</si>
  <si>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</si>
  <si>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</si>
  <si>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</si>
  <si>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</si>
  <si>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</si>
  <si>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</si>
  <si>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</si>
  <si>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</si>
  <si>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</si>
  <si>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</si>
  <si>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</si>
  <si>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</si>
  <si>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</si>
  <si>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</si>
  <si>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</si>
  <si>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</si>
  <si>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</si>
  <si>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</si>
  <si>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</si>
  <si>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</si>
  <si>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</si>
  <si>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</si>
  <si>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</si>
  <si>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</si>
  <si>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</si>
  <si>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</si>
  <si>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</si>
  <si>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</si>
  <si>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</si>
  <si>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</si>
  <si>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</si>
  <si>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</si>
  <si>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</si>
  <si>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</si>
  <si>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</si>
  <si>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</si>
  <si>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</si>
  <si>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</si>
  <si>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</si>
  <si>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</si>
  <si>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</si>
  <si>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</si>
  <si>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</si>
  <si>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</si>
  <si>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</si>
  <si>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</si>
  <si>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</si>
  <si>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</si>
  <si>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</si>
  <si>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</si>
  <si>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</si>
  <si>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</si>
  <si>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</si>
  <si>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</si>
  <si>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</si>
  <si>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</si>
  <si>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</si>
  <si>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</si>
  <si>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</si>
  <si>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</si>
  <si>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</si>
  <si>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</si>
  <si>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</si>
  <si>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</si>
  <si>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</si>
  <si>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</si>
  <si>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</si>
  <si>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</si>
  <si>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</si>
  <si>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</si>
  <si>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</si>
  <si>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</si>
  <si>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</si>
  <si>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</si>
  <si>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</si>
  <si>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</si>
  <si>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</si>
  <si>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</si>
  <si>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</si>
  <si>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</si>
  <si>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</si>
  <si>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</si>
  <si>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</si>
  <si>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</si>
  <si>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</si>
  <si>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</si>
  <si>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</si>
  <si>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</si>
  <si>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</si>
  <si>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</si>
  <si>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</si>
  <si>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</si>
  <si>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</si>
  <si>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</si>
  <si>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</si>
  <si>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</si>
  <si>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</si>
  <si>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</si>
  <si>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</si>
  <si>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</si>
  <si>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</si>
  <si>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</si>
  <si>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</si>
  <si>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</si>
  <si>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</si>
  <si>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</si>
  <si>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</si>
  <si>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</si>
  <si>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</si>
  <si>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</si>
  <si>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</si>
  <si>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</si>
  <si>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</si>
  <si>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</si>
  <si>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</si>
  <si>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</si>
  <si>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</si>
  <si>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</si>
  <si>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</si>
  <si>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</si>
  <si>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</si>
  <si>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</si>
  <si>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</si>
  <si>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</si>
  <si>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</si>
  <si>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</si>
  <si>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</si>
  <si>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</si>
  <si>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</si>
  <si>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</si>
  <si>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</si>
  <si>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</si>
  <si>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</si>
  <si>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</si>
  <si>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</si>
  <si>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</si>
  <si>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</si>
  <si>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</si>
  <si>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</si>
  <si>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</si>
  <si>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</si>
  <si>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</si>
  <si>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</si>
  <si>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</si>
  <si>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</si>
  <si>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</si>
  <si>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</si>
  <si>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</si>
  <si>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</si>
  <si>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</si>
  <si>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</si>
  <si>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</si>
  <si>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</si>
  <si>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</si>
  <si>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</si>
  <si>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</si>
  <si>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</si>
  <si>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</si>
  <si>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</si>
  <si>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</si>
  <si>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</si>
  <si>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</si>
  <si>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</si>
  <si>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</si>
  <si>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</si>
  <si>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</si>
  <si>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</si>
  <si>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</si>
  <si>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</si>
  <si>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</si>
  <si>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</si>
  <si>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</si>
  <si>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</si>
  <si>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</si>
  <si>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</si>
  <si>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</si>
  <si>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</si>
  <si>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</si>
  <si>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</si>
  <si>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</si>
  <si>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</si>
  <si>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</si>
  <si>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</si>
  <si>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</si>
  <si>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</si>
  <si>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</si>
  <si>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</si>
  <si>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</si>
  <si>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</si>
  <si>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</si>
  <si>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</si>
  <si>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</si>
  <si>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</si>
  <si>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</si>
  <si>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</si>
  <si>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</si>
  <si>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</si>
  <si>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</si>
  <si>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</si>
  <si>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</si>
  <si>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</si>
  <si>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</si>
  <si>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</si>
  <si>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</si>
  <si>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</si>
  <si>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</si>
  <si>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</si>
  <si>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</si>
  <si>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</si>
  <si>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</si>
  <si>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</si>
  <si>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</si>
  <si>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</si>
  <si>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</si>
  <si>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</si>
  <si>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</si>
  <si>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</si>
  <si>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</si>
  <si>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</si>
  <si>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</si>
  <si>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</si>
  <si>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</si>
  <si>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</si>
  <si>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</si>
  <si>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</si>
  <si>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</si>
  <si>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</si>
  <si>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</si>
  <si>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</si>
  <si>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</si>
  <si>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</si>
  <si>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</si>
  <si>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</si>
  <si>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</si>
  <si>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</si>
  <si>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</si>
  <si>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</si>
  <si>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</si>
  <si>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</si>
  <si>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</si>
  <si>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</si>
  <si>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</si>
  <si>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</si>
  <si>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</si>
  <si>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</si>
  <si>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</si>
  <si>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</si>
  <si>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</si>
  <si>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</si>
  <si>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</si>
  <si>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</si>
  <si>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</si>
  <si>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</si>
  <si>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</si>
  <si>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</si>
  <si>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</si>
  <si>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</si>
  <si>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</si>
  <si>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</si>
  <si>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</si>
  <si>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</si>
  <si>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</si>
  <si>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</si>
  <si>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</si>
  <si>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</si>
  <si>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</si>
  <si>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</si>
  <si>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</si>
  <si>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</si>
  <si>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</si>
  <si>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</si>
  <si>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</si>
  <si>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</si>
  <si>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</si>
  <si>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</si>
  <si>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</si>
  <si>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</si>
  <si>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</si>
  <si>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</si>
  <si>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</si>
  <si>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</si>
  <si>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</si>
  <si>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</si>
  <si>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</si>
  <si>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</si>
  <si>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</si>
  <si>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</si>
  <si>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</si>
  <si>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</si>
  <si>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</si>
  <si>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</si>
  <si>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</si>
  <si>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</si>
  <si>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</si>
  <si>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</si>
  <si>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</si>
  <si>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</si>
  <si>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</si>
  <si>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</si>
  <si>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</si>
  <si>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</si>
  <si>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</si>
  <si>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</si>
  <si>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</si>
  <si>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</si>
  <si>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</si>
  <si>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</si>
  <si>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</si>
  <si>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</si>
  <si>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</si>
  <si>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</si>
  <si>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</si>
  <si>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</si>
  <si>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</si>
  <si>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</si>
  <si>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</si>
  <si>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</si>
  <si>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</si>
  <si>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</si>
  <si>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</si>
  <si>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</si>
  <si>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</si>
  <si>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</si>
  <si>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</si>
  <si>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</si>
  <si>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</si>
  <si>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</si>
  <si>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</si>
  <si>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</si>
  <si>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</si>
  <si>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</si>
  <si>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</si>
  <si>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</si>
  <si>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</si>
  <si>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</si>
  <si>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</si>
  <si>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</si>
  <si>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</si>
  <si>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</si>
  <si>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</si>
  <si>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</si>
  <si>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</si>
  <si>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</si>
  <si>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</si>
  <si>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</si>
  <si>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</si>
  <si>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</si>
  <si>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</si>
  <si>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</si>
  <si>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</si>
  <si>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</si>
  <si>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</si>
  <si>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</si>
  <si>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</si>
  <si>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</si>
  <si>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</si>
  <si>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</si>
  <si>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</si>
  <si>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</si>
  <si>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</si>
  <si>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</si>
  <si>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</si>
  <si>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</si>
  <si>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</si>
  <si>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</si>
  <si>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</si>
  <si>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</si>
  <si>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</si>
  <si>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</si>
  <si>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</si>
  <si>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</si>
  <si>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</si>
  <si>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</si>
  <si>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</si>
  <si>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</si>
  <si>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</si>
  <si>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</si>
  <si>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</si>
  <si>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</si>
  <si>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</si>
  <si>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</si>
  <si>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</si>
  <si>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</si>
  <si>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</si>
  <si>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</si>
  <si>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</si>
  <si>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</si>
  <si>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</si>
  <si>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</si>
  <si>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</si>
  <si>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</si>
  <si>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</si>
  <si>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</si>
  <si>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</si>
  <si>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</si>
  <si>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</si>
  <si>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</si>
  <si>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</si>
  <si>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</si>
  <si>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</si>
  <si>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</si>
  <si>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</si>
  <si>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</si>
  <si>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</si>
  <si>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</si>
  <si>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</si>
  <si>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</si>
  <si>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</si>
  <si>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</si>
  <si>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</si>
  <si>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</si>
  <si>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</si>
  <si>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</si>
  <si>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</si>
  <si>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</si>
  <si>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</si>
  <si>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</si>
  <si>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</si>
  <si>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</si>
  <si>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</si>
  <si>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</si>
  <si>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</si>
  <si>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</si>
  <si>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</si>
  <si>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</si>
  <si>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</si>
  <si>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</si>
  <si>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</si>
  <si>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</si>
  <si>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</si>
  <si>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</si>
  <si>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</si>
  <si>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</si>
  <si>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</si>
  <si>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</si>
  <si>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</si>
  <si>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</si>
  <si>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</si>
  <si>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</si>
  <si>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</si>
  <si>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</si>
  <si>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</si>
  <si>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</si>
  <si>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</si>
  <si>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</si>
  <si>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</si>
  <si>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</si>
  <si>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</si>
  <si>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</si>
  <si>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</si>
  <si>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</si>
  <si>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</si>
  <si>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</si>
  <si>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</si>
  <si>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</si>
  <si>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</si>
  <si>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</si>
  <si>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</si>
  <si>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</si>
  <si>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</si>
  <si>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</si>
  <si>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</si>
  <si>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</si>
  <si>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</si>
  <si>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</si>
  <si>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</si>
  <si>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</si>
  <si>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</si>
  <si>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</si>
  <si>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</si>
  <si>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</si>
  <si>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</si>
  <si>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</si>
  <si>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</si>
  <si>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</si>
  <si>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</si>
  <si>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</si>
  <si>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</si>
  <si>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</si>
  <si>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</si>
  <si>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</si>
  <si>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</si>
  <si>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</si>
  <si>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</si>
  <si>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</si>
  <si>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</si>
  <si>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</si>
  <si>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</si>
  <si>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</si>
  <si>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</si>
  <si>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</si>
  <si>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</si>
  <si>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</si>
  <si>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</si>
  <si>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</si>
  <si>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</si>
  <si>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</si>
  <si>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</si>
  <si>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</si>
  <si>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</si>
  <si>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</si>
  <si>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</si>
  <si>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</si>
  <si>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</si>
  <si>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</si>
  <si>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</si>
  <si>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</si>
  <si>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</si>
  <si>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</si>
  <si>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</si>
  <si>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</si>
  <si>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</si>
  <si>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</si>
  <si>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</si>
  <si>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</si>
  <si>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</si>
  <si>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</si>
  <si>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</si>
  <si>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</si>
  <si>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</si>
  <si>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</si>
  <si>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</si>
  <si>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</si>
  <si>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</si>
  <si>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</si>
  <si>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</si>
  <si>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</si>
  <si>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</si>
  <si>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</si>
  <si>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</si>
  <si>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</si>
  <si>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</si>
  <si>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</si>
  <si>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</si>
  <si>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</si>
  <si>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</si>
  <si>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</si>
  <si>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</si>
  <si>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</si>
  <si>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</si>
  <si>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</si>
  <si>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</si>
  <si>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</si>
  <si>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</si>
  <si>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</si>
  <si>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</si>
  <si>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</si>
  <si>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</si>
  <si>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</si>
  <si>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</si>
  <si>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</si>
  <si>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</si>
  <si>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</si>
  <si>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</si>
  <si>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</si>
  <si>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</si>
  <si>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</si>
  <si>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</si>
  <si>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</si>
  <si>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</si>
  <si>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</si>
  <si>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</si>
  <si>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</si>
  <si>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</si>
  <si>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</si>
  <si>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</si>
  <si>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</si>
  <si>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</si>
  <si>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</si>
  <si>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</si>
  <si>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</si>
  <si>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</si>
  <si>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</si>
  <si>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</si>
  <si>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</si>
  <si>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</si>
  <si>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</si>
  <si>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</si>
  <si>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</si>
  <si>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</si>
  <si>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</si>
  <si>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</si>
  <si>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</si>
  <si>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</si>
  <si>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</si>
  <si>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</si>
  <si>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</si>
  <si>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</si>
  <si>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</si>
  <si>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</si>
  <si>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</si>
  <si>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</si>
  <si>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</si>
  <si>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</si>
  <si>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</si>
  <si>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</si>
  <si>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</si>
  <si>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</si>
  <si>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</si>
  <si>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</si>
  <si>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</si>
  <si>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</si>
  <si>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</si>
  <si>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</si>
  <si>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</si>
  <si>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</si>
  <si>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</si>
  <si>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</si>
  <si>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</si>
  <si>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</si>
  <si>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</si>
  <si>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</si>
  <si>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</si>
  <si>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</si>
  <si>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</si>
  <si>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</si>
  <si>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</si>
  <si>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</si>
  <si>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</si>
  <si>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</si>
  <si>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</si>
  <si>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</si>
  <si>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</si>
  <si>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</si>
  <si>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</si>
  <si>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</si>
  <si>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</si>
  <si>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</si>
  <si>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</si>
  <si>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</si>
  <si>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</si>
  <si>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</si>
  <si>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</si>
  <si>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</si>
  <si>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</si>
  <si>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</si>
  <si>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</si>
  <si>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</si>
  <si>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</si>
  <si>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</si>
  <si>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</si>
  <si>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</si>
  <si>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</si>
  <si>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</si>
  <si>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</si>
  <si>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</si>
  <si>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</si>
  <si>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</si>
  <si>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</si>
  <si>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</si>
  <si>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</si>
  <si>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</si>
  <si>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</si>
  <si>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</si>
  <si>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</si>
  <si>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</si>
  <si>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</si>
  <si>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</si>
  <si>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</si>
  <si>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</si>
  <si>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</si>
  <si>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</si>
  <si>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</si>
  <si>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</si>
  <si>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</si>
  <si>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</si>
  <si>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</si>
  <si>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</si>
  <si>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</si>
  <si>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</si>
  <si>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</si>
  <si>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</si>
  <si>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</si>
  <si>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</si>
  <si>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</si>
  <si>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</si>
  <si>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</si>
  <si>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</si>
  <si>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</si>
  <si>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</si>
  <si>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</si>
  <si>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</si>
  <si>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</si>
  <si>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</si>
  <si>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</si>
  <si>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</si>
  <si>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</si>
  <si>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</si>
  <si>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</si>
  <si>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</si>
  <si>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</si>
  <si>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</si>
  <si>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</si>
  <si>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</si>
  <si>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</si>
  <si>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</si>
  <si>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</si>
  <si>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</si>
  <si>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</si>
  <si>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</si>
  <si>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</si>
  <si>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</si>
  <si>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</si>
  <si>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</si>
  <si>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</si>
  <si>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</si>
  <si>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</si>
  <si>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</si>
  <si>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</si>
  <si>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</si>
  <si>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</si>
  <si>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</si>
  <si>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</si>
  <si>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</si>
  <si>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</si>
  <si>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</si>
  <si>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</si>
  <si>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</si>
  <si>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</si>
  <si>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</si>
  <si>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</si>
  <si>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</si>
  <si>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</si>
  <si>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</si>
  <si>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</si>
  <si>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</si>
  <si>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</si>
  <si>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</si>
  <si>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</si>
  <si>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</si>
  <si>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</si>
  <si>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</si>
  <si>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</si>
  <si>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</si>
  <si>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</si>
  <si>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</si>
  <si>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</si>
  <si>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</si>
  <si>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</si>
  <si>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</si>
  <si>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</si>
  <si>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</si>
  <si>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</si>
  <si>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</si>
  <si>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</si>
  <si>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</si>
  <si>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</si>
  <si>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</si>
  <si>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</si>
  <si>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</si>
  <si>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</si>
  <si>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</si>
  <si>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</si>
  <si>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</si>
  <si>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</si>
  <si>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</si>
  <si>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</si>
  <si>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</si>
  <si>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</si>
  <si>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</si>
  <si>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</si>
  <si>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</si>
  <si>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</si>
  <si>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</si>
  <si>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</si>
  <si>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</si>
  <si>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</si>
  <si>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</si>
  <si>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</si>
  <si>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</si>
  <si>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</si>
  <si>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</si>
  <si>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</si>
  <si>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</si>
  <si>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</si>
  <si>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</si>
  <si>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</si>
  <si>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</si>
  <si>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</si>
  <si>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</si>
  <si>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</si>
  <si>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</si>
  <si>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</si>
  <si>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</si>
  <si>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</si>
  <si>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</si>
  <si>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</si>
  <si>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</si>
  <si>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</si>
  <si>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</si>
  <si>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</si>
  <si>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</si>
  <si>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</si>
  <si>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</si>
  <si>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</si>
  <si>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</si>
  <si>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</si>
  <si>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</si>
  <si>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</si>
  <si>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</si>
  <si>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</si>
  <si>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</si>
  <si>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</si>
  <si>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</si>
  <si>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</si>
  <si>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</si>
  <si>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</si>
  <si>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</si>
  <si>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</si>
  <si>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</si>
  <si>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</si>
  <si>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</si>
  <si>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</si>
  <si>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</si>
  <si>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</si>
  <si>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</si>
  <si>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</si>
  <si>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</si>
  <si>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</si>
  <si>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</si>
  <si>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</si>
  <si>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</si>
  <si>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</si>
  <si>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</si>
  <si>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</si>
  <si>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</si>
  <si>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</si>
  <si>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</si>
  <si>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</si>
  <si>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</si>
  <si>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</si>
  <si>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</si>
  <si>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</si>
  <si>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</si>
  <si>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</si>
  <si>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</si>
  <si>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</si>
  <si>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</si>
  <si>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</si>
  <si>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</si>
  <si>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</si>
  <si>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</si>
  <si>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</si>
  <si>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</si>
  <si>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</si>
  <si>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</si>
  <si>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</si>
  <si>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</si>
  <si>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</si>
  <si>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</si>
  <si>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</si>
  <si>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</si>
  <si>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</si>
  <si>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</si>
  <si>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</si>
  <si>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</si>
  <si>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</si>
  <si>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</si>
  <si>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</si>
  <si>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</si>
  <si>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</si>
  <si>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</si>
  <si>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</si>
  <si>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</si>
  <si>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</si>
  <si>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</si>
  <si>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</si>
  <si>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</si>
  <si>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</si>
  <si>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</si>
  <si>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</si>
  <si>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</si>
  <si>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</si>
  <si>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</si>
  <si>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</si>
  <si>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</si>
  <si>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</si>
  <si>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</si>
  <si>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</si>
  <si>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</si>
  <si>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</si>
  <si>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</si>
  <si>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</si>
  <si>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</si>
  <si>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</si>
  <si>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</si>
  <si>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</si>
  <si>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</si>
  <si>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</si>
  <si>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</si>
  <si>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</si>
  <si>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</si>
  <si>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</si>
  <si>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</si>
  <si>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</si>
  <si>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</si>
  <si>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</si>
  <si>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</si>
  <si>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</si>
  <si>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</si>
  <si>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</si>
  <si>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</si>
  <si>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</si>
  <si>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</si>
  <si>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</si>
  <si>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</si>
  <si>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</si>
  <si>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</si>
  <si>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</si>
  <si>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</si>
  <si>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</si>
  <si>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</si>
  <si>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</si>
  <si>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</si>
  <si>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</si>
  <si>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</si>
  <si>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</si>
  <si>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</si>
  <si>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</si>
  <si>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</si>
  <si>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</si>
  <si>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</si>
  <si>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</si>
  <si>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</si>
  <si>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</si>
  <si>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</si>
  <si>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</si>
  <si>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</si>
  <si>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</si>
  <si>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</si>
  <si>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</si>
  <si>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</si>
  <si>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</si>
  <si>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</si>
  <si>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</si>
  <si>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</si>
  <si>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</si>
  <si>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</si>
  <si>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</si>
  <si>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</si>
  <si>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</si>
  <si>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</si>
  <si>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</si>
  <si>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</si>
  <si>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</si>
  <si>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</si>
  <si>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</si>
  <si>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</si>
  <si>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</si>
  <si>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</si>
  <si>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</si>
  <si>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</si>
  <si>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</si>
  <si>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</si>
  <si>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</si>
  <si>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</si>
  <si>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</si>
  <si>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</si>
  <si>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</si>
  <si>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</si>
  <si>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</si>
  <si>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</si>
  <si>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</si>
  <si>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</si>
  <si>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</si>
  <si>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</si>
  <si>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</si>
  <si>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</si>
  <si>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</si>
  <si>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</si>
  <si>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</si>
  <si>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</si>
  <si>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</si>
  <si>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</si>
  <si>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</si>
  <si>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</si>
  <si>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</si>
  <si>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</si>
  <si>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</si>
  <si>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</si>
  <si>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抵押</t>
  </si>
  <si>
    <t>房地产抵押价值</t>
  </si>
  <si>
    <t>北京市</t>
  </si>
  <si>
    <t>企业</t>
  </si>
  <si>
    <t>是</t>
  </si>
  <si>
    <t>建筑面积</t>
    <phoneticPr fontId="134" type="noConversion"/>
  </si>
  <si>
    <t>人防</t>
    <phoneticPr fontId="134" type="noConversion"/>
  </si>
  <si>
    <t>负3层</t>
    <phoneticPr fontId="134" type="noConversion"/>
  </si>
  <si>
    <t>负2层</t>
    <phoneticPr fontId="134" type="noConversion"/>
  </si>
  <si>
    <t>负1层夹层</t>
    <phoneticPr fontId="134" type="noConversion"/>
  </si>
  <si>
    <t>负1层</t>
    <phoneticPr fontId="134" type="noConversion"/>
  </si>
  <si>
    <t>附属用房1</t>
    <phoneticPr fontId="134" type="noConversion"/>
  </si>
  <si>
    <t>附属用房2</t>
    <phoneticPr fontId="134" type="noConversion"/>
  </si>
  <si>
    <t>地上办公</t>
    <phoneticPr fontId="134" type="noConversion"/>
  </si>
  <si>
    <t>地上设备</t>
    <phoneticPr fontId="134" type="noConversion"/>
  </si>
  <si>
    <t>地下车库</t>
    <phoneticPr fontId="134" type="noConversion"/>
  </si>
  <si>
    <t>地下设备</t>
    <phoneticPr fontId="134" type="noConversion"/>
  </si>
  <si>
    <t>地上</t>
  </si>
  <si>
    <t>公共服务</t>
  </si>
  <si>
    <t>不临65条商业街</t>
  </si>
  <si>
    <t>地下</t>
  </si>
  <si>
    <t>办公</t>
    <phoneticPr fontId="7" type="noConversion"/>
  </si>
  <si>
    <t>地下车库</t>
  </si>
  <si>
    <t>地下车库</t>
    <phoneticPr fontId="7" type="noConversion"/>
  </si>
  <si>
    <t>成新度</t>
  </si>
  <si>
    <t>收益法</t>
  </si>
  <si>
    <t>押一</t>
  </si>
  <si>
    <t>钢混</t>
  </si>
  <si>
    <t>非生产用房</t>
  </si>
  <si>
    <t>总价</t>
  </si>
  <si>
    <t>成本比率</t>
  </si>
  <si>
    <t>成本法</t>
  </si>
  <si>
    <t>收益法（汇总）</t>
  </si>
  <si>
    <t>利息：取LPR加浮动点数</t>
  </si>
  <si>
    <t>收益法 (车库)</t>
  </si>
  <si>
    <t>收益法 (车库)</t>
    <phoneticPr fontId="16" type="noConversion"/>
  </si>
  <si>
    <t>已包含在土地取得成本中</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</si>
  <si>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</si>
  <si>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</si>
  <si>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</si>
  <si>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</si>
  <si>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</si>
  <si>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</si>
  <si>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</si>
  <si>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</si>
  <si>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</si>
  <si>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</si>
  <si>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</si>
  <si>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</si>
  <si>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</si>
  <si>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</si>
  <si>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</si>
  <si>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</si>
  <si>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</si>
  <si>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</si>
  <si>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</si>
  <si>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</si>
  <si>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北京市石景山区首钢园区东南区土地一级开发项目1612-774地块B4综合性商业金融服务业用地</t>
  </si>
  <si>
    <t>京土整储挂(石)[2021] 079号</t>
  </si>
  <si>
    <t xml:space="preserve"> 商业/办公用地</t>
  </si>
  <si>
    <t xml:space="preserve"> 挂牌</t>
  </si>
  <si>
    <t xml:space="preserve"> B4综合性商业金融服务业用地</t>
  </si>
  <si>
    <t xml:space="preserve">-- </t>
  </si>
  <si>
    <t xml:space="preserve"> 已成交</t>
  </si>
  <si>
    <t xml:space="preserve"> 北京首鹰置业有限公司  </t>
  </si>
  <si>
    <t>2021-10-25 15:00</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</si>
  <si>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</si>
  <si>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</si>
  <si>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</si>
  <si>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</si>
  <si>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</si>
  <si>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</si>
  <si>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</si>
  <si>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</si>
  <si>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</si>
  <si>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</si>
  <si>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</si>
  <si>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</si>
  <si>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</si>
  <si>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</si>
  <si>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</si>
  <si>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计算容积率</t>
    <phoneticPr fontId="134" type="noConversion"/>
  </si>
  <si>
    <t>科研用地</t>
    <phoneticPr fontId="30" type="noConversion"/>
  </si>
  <si>
    <r>
      <t>B4</t>
    </r>
    <r>
      <rPr>
        <sz val="11"/>
        <rFont val="宋体"/>
        <family val="3"/>
        <charset val="134"/>
      </rPr>
      <t>商业</t>
    </r>
    <phoneticPr fontId="30" type="noConversion"/>
  </si>
  <si>
    <r>
      <t>B1</t>
    </r>
    <r>
      <rPr>
        <sz val="11"/>
        <rFont val="宋体"/>
        <family val="3"/>
        <charset val="134"/>
      </rPr>
      <t>商业</t>
    </r>
    <phoneticPr fontId="30" type="noConversion"/>
  </si>
  <si>
    <t>自持情况</t>
    <phoneticPr fontId="30" type="noConversion"/>
  </si>
  <si>
    <t>五级</t>
    <phoneticPr fontId="30" type="noConversion"/>
  </si>
  <si>
    <t>六级</t>
    <phoneticPr fontId="30" type="noConversion"/>
  </si>
  <si>
    <t>七级</t>
    <phoneticPr fontId="30" type="noConversion"/>
  </si>
  <si>
    <t>八级</t>
    <phoneticPr fontId="30" type="noConversion"/>
  </si>
  <si>
    <t>正常</t>
  </si>
  <si>
    <t>B4商业</t>
  </si>
  <si>
    <t>B1商业</t>
  </si>
  <si>
    <t>一般</t>
  </si>
  <si>
    <t>较好</t>
  </si>
  <si>
    <t>七通</t>
  </si>
  <si>
    <t>规则</t>
    <phoneticPr fontId="30" type="noConversion"/>
  </si>
  <si>
    <t>较规则</t>
    <phoneticPr fontId="30" type="noConversion"/>
  </si>
  <si>
    <t>较不规则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</si>
  <si>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</si>
  <si>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</si>
  <si>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</si>
  <si>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</si>
  <si>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</si>
  <si>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</si>
  <si>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临时三通</t>
  </si>
  <si>
    <t>临时三通</t>
    <phoneticPr fontId="30" type="noConversion"/>
  </si>
  <si>
    <t>自持满年限</t>
    <phoneticPr fontId="30" type="noConversion"/>
  </si>
  <si>
    <r>
      <rPr>
        <sz val="11"/>
        <color indexed="8"/>
        <rFont val="宋体"/>
        <family val="3"/>
        <charset val="134"/>
      </rPr>
      <t>自持</t>
    </r>
    <r>
      <rPr>
        <sz val="11"/>
        <color indexed="8"/>
        <rFont val="Arial"/>
        <family val="2"/>
      </rPr>
      <t>20</t>
    </r>
    <r>
      <rPr>
        <sz val="11"/>
        <color indexed="8"/>
        <rFont val="宋体"/>
        <family val="3"/>
        <charset val="134"/>
      </rPr>
      <t>年</t>
    </r>
    <phoneticPr fontId="30" type="noConversion"/>
  </si>
  <si>
    <t>无自持</t>
    <phoneticPr fontId="30" type="noConversion"/>
  </si>
  <si>
    <t>基准地价</t>
    <phoneticPr fontId="134" type="noConversion"/>
  </si>
  <si>
    <t>比较法</t>
    <phoneticPr fontId="134" type="noConversion"/>
  </si>
  <si>
    <t>总价</t>
    <phoneticPr fontId="134" type="noConversion"/>
  </si>
  <si>
    <t>Ⅵ-门1</t>
  </si>
  <si>
    <t>权重</t>
    <phoneticPr fontId="134" type="noConversion"/>
  </si>
  <si>
    <t>综合</t>
    <phoneticPr fontId="134" type="noConversion"/>
  </si>
  <si>
    <r>
      <t>2021</t>
    </r>
    <r>
      <rPr>
        <sz val="10"/>
        <color indexed="8"/>
        <rFont val="宋体"/>
        <family val="3"/>
        <charset val="134"/>
      </rPr>
      <t>年</t>
    </r>
    <phoneticPr fontId="8" type="noConversion"/>
  </si>
  <si>
    <t>否</t>
  </si>
  <si>
    <t>一般</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</si>
</sst>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lignment vertical="center"/>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0" fillId="0" borderId="0" xfId="0"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222" fillId="0" borderId="24" xfId="10" applyNumberFormat="1" applyFont="1" applyBorder="1" applyAlignment="1" applyProtection="1">
      <alignment vertical="center" wrapText="1"/>
      <protection locked="0"/>
    </xf>
    <xf numFmtId="0" fontId="222" fillId="0" borderId="24" xfId="10" applyFont="1" applyBorder="1" applyAlignment="1" applyProtection="1">
      <alignment vertical="center" wrapText="1"/>
      <protection locked="0"/>
    </xf>
    <xf numFmtId="0" fontId="222" fillId="0" borderId="49" xfId="1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80" fillId="3" borderId="0" xfId="0" applyFont="1" applyFill="1" applyProtection="1">
      <alignment vertical="center"/>
      <protection locked="0"/>
    </xf>
    <xf numFmtId="0" fontId="80" fillId="0" borderId="0" xfId="0" applyFont="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495300</xdr:colOff>
      <xdr:row>36</xdr:row>
      <xdr:rowOff>20170</xdr:rowOff>
    </xdr:to>
    <xdr:pic>
      <xdr:nvPicPr>
        <xdr:cNvPr id="3" name="图片 2">
          <a:extLst>
            <a:ext uri="{FF2B5EF4-FFF2-40B4-BE49-F238E27FC236}">
              <a16:creationId xmlns:a16="http://schemas.microsoft.com/office/drawing/2014/main" id="{B7BFB496-0168-E815-74A6-7E100DF3AD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7772400" cy="5163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
      <sheetName val="收益法 (元)"/>
      <sheetName val="收益法 (地下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C31">
            <v>7219.03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13941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估价对象为北京市房地产，为所有。根据《国有土地使用证》[]，估价对象（分摊）出让国有建设用地使用权面积为6294.36平方米，建筑面积为39707.96平方米。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估价对象为北京市房地产,属开发建设的，该项目尚在开发建设中。根据《国有土地使用证》[]，估价对象（分摊）出让国有建设用地使用权面积为6294.36平方米，规划建筑面积为39707.96平方米。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2022年12月27日（评估专业人员实地查勘之日）</v>
      </c>
    </row>
    <row r="13" spans="1:2">
      <c r="A13" s="1119" t="s">
        <v>529</v>
      </c>
      <c r="B13" s="1120" t="str">
        <f>'预评函-1'!A18</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68824</v>
      </c>
    </row>
    <row r="21" spans="1:2">
      <c r="A21" s="1119" t="s">
        <v>537</v>
      </c>
      <c r="B21" s="1120">
        <f ca="1">'预评函-2'!D7</f>
        <v>17333</v>
      </c>
    </row>
    <row r="22" spans="1:2">
      <c r="A22" s="1119" t="s">
        <v>538</v>
      </c>
      <c r="B22" s="1120" t="str">
        <f ca="1">'预评函-2'!D6</f>
        <v>陆亿捌仟捌佰贰拾肆万元整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68824</v>
      </c>
    </row>
    <row r="31" spans="1:2">
      <c r="A31" s="1119" t="s">
        <v>576</v>
      </c>
      <c r="B31" s="1120">
        <f ca="1">'预评函-2'!D15</f>
        <v>17333</v>
      </c>
    </row>
    <row r="32" spans="1:2">
      <c r="A32" s="1119" t="s">
        <v>543</v>
      </c>
      <c r="B32" s="1120" t="str">
        <f ca="1">'预评函-2'!D14</f>
        <v>陆亿捌仟捌佰贰拾肆万元整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39707.960000000006</v>
      </c>
    </row>
    <row r="44" spans="1:2">
      <c r="A44" s="1119" t="s">
        <v>575</v>
      </c>
      <c r="B44" s="1120" t="str">
        <f>'预评函-3'!C2</f>
        <v>(分摊)土地面积</v>
      </c>
    </row>
    <row r="45" spans="1:2">
      <c r="A45" s="1119" t="s">
        <v>547</v>
      </c>
      <c r="B45" s="1120">
        <f>'预评函-3'!C4</f>
        <v>6294.36</v>
      </c>
    </row>
    <row r="46" spans="1:2">
      <c r="A46" s="1119" t="s">
        <v>573</v>
      </c>
      <c r="B46" s="1120" t="str">
        <f>'预评函-3'!D2</f>
        <v>出让国有建设用地使用权价值</v>
      </c>
    </row>
    <row r="47" spans="1:2">
      <c r="A47" s="1119" t="s">
        <v>548</v>
      </c>
      <c r="B47" s="1120">
        <f ca="1">'预评函-3'!D4</f>
        <v>48521</v>
      </c>
    </row>
    <row r="48" spans="1:2">
      <c r="A48" s="1119" t="s">
        <v>549</v>
      </c>
      <c r="B48" s="1120">
        <f ca="1">'预评函-3'!E4</f>
        <v>12220</v>
      </c>
    </row>
    <row r="49" spans="1:2">
      <c r="A49" s="1119" t="s">
        <v>550</v>
      </c>
      <c r="B49" s="1120" t="str">
        <f ca="1">'预评函-3'!D5</f>
        <v>肆亿捌仟伍佰贰拾壹万元整</v>
      </c>
    </row>
    <row r="50" spans="1:2">
      <c r="A50" s="1119" t="s">
        <v>574</v>
      </c>
      <c r="B50" s="1120" t="str">
        <f>'预评函-3'!F2</f>
        <v>在建建筑物价值</v>
      </c>
    </row>
    <row r="51" spans="1:2">
      <c r="A51" s="1119" t="s">
        <v>551</v>
      </c>
      <c r="B51" s="1120">
        <f ca="1">'预评函-3'!F4</f>
        <v>20303</v>
      </c>
    </row>
    <row r="52" spans="1:2">
      <c r="A52" s="1119" t="s">
        <v>552</v>
      </c>
      <c r="B52" s="1120">
        <f ca="1">'预评函-3'!G4</f>
        <v>5113</v>
      </c>
    </row>
    <row r="53" spans="1:2">
      <c r="A53" s="1119" t="s">
        <v>580</v>
      </c>
      <c r="B53" s="1120" t="str">
        <f ca="1">'预评函-3'!F5</f>
        <v>贰亿零叁佰零叁万元整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2569</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2570</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2282</v>
      </c>
      <c r="C17" s="1442"/>
    </row>
    <row r="18" spans="1:3">
      <c r="A18" s="1441" t="s">
        <v>1046</v>
      </c>
      <c r="B18" s="1441" t="s">
        <v>2425</v>
      </c>
      <c r="C18" s="1442"/>
    </row>
    <row r="19" spans="1:3">
      <c r="A19" s="1441" t="s">
        <v>1047</v>
      </c>
      <c r="B19" s="1441" t="s">
        <v>313</v>
      </c>
      <c r="C19" s="1442"/>
    </row>
    <row r="20" spans="1:3">
      <c r="A20" s="1441" t="s">
        <v>1048</v>
      </c>
      <c r="B20" s="1441" t="s">
        <v>3401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7" t="s">
        <v>2585</v>
      </c>
      <c r="J1" s="2782"/>
      <c r="K1" s="2782"/>
      <c r="L1" s="2782"/>
      <c r="M1" s="2782"/>
      <c r="N1" s="2968"/>
      <c r="O1" s="2968"/>
      <c r="P1" s="2968"/>
      <c r="Q1" s="2968"/>
      <c r="R1" s="2968"/>
    </row>
    <row r="2" spans="1:18">
      <c r="A2" s="2759"/>
      <c r="B2" s="2760"/>
      <c r="C2" s="2760"/>
      <c r="D2" s="2760"/>
      <c r="E2" s="2760"/>
      <c r="F2" s="2761"/>
      <c r="I2" s="3201" t="s">
        <v>2572</v>
      </c>
      <c r="J2" s="3201"/>
      <c r="K2" s="3201"/>
      <c r="L2" s="3201"/>
      <c r="M2" s="3201"/>
      <c r="N2" s="3201"/>
      <c r="O2" s="3201"/>
      <c r="P2" s="3201"/>
      <c r="Q2" s="3201"/>
      <c r="R2" s="3201"/>
    </row>
    <row r="3" spans="1:18">
      <c r="A3" s="2762" t="s">
        <v>2493</v>
      </c>
      <c r="B3" s="2763">
        <f>项目基本情况!D3</f>
        <v>44922</v>
      </c>
      <c r="C3" s="2765"/>
      <c r="D3" s="2765"/>
      <c r="E3" s="2765"/>
      <c r="F3" s="2761"/>
      <c r="I3" s="2777"/>
      <c r="J3" s="2777" t="s">
        <v>2576</v>
      </c>
      <c r="K3" s="2777" t="s">
        <v>2577</v>
      </c>
      <c r="L3" s="2777" t="s">
        <v>2578</v>
      </c>
      <c r="M3" s="2777" t="s">
        <v>2579</v>
      </c>
      <c r="N3" s="3138" t="s">
        <v>2580</v>
      </c>
      <c r="O3" s="3138" t="s">
        <v>2581</v>
      </c>
      <c r="P3" s="3138" t="s">
        <v>2582</v>
      </c>
      <c r="Q3" s="3138" t="s">
        <v>2583</v>
      </c>
      <c r="R3" s="3138"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3.98</v>
      </c>
      <c r="D5" s="2767">
        <f>IF(ISERROR(ROUND(POWER(1+E5,A5-C5)*(POWER(1+E5,C5)-1)/(POWER(1+E5,A5)-1),3)),0,ROUND(POWER(1+E5,A5-C5)*(POWER(1+E5,C5)-1)/(POWER(1+E5,A5)-1),4))</f>
        <v>0.1825</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13.98</v>
      </c>
      <c r="D6" s="2767">
        <f>IF(ISERROR(ROUND(POWER(1+E6,A6-C6)*(POWER(1+E6,C6)-1)/(POWER(1+E6,A6)-1),3)),0,ROUND(POWER(1+E6,A6-C6)*(POWER(1+E6,C6)-1)/(POWER(1+E6,A6)-1),4))</f>
        <v>0.49120000000000003</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34</v>
      </c>
      <c r="D7" s="2767">
        <f>IF(ISERROR(ROUND(POWER(1+E7,A7-C7)*(POWER(1+E7,C7)-1)/(POWER(1+E7,A7)-1),3)),0,ROUND(POWER(1+E7,A7-C7)*(POWER(1+E7,C7)-1)/(POWER(1+E7,A7)-1),4))</f>
        <v>0.78700000000000003</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44922</v>
      </c>
      <c r="C3" s="2186" t="s">
        <v>2169</v>
      </c>
      <c r="D3" s="2185">
        <f>B3</f>
        <v>44922</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3364</v>
      </c>
      <c r="C4" s="2188">
        <f ca="1">SUMIF(注册房地产估价师,B4,估价师及机构信息!B3:B24)</f>
        <v>1120100036</v>
      </c>
      <c r="D4" s="2187" t="s">
        <v>3365</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2173</v>
      </c>
      <c r="B7" s="2198"/>
      <c r="C7" s="2196"/>
      <c r="D7" s="2197"/>
      <c r="E7" s="2440"/>
      <c r="F7" s="2441"/>
      <c r="G7" s="2441"/>
      <c r="H7" s="2441"/>
      <c r="I7" s="2441"/>
      <c r="J7" s="2245"/>
      <c r="K7" s="2401"/>
      <c r="L7" s="2398"/>
      <c r="M7" s="2398"/>
      <c r="N7" s="2245"/>
      <c r="O7" s="1670"/>
      <c r="P7" s="2245"/>
      <c r="Q7" s="2245"/>
      <c r="R7" s="2245"/>
    </row>
    <row r="8" spans="1:30">
      <c r="A8" s="2199" t="s">
        <v>2174</v>
      </c>
      <c r="B8" s="2200" t="s">
        <v>3366</v>
      </c>
      <c r="C8" s="2201"/>
      <c r="D8" s="3212" t="s">
        <v>2175</v>
      </c>
      <c r="E8" s="2202" t="s">
        <v>3367</v>
      </c>
      <c r="F8" s="2203"/>
      <c r="G8" s="2441"/>
      <c r="H8" s="2441"/>
      <c r="I8" s="2441"/>
      <c r="J8" s="2245"/>
      <c r="K8" s="2399"/>
      <c r="L8" s="2398"/>
      <c r="M8" s="2398"/>
      <c r="N8" s="2245"/>
      <c r="O8" s="1670"/>
      <c r="P8" s="2245"/>
      <c r="Q8" s="2245"/>
      <c r="R8" s="2245"/>
    </row>
    <row r="9" spans="1:30" ht="13.5" thickBot="1">
      <c r="A9" s="2204" t="s">
        <v>2176</v>
      </c>
      <c r="B9" s="2205" t="s">
        <v>3367</v>
      </c>
      <c r="C9" s="2206"/>
      <c r="D9" s="3213"/>
      <c r="E9" s="2205" t="s">
        <v>43</v>
      </c>
      <c r="F9" s="2207"/>
      <c r="G9" s="2442"/>
      <c r="H9" s="2442"/>
      <c r="I9" s="2442"/>
      <c r="J9" s="2245"/>
      <c r="K9" s="2401"/>
      <c r="L9" s="2398"/>
      <c r="M9" s="2398"/>
      <c r="N9" s="2245"/>
      <c r="O9" s="1670"/>
      <c r="P9" s="2245"/>
      <c r="Q9" s="2245"/>
      <c r="R9" s="2245"/>
    </row>
    <row r="10" spans="1:30" ht="13.5" thickTop="1">
      <c r="A10" s="2208" t="s">
        <v>2177</v>
      </c>
      <c r="B10" s="2209" t="s">
        <v>3368</v>
      </c>
      <c r="C10" s="2210"/>
      <c r="D10" s="2193"/>
      <c r="E10" s="2211" t="s">
        <v>2178</v>
      </c>
      <c r="F10" s="2443"/>
      <c r="G10" s="2444"/>
      <c r="H10" s="2445"/>
      <c r="I10" s="2446"/>
      <c r="J10" s="2245"/>
      <c r="K10" s="2401"/>
      <c r="L10" s="2398"/>
      <c r="M10" s="2398"/>
      <c r="N10" s="2245"/>
      <c r="O10" s="1670"/>
      <c r="P10" s="2245"/>
      <c r="Q10" s="2245"/>
      <c r="R10" s="2245"/>
    </row>
    <row r="11" spans="1:30">
      <c r="A11" s="2212" t="s">
        <v>2179</v>
      </c>
      <c r="B11" s="2213" t="s">
        <v>3369</v>
      </c>
      <c r="C11" s="2214"/>
      <c r="D11" s="2215"/>
      <c r="E11" s="2182"/>
      <c r="F11" s="2182"/>
      <c r="G11" s="2182"/>
      <c r="H11" s="2182"/>
      <c r="I11" s="2182"/>
      <c r="J11" s="2801"/>
      <c r="K11" s="2398"/>
      <c r="L11" s="2398"/>
      <c r="M11" s="2398"/>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0" t="s">
        <v>2568</v>
      </c>
      <c r="J12" s="2802"/>
      <c r="K12" s="2398"/>
      <c r="L12" s="2398"/>
      <c r="M12" s="2245"/>
      <c r="N12" s="1670"/>
      <c r="O12" s="2245"/>
      <c r="P12" s="2245"/>
      <c r="Q12" s="2245"/>
      <c r="AD12" s="1618"/>
    </row>
    <row r="13" spans="1:30">
      <c r="A13" s="3123" t="s">
        <v>3330</v>
      </c>
      <c r="B13" s="2218" t="s">
        <v>2188</v>
      </c>
      <c r="C13" s="803"/>
      <c r="D13" s="803"/>
      <c r="E13" s="803">
        <v>57017</v>
      </c>
      <c r="F13" s="803">
        <v>57017</v>
      </c>
      <c r="G13" s="803"/>
      <c r="H13" s="803"/>
      <c r="I13" s="803">
        <f>E13</f>
        <v>57017</v>
      </c>
      <c r="J13" s="2802"/>
      <c r="K13" s="2398"/>
      <c r="L13" s="2398"/>
      <c r="M13" s="2245"/>
      <c r="N13" s="1670"/>
      <c r="O13" s="2245"/>
      <c r="P13" s="2245"/>
      <c r="Q13" s="2245"/>
      <c r="AD13" s="1618"/>
    </row>
    <row r="14" spans="1:30">
      <c r="A14" s="1018"/>
      <c r="B14" s="2218" t="s">
        <v>2189</v>
      </c>
      <c r="C14" s="2219"/>
      <c r="D14" s="2219"/>
      <c r="E14" s="2219">
        <v>50</v>
      </c>
      <c r="F14" s="2219">
        <v>50</v>
      </c>
      <c r="G14" s="2219"/>
      <c r="H14" s="2219"/>
      <c r="I14" s="2219">
        <v>50</v>
      </c>
      <c r="J14" s="2803"/>
      <c r="K14" s="2398"/>
      <c r="L14" s="2398"/>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f>IF(A13="出让",IF(E13="","",ROUNDDOWN(MIN((E13-$D$3)/365,E14),2)),E14)</f>
        <v>33.130000000000003</v>
      </c>
      <c r="F15" s="2221">
        <f>IF(A13="出让",IF(F13="","",ROUNDDOWN(MIN((F13-$D$3)/365,F14),2)),F14)</f>
        <v>33.130000000000003</v>
      </c>
      <c r="G15" s="2221" t="str">
        <f>IF(A13="出让",IF(G13="","",ROUNDDOWN(MIN((G13-$D$3)/365,G14),2)),G14)</f>
        <v/>
      </c>
      <c r="H15" s="2221" t="str">
        <f>IF(A13="出让",IF(H13="","",ROUNDDOWN(MIN((H13-$D$3)/365,H14),2)),H14)</f>
        <v/>
      </c>
      <c r="I15" s="2221">
        <f>IF(A13="出让",IF(I13="","",ROUNDDOWN(MIN((I13-$D$3)/365,I14),2)),I14)</f>
        <v>33.130000000000003</v>
      </c>
      <c r="J15" s="2804"/>
      <c r="K15" s="1670"/>
      <c r="L15" s="1670"/>
      <c r="M15" s="2245"/>
      <c r="N15" s="1670"/>
      <c r="O15" s="2245"/>
      <c r="P15" s="2245"/>
      <c r="Q15" s="2245"/>
      <c r="AD15" s="1618"/>
    </row>
    <row r="16" spans="1:30">
      <c r="A16" s="2211" t="s">
        <v>2191</v>
      </c>
      <c r="B16" s="3219"/>
      <c r="C16" s="3220"/>
      <c r="D16" s="3221"/>
      <c r="E16" s="2222" t="s">
        <v>2192</v>
      </c>
      <c r="F16" s="3222"/>
      <c r="G16" s="3223"/>
      <c r="H16" s="3223"/>
      <c r="I16" s="3224"/>
      <c r="J16" s="2245"/>
      <c r="K16" s="2402"/>
      <c r="L16" s="1670"/>
      <c r="M16" s="1670"/>
      <c r="N16" s="2245"/>
      <c r="O16" s="1670"/>
      <c r="P16" s="2245"/>
      <c r="Q16" s="2245"/>
      <c r="R16" s="2245"/>
    </row>
    <row r="17" spans="1:28">
      <c r="A17" s="305" t="s">
        <v>2193</v>
      </c>
      <c r="B17" s="294" t="s">
        <v>2194</v>
      </c>
      <c r="C17" s="8">
        <f>'数据-汇总表'!E3</f>
        <v>39707.960000000006</v>
      </c>
      <c r="D17" s="1256" t="s">
        <v>2195</v>
      </c>
      <c r="E17" s="3225" t="s">
        <v>2196</v>
      </c>
      <c r="F17" s="3226"/>
      <c r="G17" s="3226"/>
      <c r="H17" s="3226"/>
      <c r="I17" s="3227"/>
      <c r="J17" s="2245"/>
      <c r="K17" s="2403"/>
      <c r="L17" s="1670"/>
      <c r="M17" s="1670"/>
      <c r="N17" s="2245"/>
      <c r="O17" s="1670"/>
      <c r="P17" s="2245"/>
      <c r="Q17" s="2245"/>
      <c r="R17" s="2245"/>
      <c r="S17" s="2245"/>
      <c r="T17" s="2245"/>
      <c r="U17" s="2245"/>
      <c r="V17" s="2245"/>
    </row>
    <row r="18" spans="1:28" ht="24.75" thickBot="1">
      <c r="A18" s="2223" t="s">
        <v>2197</v>
      </c>
      <c r="B18" s="1027" t="s">
        <v>2198</v>
      </c>
      <c r="C18" s="2224">
        <f>'数据-汇总表'!D3</f>
        <v>6294.36</v>
      </c>
      <c r="D18" s="1029" t="s">
        <v>2199</v>
      </c>
      <c r="E18" s="3228" t="s">
        <v>2200</v>
      </c>
      <c r="F18" s="3229"/>
      <c r="G18" s="3229"/>
      <c r="H18" s="3229"/>
      <c r="I18" s="3230"/>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15" t="s">
        <v>2204</v>
      </c>
      <c r="C20" s="3216"/>
      <c r="D20" s="3217" t="s">
        <v>2205</v>
      </c>
      <c r="E20" s="3218"/>
      <c r="F20" s="2429" t="s">
        <v>1056</v>
      </c>
      <c r="G20" s="2441"/>
      <c r="H20" s="2441"/>
      <c r="I20" s="2441"/>
      <c r="J20" s="2245"/>
      <c r="K20" s="3214"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03"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03"/>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03"/>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04"/>
      <c r="B30" s="294" t="s">
        <v>2216</v>
      </c>
      <c r="C30" s="3205"/>
      <c r="D30" s="3206"/>
      <c r="E30" s="2441"/>
      <c r="F30" s="2441"/>
      <c r="G30" s="2441"/>
      <c r="H30" s="2441"/>
      <c r="I30" s="2441"/>
      <c r="J30" s="2245"/>
      <c r="K30" s="2401"/>
      <c r="L30" s="2398"/>
      <c r="M30" s="2398"/>
      <c r="N30" s="2245"/>
      <c r="O30" s="1670"/>
      <c r="P30" s="2245"/>
      <c r="Q30" s="2245"/>
      <c r="R30" s="2245"/>
      <c r="S30" s="2245"/>
      <c r="T30" s="2245"/>
      <c r="U30" s="2245"/>
      <c r="V30" s="2245"/>
    </row>
    <row r="31" spans="1:28">
      <c r="A31" s="3207"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08"/>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08"/>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202" t="s">
        <v>2226</v>
      </c>
      <c r="T34" s="315" t="str">
        <f>NUMBERSTRING(7-K34,1)&amp;"通"</f>
        <v>七通</v>
      </c>
      <c r="U34" s="2245"/>
      <c r="V34" s="2245"/>
    </row>
    <row r="35" spans="1:30">
      <c r="A35" s="2236"/>
      <c r="B35" s="3202" t="s">
        <v>2227</v>
      </c>
      <c r="C35" s="3202"/>
      <c r="D35" s="3202"/>
      <c r="E35" s="3202"/>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5"/>
      <c r="V35" s="2245"/>
    </row>
    <row r="36" spans="1:30">
      <c r="A36" s="2183"/>
      <c r="B36" s="8" t="s">
        <v>2183</v>
      </c>
      <c r="C36" s="8" t="s">
        <v>2184</v>
      </c>
      <c r="D36" s="8" t="s">
        <v>2182</v>
      </c>
      <c r="E36" s="8" t="s">
        <v>2187</v>
      </c>
      <c r="F36" s="2800" t="s">
        <v>2571</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t="s">
        <v>29</v>
      </c>
      <c r="D37" s="2237" t="s">
        <v>29</v>
      </c>
      <c r="E37" s="2237"/>
      <c r="F37" s="2237" t="s">
        <v>29</v>
      </c>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t="s">
        <v>3479</v>
      </c>
      <c r="D38" s="2238" t="s">
        <v>3479</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F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37" width="9.5" style="1463" hidden="1" customWidth="1"/>
    <col min="38"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6294.36</v>
      </c>
      <c r="B3" s="11">
        <f>IF(C3="否",G5-AT5,G5)</f>
        <v>39707.960000000006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477" customFormat="1" ht="12.75">
      <c r="A6" s="12" t="s">
        <v>1072</v>
      </c>
      <c r="B6" s="1474"/>
      <c r="C6" s="1474"/>
      <c r="D6" s="1475"/>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3383</v>
      </c>
      <c r="J9" s="761"/>
      <c r="K9" s="1491" t="s">
        <v>3386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3331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3370</v>
      </c>
      <c r="E13" s="13">
        <f>IF($C$3="是",ROUND($A$3*G13/$B$3,2),ROUND($A$3*(G13-AT13)/$B$3,2))</f>
        <v>6294.36</v>
      </c>
      <c r="F13" s="29"/>
      <c r="G13" s="30">
        <f>H13+AC13+AT13</f>
        <v>39707.960000000006</v>
      </c>
      <c r="H13" s="17">
        <f>SUMIF(I$12:AB$12,"总值",I13:AB13)</f>
        <v>39425.990000000005</v>
      </c>
      <c r="I13" s="1514">
        <f>面积!C29</f>
        <v>32206.960000000006</v>
      </c>
      <c r="J13" s="1514"/>
      <c r="K13" s="1514">
        <f>[2]面积!$C$31</f>
        <v>7219.03</v>
      </c>
      <c r="L13" s="1514"/>
      <c r="M13" s="1514"/>
      <c r="N13" s="1514"/>
      <c r="O13" s="1514"/>
      <c r="P13" s="1514"/>
      <c r="Q13" s="1514"/>
      <c r="R13" s="1514"/>
      <c r="S13" s="1514"/>
      <c r="T13" s="1514"/>
      <c r="U13" s="1514"/>
      <c r="V13" s="1514"/>
      <c r="W13" s="1514"/>
      <c r="X13" s="1514"/>
      <c r="Y13" s="1514"/>
      <c r="Z13" s="1514"/>
      <c r="AA13" s="1514"/>
      <c r="AB13" s="1514"/>
      <c r="AC13" s="13">
        <f>SUMIF(AD$12:AS$12,"总值",AD13:AS13)</f>
        <v>281.96999999999997</v>
      </c>
      <c r="AD13" s="989"/>
      <c r="AE13" s="989"/>
      <c r="AF13" s="989"/>
      <c r="AG13" s="989"/>
      <c r="AH13" s="989"/>
      <c r="AI13" s="989"/>
      <c r="AJ13" s="989"/>
      <c r="AK13" s="989"/>
      <c r="AL13" s="989">
        <f>面积!C30</f>
        <v>281.96999999999997</v>
      </c>
      <c r="AM13" s="989"/>
      <c r="AN13" s="989"/>
      <c r="AO13" s="989"/>
      <c r="AP13" s="989"/>
      <c r="AQ13" s="989"/>
      <c r="AR13" s="989"/>
      <c r="AS13" s="989"/>
      <c r="AT13" s="29"/>
      <c r="AU13" s="1515"/>
      <c r="AV13" s="8">
        <f t="shared" ref="AV13:AX17" si="6">A13</f>
        <v>0</v>
      </c>
      <c r="AW13" s="8">
        <f t="shared" si="6"/>
        <v>0</v>
      </c>
      <c r="AX13" s="8">
        <f t="shared" si="6"/>
        <v>0</v>
      </c>
      <c r="AY13" s="1260">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27A9-6CA9-4AB4-905E-E907B324DD28}">
  <dimension ref="A1:D33"/>
  <sheetViews>
    <sheetView workbookViewId="0">
      <selection activeCell="D10" sqref="D10"/>
    </sheetView>
  </sheetViews>
  <sheetFormatPr defaultRowHeight="13.5"/>
  <sheetData>
    <row r="1" spans="1:4">
      <c r="B1" s="1405" t="s">
        <v>3371</v>
      </c>
      <c r="C1" s="1405" t="s">
        <v>3372</v>
      </c>
    </row>
    <row r="2" spans="1:4">
      <c r="A2" s="1405" t="s">
        <v>3373</v>
      </c>
      <c r="B2">
        <v>3996.73</v>
      </c>
      <c r="C2">
        <v>3515.45</v>
      </c>
    </row>
    <row r="3" spans="1:4">
      <c r="A3" s="1405" t="s">
        <v>3374</v>
      </c>
      <c r="B3">
        <v>3996.71</v>
      </c>
      <c r="C3">
        <v>63.75</v>
      </c>
    </row>
    <row r="4" spans="1:4">
      <c r="A4" s="1405" t="s">
        <v>3375</v>
      </c>
      <c r="B4">
        <v>152.22</v>
      </c>
    </row>
    <row r="5" spans="1:4">
      <c r="A5" s="1405" t="s">
        <v>3376</v>
      </c>
      <c r="B5">
        <v>2695.74</v>
      </c>
      <c r="C5">
        <v>43.17</v>
      </c>
    </row>
    <row r="6" spans="1:4">
      <c r="A6">
        <v>1</v>
      </c>
      <c r="B6">
        <v>2314.3200000000002</v>
      </c>
      <c r="C6">
        <v>42.93</v>
      </c>
    </row>
    <row r="7" spans="1:4">
      <c r="A7">
        <v>2</v>
      </c>
      <c r="B7">
        <v>2091.71</v>
      </c>
    </row>
    <row r="8" spans="1:4">
      <c r="A8">
        <v>3</v>
      </c>
      <c r="B8">
        <v>2095.34</v>
      </c>
    </row>
    <row r="9" spans="1:4">
      <c r="A9">
        <v>4</v>
      </c>
      <c r="B9">
        <v>2095.34</v>
      </c>
    </row>
    <row r="10" spans="1:4">
      <c r="A10">
        <v>5</v>
      </c>
      <c r="B10">
        <v>2095.34</v>
      </c>
      <c r="D10">
        <f>B12+B13+B14+B7/2</f>
        <v>6851.3449999999993</v>
      </c>
    </row>
    <row r="11" spans="1:4">
      <c r="A11">
        <v>6</v>
      </c>
      <c r="B11">
        <v>2095.34</v>
      </c>
    </row>
    <row r="12" spans="1:4">
      <c r="A12">
        <v>7</v>
      </c>
      <c r="B12">
        <v>2095.34</v>
      </c>
    </row>
    <row r="13" spans="1:4">
      <c r="A13">
        <v>8</v>
      </c>
      <c r="B13">
        <v>2095.34</v>
      </c>
    </row>
    <row r="14" spans="1:4">
      <c r="A14">
        <v>9</v>
      </c>
      <c r="B14">
        <v>1614.81</v>
      </c>
    </row>
    <row r="15" spans="1:4">
      <c r="A15">
        <v>10</v>
      </c>
      <c r="B15">
        <v>1614.81</v>
      </c>
    </row>
    <row r="16" spans="1:4">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1405" t="s">
        <v>3377</v>
      </c>
      <c r="B24">
        <v>23.51</v>
      </c>
    </row>
    <row r="25" spans="1:4">
      <c r="A25" s="1405" t="s">
        <v>3378</v>
      </c>
      <c r="B25">
        <v>258.45999999999998</v>
      </c>
    </row>
    <row r="26" spans="1:4">
      <c r="B26">
        <f>SUM(B2:B25)</f>
        <v>43373.26</v>
      </c>
      <c r="C26">
        <f>SUM(C2:C25)</f>
        <v>3665.2999999999997</v>
      </c>
      <c r="D26">
        <f>B26-C26</f>
        <v>39707.96</v>
      </c>
    </row>
    <row r="29" spans="1:4">
      <c r="B29" s="1405" t="s">
        <v>3379</v>
      </c>
      <c r="C29">
        <f>SUM(B6:B23)-C6</f>
        <v>32206.960000000006</v>
      </c>
    </row>
    <row r="30" spans="1:4">
      <c r="B30" s="1405" t="s">
        <v>3380</v>
      </c>
      <c r="C30">
        <f>B24+B25</f>
        <v>281.96999999999997</v>
      </c>
    </row>
    <row r="31" spans="1:4">
      <c r="B31" s="1405" t="s">
        <v>3381</v>
      </c>
      <c r="C31">
        <v>7219.03</v>
      </c>
      <c r="D31">
        <v>126</v>
      </c>
    </row>
    <row r="32" spans="1:4">
      <c r="B32" s="1405" t="s">
        <v>3382</v>
      </c>
      <c r="C32">
        <f>B2+B3+B4+B5-C2-C3-C5-C31</f>
        <v>0</v>
      </c>
    </row>
    <row r="33" spans="3:3">
      <c r="C33">
        <f>SUM(C29:C32)</f>
        <v>39707.960000000006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topLeftCell="C3" zoomScale="90" zoomScaleNormal="100" zoomScaleSheetLayoutView="90" workbookViewId="0">
      <selection activeCell="G37" sqref="G3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6" t="s">
        <v>1132</v>
      </c>
      <c r="J2" s="2438"/>
      <c r="K2" s="2438"/>
      <c r="L2" s="2438"/>
      <c r="M2" s="2438"/>
      <c r="N2" s="2439"/>
      <c r="O2" s="2438"/>
      <c r="P2" s="2438"/>
    </row>
    <row r="3" spans="1:16" ht="15.75" thickBot="1">
      <c r="A3" s="3241" t="s">
        <v>1105</v>
      </c>
      <c r="B3" s="3241"/>
      <c r="C3" s="3241"/>
      <c r="D3" s="41">
        <f>'数据-基础表'!AY6</f>
        <v>6294.36</v>
      </c>
      <c r="E3" s="41">
        <f>'数据-基础表'!AZ5</f>
        <v>39707.960000000006</v>
      </c>
      <c r="F3" s="2438"/>
      <c r="G3" s="42"/>
      <c r="H3" s="43" t="s">
        <v>1106</v>
      </c>
      <c r="I3" s="802">
        <f>ROUND('数据-基础表'!B3/'数据-基础表'!A3,2)</f>
        <v>6.31</v>
      </c>
      <c r="J3" s="2438"/>
      <c r="K3" s="2438"/>
      <c r="L3" s="2438"/>
      <c r="M3" s="2438"/>
      <c r="N3" s="2439"/>
      <c r="O3" s="2438"/>
      <c r="P3" s="2438"/>
    </row>
    <row r="4" spans="1:16" ht="15">
      <c r="A4" s="3242"/>
      <c r="B4" s="3243"/>
      <c r="C4" s="3244"/>
      <c r="D4" s="1524" t="s">
        <v>1107</v>
      </c>
      <c r="E4" s="1525" t="s">
        <v>1108</v>
      </c>
      <c r="F4" s="2438"/>
      <c r="G4" s="2433" t="s">
        <v>1133</v>
      </c>
      <c r="H4" s="43" t="s">
        <v>1113</v>
      </c>
      <c r="I4" s="802">
        <f>ROUND(SUMIF('数据-基础表'!I9:AS9,"地上",'数据-基础表'!I5:AS5)/'数据-基础表'!A3,2)</f>
        <v>5.16</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2">
        <f>ROUND(E31/D31,2)</f>
        <v>6.31</v>
      </c>
      <c r="J5" s="2438"/>
      <c r="K5" s="2438"/>
      <c r="L5" s="2438"/>
      <c r="M5" s="2438"/>
      <c r="N5" s="2438"/>
      <c r="O5" s="2438"/>
      <c r="P5" s="2438"/>
    </row>
    <row r="6" spans="1:16" ht="15" thickBot="1">
      <c r="A6" s="1527"/>
      <c r="B6" s="3245" t="s">
        <v>1111</v>
      </c>
      <c r="C6" s="3245"/>
      <c r="D6" s="43">
        <f>ROUND($D$3*E6/$E$3,2)</f>
        <v>6294.36</v>
      </c>
      <c r="E6" s="44">
        <f>E3-E5</f>
        <v>39707.960000000006</v>
      </c>
      <c r="F6" s="2438"/>
      <c r="G6" s="1529" t="s">
        <v>1112</v>
      </c>
      <c r="H6" s="45" t="s">
        <v>1113</v>
      </c>
      <c r="I6" s="2434">
        <f>ROUND(F31/D31,2)</f>
        <v>5.16</v>
      </c>
      <c r="J6" s="2438"/>
      <c r="K6" s="2438"/>
      <c r="L6" s="2438"/>
      <c r="M6" s="2438"/>
      <c r="N6" s="2438"/>
      <c r="O6" s="2438"/>
      <c r="P6" s="2438"/>
    </row>
    <row r="7" spans="1:16" ht="15.75" thickBot="1">
      <c r="A7" s="3237"/>
      <c r="B7" s="3238"/>
      <c r="C7" s="3239"/>
      <c r="D7" s="1524" t="s">
        <v>1107</v>
      </c>
      <c r="E7" s="1528" t="s">
        <v>1114</v>
      </c>
      <c r="F7" s="2438"/>
      <c r="G7" s="2435" t="s">
        <v>1115</v>
      </c>
      <c r="H7" s="95"/>
      <c r="I7" s="2436">
        <v>4.1900000000000004</v>
      </c>
      <c r="J7" s="2438"/>
      <c r="K7" s="2438"/>
      <c r="L7" s="2438"/>
      <c r="M7" s="2438"/>
      <c r="N7" s="2438"/>
      <c r="O7" s="2438"/>
      <c r="P7" s="2438"/>
    </row>
    <row r="8" spans="1:16">
      <c r="A8" s="42" t="s">
        <v>1116</v>
      </c>
      <c r="B8" s="45" t="s">
        <v>1117</v>
      </c>
      <c r="C8" s="43" t="s">
        <v>1118</v>
      </c>
      <c r="D8" s="43">
        <f t="shared" ref="D8:D15" si="0">ROUND($D$3*E8/$E$3,2)</f>
        <v>5105.33</v>
      </c>
      <c r="E8" s="46">
        <f>SUMIF('数据-基础表'!BB10:BK10,"地上",'数据-基础表'!BB5:BK5)</f>
        <v>32206.960000000006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1144.33</v>
      </c>
      <c r="E13" s="46">
        <f>SUMPRODUCT(('数据-基础表'!BB10:BK10="地下")*('数据-基础表'!BB11:BK11="车库")*('数据-基础表'!BB5:BK5))</f>
        <v>7219.03</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6249.66</v>
      </c>
      <c r="E16" s="48">
        <f>SUM(E8:E15)</f>
        <v>39425.990000000005</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7" t="s">
        <v>3387</v>
      </c>
      <c r="D19" s="43">
        <f>ROUND($D$3*E19/$E$3,2)</f>
        <v>5105.33</v>
      </c>
      <c r="E19" s="51">
        <f t="shared" ref="E19:E26" si="1">SUM(F19:G19)</f>
        <v>32206.960000000006</v>
      </c>
      <c r="F19" s="2557">
        <f>'数据-基础表'!I13</f>
        <v>32206.960000000006</v>
      </c>
      <c r="G19" s="1243"/>
      <c r="H19" s="637">
        <f>ROUND($D$3*I19/$E$3,2)</f>
        <v>36.51</v>
      </c>
      <c r="I19" s="46">
        <f t="shared" ref="I19:I26" si="2">IF($I$17="自定义",P19,M19)</f>
        <v>230.34</v>
      </c>
      <c r="J19" s="1071"/>
      <c r="K19" s="637">
        <f t="shared" ref="K19:K26" si="3">ROUND(E$28*E19/E$27,2)</f>
        <v>230.34</v>
      </c>
      <c r="L19" s="43">
        <f t="shared" ref="L19:L26" si="4">ROUND(IF(COUNTIF(C19,"*住宅*")&gt;0,E$29*E19/E$32,0),2)</f>
        <v>0</v>
      </c>
      <c r="M19" s="46">
        <f>K19+L19</f>
        <v>230.34</v>
      </c>
      <c r="N19" s="1550"/>
      <c r="O19" s="1551"/>
      <c r="P19" s="46">
        <f>N19+O19</f>
        <v>0</v>
      </c>
      <c r="R19" s="43">
        <f t="shared" ref="R19:S26" si="5">D19+H19</f>
        <v>5141.84</v>
      </c>
      <c r="S19" s="51">
        <f t="shared" si="5"/>
        <v>32437.300000000007</v>
      </c>
    </row>
    <row r="20" spans="1:19">
      <c r="A20" s="1549"/>
      <c r="B20" s="45" t="s">
        <v>1153</v>
      </c>
      <c r="C20" s="3117" t="s">
        <v>3389</v>
      </c>
      <c r="D20" s="43">
        <f t="shared" ref="D20:D26" si="6">ROUND($D$3*E20/$E$3,2)</f>
        <v>1144.33</v>
      </c>
      <c r="E20" s="51">
        <f t="shared" si="1"/>
        <v>7219.03</v>
      </c>
      <c r="F20" s="2557"/>
      <c r="G20" s="1243">
        <f>'数据-基础表'!K13</f>
        <v>7219.03</v>
      </c>
      <c r="H20" s="637">
        <f t="shared" ref="H20:H26" si="7">ROUND($D$3*I20/$E$3,2)</f>
        <v>8.18</v>
      </c>
      <c r="I20" s="46">
        <f t="shared" si="2"/>
        <v>51.63</v>
      </c>
      <c r="J20" s="1071"/>
      <c r="K20" s="637">
        <f t="shared" si="3"/>
        <v>51.63</v>
      </c>
      <c r="L20" s="43">
        <f t="shared" si="4"/>
        <v>0</v>
      </c>
      <c r="M20" s="46">
        <f t="shared" ref="M20:M26" si="8">K20+L20</f>
        <v>51.63</v>
      </c>
      <c r="N20" s="1550"/>
      <c r="O20" s="1551"/>
      <c r="P20" s="46">
        <f t="shared" ref="P20:P26" si="9">N20+O20</f>
        <v>0</v>
      </c>
      <c r="R20" s="43">
        <f t="shared" si="5"/>
        <v>1152.51</v>
      </c>
      <c r="S20" s="51">
        <f t="shared" si="5"/>
        <v>7270.66</v>
      </c>
    </row>
    <row r="21" spans="1:19">
      <c r="A21" s="1549"/>
      <c r="B21" s="45" t="s">
        <v>1153</v>
      </c>
      <c r="C21" s="3117"/>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8"/>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8"/>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8"/>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8"/>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29.25" thickBot="1">
      <c r="A27" s="1549"/>
      <c r="B27" s="43"/>
      <c r="C27" s="1554" t="s">
        <v>1154</v>
      </c>
      <c r="D27" s="1072">
        <f>SUM(D19:D26)</f>
        <v>6249.66</v>
      </c>
      <c r="E27" s="1073">
        <f>IF(SUM(E19:E26)='数据-基础表'!BA5,SUM(E19:E26),IF(F27="地上面积有误","面积有误","地下面积有误"))</f>
        <v>39425.990000000005</v>
      </c>
      <c r="F27" s="1072">
        <f>IF(SUM(F19:F26)=E8,SUM(F19:F26),"地上面积有误")</f>
        <v>32206.960000000006</v>
      </c>
      <c r="G27" s="1074">
        <f>SUM(G19:G26)</f>
        <v>7219.03</v>
      </c>
      <c r="H27" s="1075">
        <f>SUM(H19:H26)</f>
        <v>44.69</v>
      </c>
      <c r="I27" s="1076">
        <f>SUM(I19:I26)</f>
        <v>281.97000000000003</v>
      </c>
      <c r="J27" s="1071"/>
      <c r="K27" s="1077">
        <f>SUM(K19:K26)</f>
        <v>281.97000000000003</v>
      </c>
      <c r="L27" s="785">
        <f>SUM(L19:L26)</f>
        <v>0</v>
      </c>
      <c r="M27" s="1078">
        <f>SUM(M19:M26)</f>
        <v>281.97000000000003</v>
      </c>
      <c r="N27" s="1077">
        <f t="shared" ref="N27:O27" si="10">SUM(N19:N26)</f>
        <v>0</v>
      </c>
      <c r="O27" s="785">
        <f t="shared" si="10"/>
        <v>0</v>
      </c>
      <c r="P27" s="94">
        <f>SUM(P19:P26)</f>
        <v>0</v>
      </c>
      <c r="R27" s="968" t="str">
        <f>IF(SUM(R19:R26)=$D$3,SUM(R19:R26),SUM(R19:R26)&amp;"误差"&amp;ROUND(SUM(R19:R26)-$D$3,2))</f>
        <v>6294.35误差-0.01</v>
      </c>
      <c r="S27" s="43">
        <f>IF(SUM(S19:S26)=$E$3,SUM(S19:S26),SUM(S19:S26)&amp;"误差"&amp;ROUND(SUM(S19:S26)-E3,2))</f>
        <v>39707.960000000006</v>
      </c>
    </row>
    <row r="28" spans="1:19">
      <c r="A28" s="1549"/>
      <c r="B28" s="45" t="s">
        <v>1155</v>
      </c>
      <c r="C28" s="54" t="s">
        <v>1156</v>
      </c>
      <c r="D28" s="43">
        <f>ROUND($D$3*E28/$E$3,2)</f>
        <v>44.7</v>
      </c>
      <c r="E28" s="51">
        <f>SUM(F28:G28)</f>
        <v>281.96999999999997</v>
      </c>
      <c r="F28" s="54">
        <f>'数据-基础表'!BQ5+'数据-基础表'!BS5</f>
        <v>281.96999999999997</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44.7</v>
      </c>
      <c r="E30" s="1072">
        <f>SUM(E28:E29)</f>
        <v>281.96999999999997</v>
      </c>
      <c r="F30" s="1072">
        <f>SUM(F28:F29)</f>
        <v>281.96999999999997</v>
      </c>
      <c r="G30" s="1074">
        <f>SUM(G28:G29)</f>
        <v>0</v>
      </c>
      <c r="H30" s="2438"/>
      <c r="I30" s="2438"/>
      <c r="J30" s="2438"/>
      <c r="K30" s="2438"/>
      <c r="L30" s="2438"/>
      <c r="M30" s="2438"/>
      <c r="N30" s="2438"/>
      <c r="O30" s="2438"/>
      <c r="P30" s="2438"/>
    </row>
    <row r="31" spans="1:19" ht="15.75" thickBot="1">
      <c r="A31" s="1557"/>
      <c r="B31" s="96"/>
      <c r="C31" s="785" t="s">
        <v>1158</v>
      </c>
      <c r="D31" s="643">
        <f>D27+D30</f>
        <v>6294.36</v>
      </c>
      <c r="E31" s="643">
        <f>E27+E30</f>
        <v>39707.960000000006</v>
      </c>
      <c r="F31" s="644">
        <f>F27+F30</f>
        <v>32488.930000000008</v>
      </c>
      <c r="G31" s="645">
        <f>G27+G30</f>
        <v>7219.03</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6">
      <c r="D33" s="1558"/>
    </row>
    <row r="34" spans="4:6">
      <c r="F34" s="1522">
        <f ca="1">结果表!G19/'数据-汇总表'!F31</f>
        <v>2.1183830923332958</v>
      </c>
    </row>
    <row r="36" spans="4:6">
      <c r="F36" s="1522">
        <f ca="1">结果表!G19-1260</f>
        <v>67564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X9"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IF(B6="","",SUMIF(项目基本情况!C$12:H$12,C6,项目基本情况!C$13:H$13))</f>
        <v>57017</v>
      </c>
      <c r="F6" s="61">
        <f>SUMIF(项目基本情况!C$12:I$12,C6,项目基本情况!C$15:I$15)</f>
        <v>33.130000000000003</v>
      </c>
      <c r="G6" s="62">
        <f>IF(ISERROR(ROUND(POWER(1+H6,D6-F6)*(POWER(1+H6,F6)-1)/(POWER(1+H6,D6)-1),3)),0,ROUND(POWER(1+H6,D6-F6)*(POWER(1+H6,F6)-1)/(POWER(1+H6,D6)-1),3))</f>
        <v>0.878</v>
      </c>
      <c r="H6" s="691">
        <v>0.05</v>
      </c>
      <c r="I6" s="691">
        <v>5.5E-2</v>
      </c>
      <c r="J6" s="63">
        <v>8.5000000000000006E-2</v>
      </c>
      <c r="K6" s="970">
        <f>SUMIF('数据-汇总表'!C$19:C$33,A6,'数据-汇总表'!E$19:E$33)</f>
        <v>32206.960000000006</v>
      </c>
      <c r="L6" s="692">
        <v>4000</v>
      </c>
      <c r="M6" s="64">
        <f t="shared" ref="M6:M14" si="0">ROUND(K6*L6/10000,0)</f>
        <v>12883</v>
      </c>
      <c r="N6" s="690">
        <v>0.92</v>
      </c>
      <c r="O6" s="64" t="str">
        <f>IF($N$5="成新度","——",ROUND(M6*N6,0))</f>
        <v>——</v>
      </c>
      <c r="P6" s="65" t="str">
        <f>IF($N$5="成新度","——",M6-O6)</f>
        <v>——</v>
      </c>
      <c r="Q6" s="693">
        <v>0.25</v>
      </c>
      <c r="R6" s="66">
        <f ca="1">SUMIF('数据-汇总表'!C$19:C$33,A6,'数据-汇总表'!R$19:R$27)</f>
        <v>5141.84</v>
      </c>
      <c r="S6" s="49">
        <f>IF('数据-汇总表'!$I$17="按面积比例",SUMIF('数据-汇总表'!C$19:C$33,A6,'数据-汇总表'!K$19:K$33),SUMIF('数据-汇总表'!C$19:C$33,A6,'数据-汇总表'!N$19:N$33))</f>
        <v>230.34</v>
      </c>
      <c r="T6" s="1092">
        <f>ROUND($L$14*S6/10000,0)</f>
        <v>69</v>
      </c>
      <c r="U6" s="3128">
        <v>3.6</v>
      </c>
      <c r="V6" s="67">
        <v>0.03</v>
      </c>
      <c r="W6" s="67">
        <v>0.1</v>
      </c>
      <c r="X6" s="979"/>
      <c r="Y6" s="68">
        <f>N6</f>
        <v>0.92</v>
      </c>
      <c r="Z6" s="69"/>
      <c r="AA6" s="63"/>
      <c r="AB6" s="63"/>
      <c r="AC6" s="979"/>
      <c r="AD6" s="70"/>
      <c r="AE6" s="980">
        <f ca="1">IF(AN6="",0,SUMIF(INDIRECT("'"&amp;AN6&amp;"'"&amp;"!E:E"),$AE$5,INDIRECT("'"&amp;AN6&amp;"'"&amp;"!F:F")))</f>
        <v>33.130000000000003</v>
      </c>
      <c r="AF6" s="74"/>
      <c r="AG6" s="130">
        <f>IF(AF6="",0,AE6-AF6)</f>
        <v>0</v>
      </c>
      <c r="AH6" s="71"/>
      <c r="AI6" s="73">
        <v>365</v>
      </c>
      <c r="AJ6" s="74"/>
      <c r="AK6" s="75">
        <v>0.01</v>
      </c>
      <c r="AL6" s="76">
        <v>1E-3</v>
      </c>
      <c r="AM6" s="77">
        <v>1.4999999999999999E-2</v>
      </c>
      <c r="AN6" s="1589" t="s">
        <v>3391</v>
      </c>
      <c r="AO6" s="50">
        <f ca="1">SUMIF(INDIRECT("'"&amp;AN6&amp;"'"&amp;"!A:A"),"总价",INDIRECT("'"&amp;AN6&amp;"'"&amp;"!B:B"))</f>
        <v>64100</v>
      </c>
      <c r="AP6" s="1590">
        <f>IF(C6="住宅",K6*L6,0)</f>
        <v>0</v>
      </c>
      <c r="AQ6" s="50">
        <f>ROUND($L$14*$N$14*S6/10000,0)</f>
        <v>64</v>
      </c>
      <c r="AR6" s="50">
        <f>ROUND($L$14*(1-$N$14)*S6/10000,0)</f>
        <v>6</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3331</v>
      </c>
      <c r="D7" s="805">
        <f>SUMIF(项目基本情况!C$12:I$12,C7,项目基本情况!C$14:I$14)</f>
        <v>50</v>
      </c>
      <c r="E7" s="804">
        <f>IF(B7="","",SUMIF(项目基本情况!C$12:H$12,C7,项目基本情况!C$13:H$13))</f>
        <v>57017</v>
      </c>
      <c r="F7" s="61">
        <f>SUMIF(项目基本情况!C$12:I$12,C7,项目基本情况!C$15:I$15)</f>
        <v>33.130000000000003</v>
      </c>
      <c r="G7" s="62">
        <f t="shared" ref="G7:G11" si="2">IF(ISERROR(ROUND(POWER(1+H7,D7-F7)*(POWER(1+H7,F7)-1)/(POWER(1+H7,D7)-1),3)),0,ROUND(POWER(1+H7,D7-F7)*(POWER(1+H7,F7)-1)/(POWER(1+H7,D7)-1),3))</f>
        <v>0.86299999999999999</v>
      </c>
      <c r="H7" s="691">
        <v>4.4999999999999998E-2</v>
      </c>
      <c r="I7" s="691">
        <v>0.05</v>
      </c>
      <c r="J7" s="63">
        <v>8.5000000000000006E-2</v>
      </c>
      <c r="K7" s="970">
        <f>SUMIF('数据-汇总表'!C$19:C$33,A7,'数据-汇总表'!E$19:E$33)</f>
        <v>7219.03</v>
      </c>
      <c r="L7" s="692">
        <v>3000</v>
      </c>
      <c r="M7" s="64">
        <f t="shared" si="0"/>
        <v>2166</v>
      </c>
      <c r="N7" s="690">
        <f>N6</f>
        <v>0.92</v>
      </c>
      <c r="O7" s="64" t="str">
        <f t="shared" ref="O7:O14" si="3">IF($N$5="成新度","——",ROUND(M7*N7,0))</f>
        <v>——</v>
      </c>
      <c r="P7" s="65" t="str">
        <f t="shared" ref="P7:P14" si="4">IF($N$5="成新度","——",M7-O7)</f>
        <v>——</v>
      </c>
      <c r="Q7" s="693">
        <v>0.1</v>
      </c>
      <c r="R7" s="66">
        <f ca="1">SUMIF('数据-汇总表'!C$19:C$33,A7,'数据-汇总表'!R$19:R$27)</f>
        <v>1152.51</v>
      </c>
      <c r="S7" s="49">
        <f>IF('数据-汇总表'!$I$17="按面积比例",SUMIF('数据-汇总表'!C$19:C$33,A7,'数据-汇总表'!K$19:K$33),SUMIF('数据-汇总表'!C$19:C$33,A7,'数据-汇总表'!N$19:N$33))</f>
        <v>51.63</v>
      </c>
      <c r="T7" s="1092">
        <f t="shared" ref="T7:T13" si="5">ROUND($L$14*S7/10000,0)</f>
        <v>15</v>
      </c>
      <c r="U7" s="3128">
        <v>500</v>
      </c>
      <c r="V7" s="67">
        <v>0.02</v>
      </c>
      <c r="W7" s="67">
        <v>0.1</v>
      </c>
      <c r="X7" s="979"/>
      <c r="Y7" s="68">
        <f>N7</f>
        <v>0.92</v>
      </c>
      <c r="Z7" s="69"/>
      <c r="AA7" s="63"/>
      <c r="AB7" s="63"/>
      <c r="AC7" s="979"/>
      <c r="AD7" s="70"/>
      <c r="AE7" s="980">
        <f t="shared" ref="AE7:AE13" ca="1" si="6">IF(AN7="",0,SUMIF(INDIRECT("'"&amp;AN7&amp;"'"&amp;"!E:E"),$AE$5,INDIRECT("'"&amp;AN7&amp;"'"&amp;"!F:F")))</f>
        <v>33.130000000000003</v>
      </c>
      <c r="AF7" s="74"/>
      <c r="AG7" s="130">
        <f t="shared" ref="AG7:AG13" si="7">IF(AF7="",0,AE7-AF7)</f>
        <v>0</v>
      </c>
      <c r="AH7" s="71">
        <v>126</v>
      </c>
      <c r="AI7" s="73">
        <v>12</v>
      </c>
      <c r="AJ7" s="74"/>
      <c r="AK7" s="75">
        <v>0.01</v>
      </c>
      <c r="AL7" s="76">
        <v>1E-3</v>
      </c>
      <c r="AM7" s="77">
        <v>1.4999999999999999E-2</v>
      </c>
      <c r="AN7" s="1589" t="s">
        <v>3400</v>
      </c>
      <c r="AO7" s="50">
        <f t="shared" ref="AO7:AO13" ca="1" si="8">SUMIF(INDIRECT("'"&amp;AN7&amp;"'"&amp;"!A:A"),"总价",INDIRECT("'"&amp;AN7&amp;"'"&amp;"!B:B"))</f>
        <v>549</v>
      </c>
      <c r="AP7" s="1590">
        <f t="shared" ref="AP7:AP13" si="9">IF(C7="住宅",K7*L7,0)</f>
        <v>0</v>
      </c>
      <c r="AQ7" s="50">
        <f t="shared" ref="AQ7:AQ13" si="10">ROUND($L$14*$N$14*S7/10000,0)</f>
        <v>14</v>
      </c>
      <c r="AR7" s="50">
        <f t="shared" ref="AR7:AR13" si="11">ROUND($L$14*(1-$N$14)*S7/10000,0)</f>
        <v>1</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9"/>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8"/>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8"/>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8"/>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8"/>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0"/>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281.96999999999997</v>
      </c>
      <c r="L14" s="79">
        <v>3000</v>
      </c>
      <c r="M14" s="64">
        <f t="shared" si="0"/>
        <v>85</v>
      </c>
      <c r="N14" s="80">
        <f>N6</f>
        <v>0.92</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0.875</v>
      </c>
      <c r="H16" s="84">
        <f>ROUND(SUMPRODUCT(H6:H13,K6:K13)/SUMPRODUCT((H6:H13&gt;0)*(K6:K13)),3)</f>
        <v>4.9000000000000002E-2</v>
      </c>
      <c r="I16" s="85"/>
      <c r="J16" s="85"/>
      <c r="K16" s="86">
        <f>SUM(K6:K15)</f>
        <v>39707.960000000006</v>
      </c>
      <c r="L16" s="87">
        <f>ROUND(M16*10000/SUM(K6:K14),0)</f>
        <v>3811</v>
      </c>
      <c r="M16" s="87">
        <f>SUM(M6:M14)</f>
        <v>15134</v>
      </c>
      <c r="N16" s="88">
        <f>ROUND(SUMPRODUCT(M6:M14,N6:N14)/M16,3)</f>
        <v>0.92</v>
      </c>
      <c r="O16" s="87">
        <f>SUM(O6:O14)</f>
        <v>0</v>
      </c>
      <c r="P16" s="87">
        <f>SUM(P6:P14)</f>
        <v>0</v>
      </c>
      <c r="Q16" s="89">
        <f>ROUND(SUMPRODUCT(Q6:Q13,K6:K13)/SUMPRODUCT((Q6:Q13&gt;0)*(K6:K13)),2)</f>
        <v>0.22</v>
      </c>
      <c r="R16" s="974">
        <f ca="1">SUM(R6:R13)</f>
        <v>6294.35</v>
      </c>
      <c r="S16" s="90">
        <f>SUM(S6:S13)</f>
        <v>281.97000000000003</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2449"/>
      <c r="M19" s="2448"/>
      <c r="N19" s="2448">
        <v>2017</v>
      </c>
      <c r="O19" s="2448">
        <f>55/60</f>
        <v>0.91666666666666663</v>
      </c>
      <c r="P19" s="2448"/>
      <c r="Q19" s="2448"/>
      <c r="R19" s="2448"/>
      <c r="S19" s="2448"/>
      <c r="T19" s="2448"/>
      <c r="U19" s="2448">
        <v>3.6</v>
      </c>
      <c r="V19" s="2448">
        <f>U19*1.03</f>
        <v>3.7080000000000002</v>
      </c>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f>(0.92+0.95)/2</f>
        <v>0.93500000000000005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794</v>
      </c>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2285</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2287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3399</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46" t="s">
        <v>2275</v>
      </c>
      <c r="B1" s="3247"/>
      <c r="C1" s="3247"/>
      <c r="D1" s="3247"/>
      <c r="E1" s="3247"/>
      <c r="F1" s="3247"/>
      <c r="G1" s="324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3150" t="s">
        <v>3459</v>
      </c>
      <c r="D5" s="2266"/>
      <c r="E5" s="2270"/>
      <c r="F5" s="315" t="s">
        <v>2255</v>
      </c>
      <c r="G5" s="2271"/>
      <c r="H5" s="751"/>
      <c r="I5" s="751"/>
      <c r="J5" s="751"/>
      <c r="K5" s="751"/>
      <c r="L5" s="751"/>
      <c r="M5" s="751"/>
      <c r="N5" s="751"/>
      <c r="O5" s="751"/>
      <c r="P5" s="751"/>
      <c r="Q5" s="751"/>
    </row>
    <row r="6" spans="1:29">
      <c r="A6" s="2248"/>
      <c r="B6" s="315" t="s">
        <v>2256</v>
      </c>
      <c r="C6" s="3151" t="s">
        <v>3484</v>
      </c>
      <c r="D6" s="2266"/>
      <c r="E6" s="2270"/>
      <c r="F6" s="315" t="s">
        <v>2257</v>
      </c>
      <c r="G6" s="2271"/>
      <c r="H6" s="751"/>
      <c r="I6" s="751"/>
      <c r="J6" s="751"/>
      <c r="K6" s="751"/>
      <c r="L6" s="751"/>
      <c r="M6" s="751"/>
      <c r="N6" s="751"/>
      <c r="O6" s="751"/>
      <c r="P6" s="751"/>
      <c r="Q6" s="751"/>
    </row>
    <row r="7" spans="1:29" ht="15" thickBot="1">
      <c r="A7" s="2248"/>
      <c r="B7" s="315" t="s">
        <v>2255</v>
      </c>
      <c r="C7" s="3151" t="s">
        <v>3460</v>
      </c>
      <c r="D7" s="2245"/>
      <c r="E7" s="2272"/>
      <c r="F7" s="2273" t="s">
        <v>2258</v>
      </c>
      <c r="G7" s="2274"/>
      <c r="H7" s="751"/>
      <c r="I7" s="751"/>
      <c r="J7" s="751"/>
      <c r="K7" s="751"/>
      <c r="L7" s="751"/>
      <c r="M7" s="751"/>
      <c r="N7" s="751"/>
      <c r="O7" s="751"/>
      <c r="P7" s="751"/>
      <c r="Q7" s="751"/>
    </row>
    <row r="8" spans="1:29">
      <c r="A8" s="2248"/>
      <c r="B8" s="315" t="s">
        <v>2257</v>
      </c>
      <c r="C8" s="3151" t="s">
        <v>3461</v>
      </c>
      <c r="D8" s="2245"/>
      <c r="E8" s="2245"/>
      <c r="F8" s="121"/>
      <c r="G8" s="121"/>
      <c r="H8" s="751"/>
      <c r="I8" s="751"/>
      <c r="J8" s="751"/>
      <c r="K8" s="751"/>
      <c r="L8" s="751"/>
      <c r="M8" s="751"/>
      <c r="N8" s="751"/>
      <c r="O8" s="751"/>
      <c r="P8" s="751"/>
      <c r="Q8" s="751"/>
    </row>
    <row r="9" spans="1:29">
      <c r="A9" s="2248"/>
      <c r="B9" s="315" t="s">
        <v>2259</v>
      </c>
      <c r="C9" s="3150" t="s">
        <v>3459</v>
      </c>
      <c r="D9" s="2266"/>
      <c r="E9" s="2245"/>
      <c r="F9" s="121"/>
      <c r="G9" s="121"/>
      <c r="H9" s="751"/>
      <c r="I9" s="751"/>
      <c r="J9" s="751"/>
      <c r="K9" s="751"/>
      <c r="L9" s="751"/>
      <c r="M9" s="751"/>
      <c r="N9" s="751"/>
      <c r="O9" s="751"/>
      <c r="P9" s="751"/>
      <c r="Q9" s="751"/>
    </row>
    <row r="10" spans="1:29" ht="15" thickBot="1">
      <c r="A10" s="2249"/>
      <c r="B10" s="2275" t="s">
        <v>2260</v>
      </c>
      <c r="C10" s="3152" t="s">
        <v>3459</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2276</v>
      </c>
      <c r="B13" s="2279"/>
      <c r="C13" s="2279"/>
      <c r="D13" s="2278"/>
      <c r="E13" s="2279"/>
      <c r="F13" s="2279"/>
      <c r="G13" s="2279"/>
    </row>
    <row r="14" spans="1:29" ht="15" thickBot="1">
      <c r="A14" s="2284"/>
      <c r="B14" s="2284"/>
      <c r="C14" s="2285" t="s">
        <v>2261</v>
      </c>
      <c r="D14" s="2266"/>
      <c r="E14" s="2286"/>
      <c r="F14" s="2286"/>
      <c r="G14" s="2262" t="s">
        <v>2262</v>
      </c>
    </row>
    <row r="15" spans="1:29" ht="24">
      <c r="A15" s="2250" t="s">
        <v>2263</v>
      </c>
      <c r="B15" s="2287" t="s">
        <v>2250</v>
      </c>
      <c r="C15" s="2288">
        <f>C3</f>
        <v>0</v>
      </c>
      <c r="D15" s="2266"/>
      <c r="E15" s="2251" t="s">
        <v>2264</v>
      </c>
      <c r="F15" s="2287" t="s">
        <v>2265</v>
      </c>
      <c r="G15" s="2289">
        <f>G3</f>
        <v>0</v>
      </c>
    </row>
    <row r="16" spans="1:29">
      <c r="A16" s="2252"/>
      <c r="B16" s="2290" t="s">
        <v>2252</v>
      </c>
      <c r="C16" s="2291">
        <f>C4</f>
        <v>0</v>
      </c>
      <c r="D16" s="2266"/>
      <c r="E16" s="2253"/>
      <c r="F16" s="2292" t="s">
        <v>2253</v>
      </c>
      <c r="G16" s="2293">
        <f>G4</f>
        <v>0</v>
      </c>
    </row>
    <row r="17" spans="1:17">
      <c r="A17" s="2252"/>
      <c r="B17" s="2290" t="s">
        <v>2254</v>
      </c>
      <c r="C17" s="2291" t="str">
        <f>C5</f>
        <v>一般</v>
      </c>
      <c r="D17" s="2245"/>
      <c r="E17" s="2253"/>
      <c r="F17" s="2292" t="s">
        <v>2266</v>
      </c>
      <c r="G17" s="2294"/>
    </row>
    <row r="18" spans="1:17">
      <c r="A18" s="2252"/>
      <c r="B18" s="2292" t="s">
        <v>2256</v>
      </c>
      <c r="C18" s="2293" t="str">
        <f>C6</f>
        <v>一般</v>
      </c>
      <c r="D18" s="2245"/>
      <c r="E18" s="2253"/>
      <c r="F18" s="2292" t="s">
        <v>2258</v>
      </c>
      <c r="G18" s="2293">
        <f>G7</f>
        <v>0</v>
      </c>
    </row>
    <row r="19" spans="1:17">
      <c r="A19" s="2252"/>
      <c r="B19" s="2292" t="s">
        <v>2267</v>
      </c>
      <c r="C19" s="2294"/>
      <c r="D19" s="2266"/>
      <c r="E19" s="2253"/>
      <c r="F19" s="315" t="s">
        <v>2255</v>
      </c>
      <c r="G19" s="2293">
        <f>G5</f>
        <v>0</v>
      </c>
    </row>
    <row r="20" spans="1:17">
      <c r="A20" s="2252"/>
      <c r="B20" s="2292" t="s">
        <v>2268</v>
      </c>
      <c r="C20" s="2291" t="str">
        <f>C9</f>
        <v>一般</v>
      </c>
      <c r="D20" s="2245"/>
      <c r="E20" s="2253"/>
      <c r="F20" s="315" t="s">
        <v>2257</v>
      </c>
      <c r="G20" s="2293">
        <f>G6</f>
        <v>0</v>
      </c>
    </row>
    <row r="21" spans="1:17">
      <c r="A21" s="2252"/>
      <c r="B21" s="315" t="s">
        <v>2255</v>
      </c>
      <c r="C21" s="2293" t="str">
        <f>C7</f>
        <v>较好</v>
      </c>
      <c r="D21" s="2266"/>
      <c r="E21" s="2253"/>
      <c r="F21" s="2292" t="s">
        <v>2269</v>
      </c>
      <c r="G21" s="2295"/>
    </row>
    <row r="22" spans="1:17" ht="13.5" customHeight="1">
      <c r="A22" s="2252"/>
      <c r="B22" s="315" t="s">
        <v>2257</v>
      </c>
      <c r="C22" s="2293" t="str">
        <f>C8</f>
        <v>七通</v>
      </c>
      <c r="D22" s="2266"/>
      <c r="E22" s="2253"/>
      <c r="F22" s="2292" t="s">
        <v>2260</v>
      </c>
      <c r="G22" s="2294"/>
    </row>
    <row r="23" spans="1:17" s="751" customFormat="1" ht="15" thickBot="1">
      <c r="A23" s="2252"/>
      <c r="B23" s="2292" t="s">
        <v>2269</v>
      </c>
      <c r="C23" s="2295"/>
      <c r="D23" s="1614"/>
      <c r="E23" s="2254"/>
      <c r="F23" s="2296" t="s">
        <v>2270</v>
      </c>
      <c r="G23" s="2297"/>
      <c r="H23" s="2276"/>
      <c r="I23" s="2276"/>
      <c r="J23" s="2276"/>
      <c r="K23" s="2276"/>
      <c r="L23" s="2276"/>
      <c r="M23" s="2276"/>
      <c r="N23" s="2276"/>
      <c r="O23" s="2276"/>
      <c r="P23" s="2276"/>
      <c r="Q23" s="2276"/>
    </row>
    <row r="24" spans="1:17" s="751" customFormat="1" ht="15" thickBot="1">
      <c r="A24" s="2255"/>
      <c r="B24" s="2296" t="s">
        <v>2271</v>
      </c>
      <c r="C24" s="2298" t="str">
        <f>C10</f>
        <v>一般</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44922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t="e">
        <f>ROUND(B5*10000/$B$1,0)</f>
        <v>#DIV/0!</v>
      </c>
      <c r="D5" s="2299" t="e">
        <f>ROUND(B5*10000/$B$2,0)</f>
        <v>#DIV/0!</v>
      </c>
      <c r="E5" s="2461"/>
      <c r="F5" s="2462"/>
      <c r="G5" s="2462"/>
      <c r="H5" s="2462"/>
      <c r="I5" s="2462"/>
      <c r="J5" s="2462"/>
      <c r="K5" s="2462"/>
    </row>
    <row r="6" spans="1:11" ht="16.5">
      <c r="A6" s="2299" t="s">
        <v>656</v>
      </c>
      <c r="B6" s="2299">
        <f>SUM(G14:G23)</f>
        <v>0</v>
      </c>
      <c r="C6" s="2299" t="e">
        <f>ROUND(B6*10000/$B$1,0)</f>
        <v>#DIV/0!</v>
      </c>
      <c r="D6" s="2299" t="e">
        <f>ROUND(B6*10000/$B$2,0)</f>
        <v>#DIV/0!</v>
      </c>
      <c r="E6" s="2461"/>
      <c r="F6" s="2462"/>
      <c r="G6" s="2462"/>
      <c r="H6" s="2462"/>
      <c r="I6" s="2462"/>
      <c r="J6" s="2462"/>
      <c r="K6" s="2462"/>
    </row>
    <row r="7" spans="1:11" ht="16.5">
      <c r="A7" s="2299" t="s">
        <v>664</v>
      </c>
      <c r="B7" s="2299">
        <f>SUM(H14:H23)</f>
        <v>0</v>
      </c>
      <c r="C7" s="2299" t="e">
        <f>ROUND(B7*10000/$B$1,0)</f>
        <v>#DIV/0!</v>
      </c>
      <c r="D7" s="2299" t="e">
        <f>ROUND(B7*10000/$B$2,0)</f>
        <v>#DIV/0!</v>
      </c>
      <c r="E7" s="2461"/>
      <c r="F7" s="2462"/>
      <c r="G7" s="2462"/>
      <c r="H7" s="2462"/>
      <c r="I7" s="2462"/>
      <c r="J7" s="2462"/>
      <c r="K7" s="2462"/>
    </row>
    <row r="8" spans="1:11" ht="16.5">
      <c r="A8" s="2299" t="s">
        <v>587</v>
      </c>
      <c r="B8" s="2299">
        <f>SUM(I14:I23)</f>
        <v>0</v>
      </c>
      <c r="C8" s="2299" t="e">
        <f>ROUND(B8*10000/$B$1,0)</f>
        <v>#DIV/0!</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1244">
        <f>ROUND(B1*(E10*365/G10)/10000,0)</f>
        <v>0</v>
      </c>
      <c r="C10" s="3139" t="s">
        <v>3356</v>
      </c>
      <c r="D10" s="3139" t="s">
        <v>3357</v>
      </c>
      <c r="E10" s="3139">
        <v>5</v>
      </c>
      <c r="F10" s="3140" t="s">
        <v>3358</v>
      </c>
      <c r="G10" s="3141">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A128" sqref="A128:I1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t="s">
        <v>3397</v>
      </c>
      <c r="D4" s="1626" t="s">
        <v>3398</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v>5</v>
      </c>
      <c r="D14" s="3285">
        <f>10-C14</f>
        <v>5</v>
      </c>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2" t="s">
        <v>2129</v>
      </c>
      <c r="F18" s="3273"/>
      <c r="G18" s="3273"/>
      <c r="H18" s="3273"/>
      <c r="I18" s="3273"/>
      <c r="K18" s="294" t="s">
        <v>1289</v>
      </c>
      <c r="L18" s="294">
        <f>IF(C1="",'数据-汇总表'!E3,SUMIF(项目类型,C1,'数据-汇总表'!E17:E26)+SUMIF(项目类型,C1,'数据-汇总表'!I17:I26))</f>
        <v>39707.960000000006</v>
      </c>
      <c r="M18" s="294">
        <f>IF(C1="",'数据-汇总表'!E3,SUMIF(项目类型,C1,'数据-汇总表'!E17:E26))</f>
        <v>39707.960000000006</v>
      </c>
    </row>
    <row r="19" spans="1:36" ht="15">
      <c r="A19" s="1630" t="s">
        <v>1290</v>
      </c>
      <c r="B19" s="1631" t="s">
        <v>1291</v>
      </c>
      <c r="C19" s="126">
        <f ca="1">SUMIF(INDIRECT("'"&amp;C4&amp;"'"&amp;"!A:A"),结果表!B19,INDIRECT("'"&amp;C4&amp;"'"&amp;"!B:B"))</f>
        <v>72998</v>
      </c>
      <c r="D19" s="127">
        <f ca="1">SUMIF(INDIRECT("'"&amp;D4&amp;"'"&amp;"!A:A"),结果表!B19,INDIRECT("'"&amp;D4&amp;"'"&amp;"!B:B"))</f>
        <v>64649</v>
      </c>
      <c r="E19" s="1630" t="s">
        <v>1292</v>
      </c>
      <c r="F19" s="1631" t="s">
        <v>1291</v>
      </c>
      <c r="G19" s="128">
        <f ca="1">ROUND(C19*$C$18+D19*$D$18,0)</f>
        <v>68824</v>
      </c>
      <c r="H19" s="1632" t="s">
        <v>1293</v>
      </c>
      <c r="I19" s="121"/>
      <c r="K19" s="294" t="s">
        <v>1294</v>
      </c>
      <c r="L19" s="294">
        <f>IF(C1="",'数据-汇总表'!D3,SUMIF(项目类型,C1,'数据-汇总表'!D17:D26)+SUMIF(项目类型,C1,'数据-汇总表'!H17:H27))</f>
        <v>6294.36</v>
      </c>
      <c r="M19" s="294">
        <f>IF(C1="",'数据-汇总表'!D3,SUMIF(项目类型,C1,'数据-汇总表'!D17:D26))</f>
        <v>6294.36</v>
      </c>
    </row>
    <row r="20" spans="1:36" ht="15">
      <c r="A20" s="1633"/>
      <c r="B20" s="43" t="s">
        <v>1295</v>
      </c>
      <c r="C20" s="129">
        <f ca="1">SUMIF(INDIRECT("'"&amp;C4&amp;"'"&amp;"!A:A"),结果表!B20,INDIRECT("'"&amp;C4&amp;"'"&amp;"!B:B"))</f>
        <v>18384</v>
      </c>
      <c r="D20" s="130">
        <f ca="1">SUMIF(INDIRECT("'"&amp;D4&amp;"'"&amp;"!A:A"),结果表!B20,INDIRECT("'"&amp;D4&amp;"'"&amp;"!B:B"))</f>
        <v>16281</v>
      </c>
      <c r="E20" s="1633"/>
      <c r="F20" s="43" t="s">
        <v>1295</v>
      </c>
      <c r="G20" s="131">
        <f ca="1">ROUND(C20*$C$18+D20*$D$18,0)</f>
        <v>17333</v>
      </c>
      <c r="H20" s="760" t="s">
        <v>1296</v>
      </c>
      <c r="I20" s="121"/>
    </row>
    <row r="21" spans="1:36" ht="15" customHeight="1" thickBot="1">
      <c r="A21" s="449"/>
      <c r="B21" s="93" t="s">
        <v>1297</v>
      </c>
      <c r="C21" s="678">
        <f ca="1">ROUND(C19*10000/L19,0)</f>
        <v>115974</v>
      </c>
      <c r="D21" s="679">
        <f ca="1">ROUND(D19*10000/L19,0)</f>
        <v>102709</v>
      </c>
      <c r="E21" s="449"/>
      <c r="F21" s="93" t="s">
        <v>1297</v>
      </c>
      <c r="G21" s="132">
        <f ca="1">ROUND(G19*10000/L19,0)</f>
        <v>109342</v>
      </c>
      <c r="H21" s="1634" t="s">
        <v>1296</v>
      </c>
      <c r="I21" s="121"/>
    </row>
    <row r="22" spans="1:36" ht="15" thickBot="1">
      <c r="A22" s="1564" t="s">
        <v>1298</v>
      </c>
      <c r="B22" s="1635"/>
      <c r="C22" s="1636"/>
      <c r="D22" s="680">
        <f ca="1">IF(C19&lt;D19,D19/C19-1,C19/D19-1)</f>
        <v>0.1291435289022258</v>
      </c>
      <c r="E22" s="121"/>
      <c r="F22" s="121"/>
      <c r="G22" s="121"/>
      <c r="H22" s="121"/>
      <c r="I22" s="121"/>
    </row>
    <row r="23" spans="1:36" ht="13.5" thickBot="1">
      <c r="A23" s="646"/>
      <c r="B23" s="646"/>
      <c r="C23" s="646"/>
      <c r="D23" s="646"/>
      <c r="E23" s="121"/>
      <c r="F23" s="121" t="s">
        <v>3482</v>
      </c>
      <c r="G23" s="121">
        <v>68706</v>
      </c>
      <c r="H23" s="121"/>
      <c r="I23" s="121"/>
    </row>
    <row r="24" spans="1:36" ht="14.25">
      <c r="A24" s="3256" t="s">
        <v>1299</v>
      </c>
      <c r="B24" s="1631" t="s">
        <v>1291</v>
      </c>
      <c r="C24" s="128">
        <f>IF(B30=0,0,D30)</f>
        <v>0</v>
      </c>
      <c r="D24" s="1637"/>
      <c r="E24" s="121"/>
      <c r="F24" s="121"/>
      <c r="G24" s="121">
        <f ca="1">G19-G23</f>
        <v>118</v>
      </c>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68824</v>
      </c>
      <c r="D32" s="1641" t="s">
        <v>3395</v>
      </c>
      <c r="E32" s="121"/>
      <c r="F32" s="121"/>
      <c r="G32" s="121"/>
      <c r="H32" s="121"/>
      <c r="I32" s="121"/>
    </row>
    <row r="33" spans="1:15" ht="15">
      <c r="A33" s="740" t="s">
        <v>1306</v>
      </c>
      <c r="B33" s="123"/>
      <c r="C33" s="1642" t="s">
        <v>3396</v>
      </c>
      <c r="D33" s="1643" t="s">
        <v>3397</v>
      </c>
      <c r="E33" s="1644" t="s">
        <v>1307</v>
      </c>
      <c r="F33" s="1645" t="str">
        <f>IF(D32="楼面单价","取值（单价）","取值（总价）")</f>
        <v>取值（总价）</v>
      </c>
      <c r="G33" s="121"/>
      <c r="H33" s="121"/>
      <c r="I33" s="121"/>
    </row>
    <row r="34" spans="1:15" ht="15">
      <c r="A34" s="1646"/>
      <c r="B34" s="1647" t="s">
        <v>1308</v>
      </c>
      <c r="C34" s="140">
        <f ca="1">IF(C33="自定义",F34,C32-C35)</f>
        <v>48521</v>
      </c>
      <c r="D34" s="808">
        <f ca="1">IF(C33="自定义",ROUND(C34/C32,3),IF(C33="收益比率",SUMIF(INDIRECT("'"&amp;D33&amp;"'"&amp;"!b:b"),"土地收益比率",INDIRECT("'"&amp;D33&amp;"'"&amp;"!c:c")),SUMIF(INDIRECT("'"&amp;D33&amp;"'"&amp;"!b:b"),"土地成本比率",INDIRECT("'"&amp;D33&amp;"'"&amp;"!c:c"))))</f>
        <v>0.70500000000000007</v>
      </c>
      <c r="E34" s="1648" t="s">
        <v>1309</v>
      </c>
      <c r="F34" s="1243"/>
      <c r="G34" s="121"/>
      <c r="H34" s="121"/>
      <c r="I34" s="121"/>
    </row>
    <row r="35" spans="1:15" ht="15.75" thickBot="1">
      <c r="A35" s="1649"/>
      <c r="B35" s="1650" t="s">
        <v>1310</v>
      </c>
      <c r="C35" s="1090">
        <f ca="1">IF(C33="自定义",F35,ROUND(C32*D35,0))</f>
        <v>20303</v>
      </c>
      <c r="D35" s="1091">
        <f ca="1">IF(C33="自定义",ROUND(C35/C32,3),IF(C33="收益比率",SUMIF(INDIRECT("'"&amp;D33&amp;"'"&amp;"!b:b"),"建筑物收益比率",INDIRECT("'"&amp;D33&amp;"'"&amp;"!c:c")),SUMIF(INDIRECT("'"&amp;D33&amp;"'"&amp;"!b:b"),"建筑物成本比率",INDIRECT("'"&amp;D33&amp;"'"&amp;"!c:c"))))</f>
        <v>0.29499999999999998</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68824</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44922</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2" t="s">
        <v>1340</v>
      </c>
      <c r="L48" s="3312"/>
      <c r="M48" s="3334">
        <f ca="1">H101</f>
        <v>68824</v>
      </c>
      <c r="N48" s="3334"/>
      <c r="O48" s="3334"/>
    </row>
    <row r="49" spans="1:35" ht="25.5" customHeight="1">
      <c r="A49" s="2152" t="s">
        <v>1341</v>
      </c>
      <c r="B49" s="3248" t="s">
        <v>1342</v>
      </c>
      <c r="C49" s="3248"/>
      <c r="D49" s="1478">
        <v>0</v>
      </c>
      <c r="E49" s="316" t="s">
        <v>1343</v>
      </c>
      <c r="F49" s="2233" t="s">
        <v>28</v>
      </c>
      <c r="G49" s="3318"/>
      <c r="H49" s="2134" t="s">
        <v>2132</v>
      </c>
      <c r="I49" s="2135"/>
      <c r="J49" s="2309">
        <v>4</v>
      </c>
      <c r="K49" s="3312" t="str">
        <f>IF(项目基本情况!E8="房地产抵押价值","房地产抵押价值","抵押担保权已注销时的房地产抵押价值")</f>
        <v>房地产抵押价值</v>
      </c>
      <c r="L49" s="3312"/>
      <c r="M49" s="3334">
        <f ca="1">IF(项目基本情况!E8="房地产抵押价值",H107,H109)</f>
        <v>68824</v>
      </c>
      <c r="N49" s="3334"/>
      <c r="O49" s="3334"/>
    </row>
    <row r="50" spans="1:35" ht="25.5" customHeight="1">
      <c r="A50" s="2337"/>
      <c r="B50" s="3248" t="s">
        <v>1344</v>
      </c>
      <c r="C50" s="3248"/>
      <c r="D50" s="2189"/>
      <c r="E50" s="323"/>
      <c r="F50" s="2233"/>
      <c r="G50" s="3319"/>
      <c r="H50" s="2136" t="s">
        <v>2133</v>
      </c>
      <c r="I50" s="2135"/>
      <c r="J50" s="3331" t="s">
        <v>1345</v>
      </c>
      <c r="K50" s="3331"/>
      <c r="L50" s="3331"/>
      <c r="M50" s="3331"/>
      <c r="N50" s="3331"/>
      <c r="O50" s="3331"/>
    </row>
    <row r="51" spans="1:35" ht="20.45" customHeight="1">
      <c r="A51" s="2338"/>
      <c r="B51" s="3248" t="s">
        <v>1346</v>
      </c>
      <c r="C51" s="3248"/>
      <c r="D51" s="1024"/>
      <c r="E51" s="319"/>
      <c r="F51" s="2233"/>
      <c r="G51" s="3320"/>
      <c r="H51" s="2136" t="s">
        <v>2134</v>
      </c>
      <c r="I51" s="2135"/>
      <c r="J51" s="2310" t="s">
        <v>1347</v>
      </c>
      <c r="K51" s="3312" t="s">
        <v>1348</v>
      </c>
      <c r="L51" s="3312"/>
      <c r="M51" s="2310" t="s">
        <v>1349</v>
      </c>
      <c r="N51" s="2310" t="s">
        <v>1350</v>
      </c>
      <c r="O51" s="2310" t="s">
        <v>1351</v>
      </c>
    </row>
    <row r="52" spans="1:35" ht="24" customHeight="1">
      <c r="A52" s="2153" t="s">
        <v>1352</v>
      </c>
      <c r="B52" s="3248" t="s">
        <v>1353</v>
      </c>
      <c r="C52" s="3248"/>
      <c r="D52" s="1024">
        <f ca="1">ROUND(D45*'数据-取费表'!B41/(1+'数据-取费表'!C42),0)</f>
        <v>3671</v>
      </c>
      <c r="E52" s="1256" t="s">
        <v>1354</v>
      </c>
      <c r="F52" s="2339">
        <f>'数据-取费表'!B41</f>
        <v>5.6000000000000001E-2</v>
      </c>
      <c r="G52" s="2340"/>
      <c r="H52" s="2330"/>
      <c r="I52" s="1669"/>
      <c r="J52" s="2309">
        <v>1</v>
      </c>
      <c r="K52" s="3313" t="s">
        <v>1355</v>
      </c>
      <c r="L52" s="3313"/>
      <c r="M52" s="2311" t="b">
        <f>D48</f>
        <v>0</v>
      </c>
      <c r="N52" s="2309" t="str">
        <f>E48</f>
        <v>销售额×税（费）率</v>
      </c>
      <c r="O52" s="2312">
        <f>F48</f>
        <v>5.6000000000000001E-2</v>
      </c>
    </row>
    <row r="53" spans="1:35" ht="12" customHeight="1">
      <c r="A53" s="2153" t="s">
        <v>1356</v>
      </c>
      <c r="B53" s="3274" t="s">
        <v>2280</v>
      </c>
      <c r="C53" s="3275"/>
      <c r="D53" s="1024">
        <f ca="1">ROUND(D45*'数据-取费表'!B41/(1+'数据-取费表'!C42),0)</f>
        <v>3671</v>
      </c>
      <c r="E53" s="1256" t="s">
        <v>1354</v>
      </c>
      <c r="F53" s="2339">
        <f>'数据-取费表'!B41</f>
        <v>5.6000000000000001E-2</v>
      </c>
      <c r="G53" s="2340"/>
      <c r="H53" s="2330"/>
      <c r="I53" s="1669"/>
      <c r="J53" s="2309">
        <v>2</v>
      </c>
      <c r="K53" s="3313" t="s">
        <v>1357</v>
      </c>
      <c r="L53" s="3313"/>
      <c r="M53" s="2311">
        <f t="shared" ref="M53:O54" ca="1" si="0">D55</f>
        <v>34</v>
      </c>
      <c r="N53" s="2309" t="str">
        <f t="shared" si="0"/>
        <v>销售额×税（费）率</v>
      </c>
      <c r="O53" s="2312" t="str">
        <f t="shared" si="0"/>
        <v>免征</v>
      </c>
    </row>
    <row r="54" spans="1:35" ht="12" customHeight="1">
      <c r="A54" s="2153" t="s">
        <v>1358</v>
      </c>
      <c r="B54" s="3274" t="s">
        <v>2281</v>
      </c>
      <c r="C54" s="3275"/>
      <c r="D54" s="1024">
        <f ca="1">C68</f>
        <v>3671</v>
      </c>
      <c r="E54" s="319" t="s">
        <v>1359</v>
      </c>
      <c r="F54" s="2339">
        <f>'数据-取费表'!B41</f>
        <v>5.6000000000000001E-2</v>
      </c>
      <c r="G54" s="2340"/>
      <c r="H54" s="2341"/>
      <c r="I54" s="1669"/>
      <c r="J54" s="2309">
        <v>3</v>
      </c>
      <c r="K54" s="3313" t="s">
        <v>1360</v>
      </c>
      <c r="L54" s="3313"/>
      <c r="M54" s="2311">
        <f t="shared" ca="1" si="0"/>
        <v>38955</v>
      </c>
      <c r="N54" s="2309" t="str">
        <f t="shared" si="0"/>
        <v>增值额×税（费）率</v>
      </c>
      <c r="O54" s="2313" t="str">
        <f t="shared" si="0"/>
        <v>免征</v>
      </c>
    </row>
    <row r="55" spans="1:35" ht="24" customHeight="1">
      <c r="A55" s="3263" t="s">
        <v>1361</v>
      </c>
      <c r="B55" s="3264"/>
      <c r="C55" s="3264"/>
      <c r="D55" s="12">
        <f ca="1">IF(H55="个人住宅",0,ROUND(D45*I55,0))</f>
        <v>34</v>
      </c>
      <c r="E55" s="1256"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655</v>
      </c>
      <c r="N55" s="1883" t="str">
        <f>E59</f>
        <v>差额计税</v>
      </c>
      <c r="O55" s="2315">
        <f>F59</f>
        <v>0.01</v>
      </c>
    </row>
    <row r="56" spans="1:35" ht="24.75">
      <c r="A56" s="3263" t="s">
        <v>1363</v>
      </c>
      <c r="B56" s="3264"/>
      <c r="C56" s="3264"/>
      <c r="D56" s="12">
        <f ca="1">IF(H56="个人住宅",D57,D58)</f>
        <v>38955</v>
      </c>
      <c r="E56" s="1256" t="s">
        <v>1364</v>
      </c>
      <c r="F56" s="2339" t="str">
        <f>IF(H56="正常",F58,"免征")</f>
        <v>免征</v>
      </c>
      <c r="G56" s="2342" t="s">
        <v>1365</v>
      </c>
      <c r="H56" s="2343"/>
      <c r="I56" s="1670"/>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40"/>
      <c r="H57" s="2344"/>
      <c r="I57" s="1670"/>
      <c r="J57" s="3313">
        <f>IF(AND(J55="",J56=""),4,IF(项目基本情况!K6="上海银行",结果表!J56+1,结果表!J55+1))</f>
        <v>5</v>
      </c>
      <c r="K57" s="3313" t="s">
        <v>1367</v>
      </c>
      <c r="L57" s="2316" t="s">
        <v>1368</v>
      </c>
      <c r="M57" s="2317"/>
      <c r="N57" s="2318">
        <f ca="1">SUMIF(M52:M56,"&lt;9e307")</f>
        <v>39644</v>
      </c>
      <c r="O57" s="2319"/>
      <c r="P57" s="2464">
        <f ca="1">N57/M49</f>
        <v>0.57601999302568874</v>
      </c>
    </row>
    <row r="58" spans="1:35" ht="24.75">
      <c r="A58" s="2153" t="s">
        <v>1352</v>
      </c>
      <c r="B58" s="3274" t="s">
        <v>1369</v>
      </c>
      <c r="C58" s="3248"/>
      <c r="D58" s="12">
        <f ca="1">IF(H58="转让取得",C81,C97)</f>
        <v>38955</v>
      </c>
      <c r="E58" s="1256" t="s">
        <v>1364</v>
      </c>
      <c r="F58" s="294" t="s">
        <v>28</v>
      </c>
      <c r="G58" s="2340"/>
      <c r="H58" s="2343"/>
      <c r="I58" s="1670"/>
      <c r="J58" s="3313"/>
      <c r="K58" s="3313"/>
      <c r="L58" s="2316" t="s">
        <v>1370</v>
      </c>
      <c r="M58" s="2320"/>
      <c r="N58" s="2321" t="str">
        <f ca="1">NUMBERSTRING(INT(N57*10000),2)&amp;"元整"</f>
        <v>叁亿玖仟陆佰肆拾肆万元整</v>
      </c>
      <c r="O58" s="2322"/>
    </row>
    <row r="59" spans="1:35" ht="24.75" thickBot="1">
      <c r="A59" s="3316" t="s">
        <v>1371</v>
      </c>
      <c r="B59" s="3317"/>
      <c r="C59" s="3317"/>
      <c r="D59" s="2345">
        <f ca="1">IF(H59="非个人房产","——",IF(H59="个人住宅（满五唯一有凭证）",0,IF(H59="个人其他（无凭证）",ROUND(D45*F59,0),ROUND(C67*F59,0))))</f>
        <v>655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14">
        <f>J57+1</f>
        <v>6</v>
      </c>
      <c r="K59" s="3313" t="s">
        <v>1372</v>
      </c>
      <c r="L59" s="2309" t="s">
        <v>1368</v>
      </c>
      <c r="M59" s="2323"/>
      <c r="N59" s="2324">
        <f ca="1">M49-N57</f>
        <v>29180</v>
      </c>
      <c r="O59" s="2325"/>
    </row>
    <row r="60" spans="1:35" ht="12" customHeight="1">
      <c r="A60" s="1671"/>
      <c r="B60" s="646"/>
      <c r="C60" s="646"/>
      <c r="D60" s="646"/>
      <c r="E60" s="1466"/>
      <c r="F60" s="1670"/>
      <c r="G60" s="1670"/>
      <c r="H60" s="151"/>
      <c r="I60" s="121"/>
      <c r="J60" s="3315"/>
      <c r="K60" s="3313"/>
      <c r="L60" s="2316" t="s">
        <v>1370</v>
      </c>
      <c r="M60" s="2320"/>
      <c r="N60" s="2321" t="str">
        <f ca="1">NUMBERSTRING(INT(N59*10000),2)&amp;"元整"</f>
        <v>贰亿玖仟壹佰捌拾万元整</v>
      </c>
      <c r="O60" s="2322"/>
    </row>
    <row r="61" spans="1:35" ht="13.5" thickBot="1">
      <c r="A61" s="3261" t="s">
        <v>1373</v>
      </c>
      <c r="B61" s="3261"/>
      <c r="C61" s="3261"/>
      <c r="D61" s="3261"/>
      <c r="E61" s="3261"/>
      <c r="F61" s="1670"/>
      <c r="G61" s="1670"/>
      <c r="H61" s="151"/>
      <c r="I61" s="121"/>
      <c r="J61" s="2309">
        <f>J59+1</f>
        <v>7</v>
      </c>
      <c r="K61" s="3313" t="s">
        <v>1374</v>
      </c>
      <c r="L61" s="3313"/>
      <c r="M61" s="2326"/>
      <c r="N61" s="2327">
        <f ca="1">ROUND(N59*10000/'数据-汇总表'!E3,0)</f>
        <v>7349</v>
      </c>
      <c r="O61" s="2328"/>
    </row>
    <row r="62" spans="1:35" ht="12.75">
      <c r="A62" s="3279" t="s">
        <v>1375</v>
      </c>
      <c r="B62" s="3280"/>
      <c r="C62" s="1865"/>
      <c r="D62" s="1865" t="s">
        <v>1376</v>
      </c>
      <c r="E62" s="158" t="s">
        <v>1377</v>
      </c>
      <c r="F62" s="1670"/>
      <c r="G62" s="1670"/>
      <c r="H62" s="151"/>
      <c r="I62" s="121"/>
    </row>
    <row r="63" spans="1:35" ht="12.75">
      <c r="A63" s="165" t="s">
        <v>330</v>
      </c>
      <c r="B63" s="159" t="s">
        <v>1378</v>
      </c>
      <c r="C63" s="2349">
        <f ca="1">ROUND((C64+C65)/(1+'数据-取费表'!C42),0)</f>
        <v>65547</v>
      </c>
      <c r="D63" s="159"/>
      <c r="E63" s="160"/>
      <c r="F63" s="1670"/>
      <c r="G63" s="1670"/>
      <c r="H63" s="151"/>
      <c r="I63" s="121"/>
      <c r="J63" s="3338" t="s">
        <v>1379</v>
      </c>
      <c r="K63" s="1245" t="s">
        <v>1380</v>
      </c>
      <c r="L63" s="1245">
        <f ca="1">IF(M49&gt;10000,M49*0.5%,IF(AND(M49&gt;1000,M49&lt;=10000),M49*1%,IF(AND(M49&gt;100,M49&lt;=1000),M49*3%,IF(AND(M49&gt;10,M49&lt;=100),M49*5%,M49*8%))))</f>
        <v>344.12</v>
      </c>
      <c r="M63" s="294">
        <f ca="1">ROUND(L63,1)</f>
        <v>344.1</v>
      </c>
      <c r="N63" s="2329"/>
      <c r="Z63" s="1623"/>
      <c r="AI63" s="1561"/>
    </row>
    <row r="64" spans="1:35" ht="14.25" customHeight="1">
      <c r="A64" s="161" t="s">
        <v>325</v>
      </c>
      <c r="B64" s="162" t="s">
        <v>1381</v>
      </c>
      <c r="C64" s="2350">
        <f ca="1">D45</f>
        <v>68824</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344.12</v>
      </c>
      <c r="M64" s="294">
        <f t="shared" ref="M64:M65" ca="1" si="1">ROUND(L64,1)</f>
        <v>344.1</v>
      </c>
      <c r="N64" s="2330" t="s">
        <v>1383</v>
      </c>
      <c r="Z64" s="1623"/>
      <c r="AI64" s="1561"/>
    </row>
    <row r="65" spans="1:35" ht="14.25" customHeight="1">
      <c r="A65" s="161" t="s">
        <v>326</v>
      </c>
      <c r="B65" s="162" t="s">
        <v>1384</v>
      </c>
      <c r="C65" s="2351"/>
      <c r="D65" s="162"/>
      <c r="E65" s="164"/>
      <c r="F65" s="1670"/>
      <c r="G65" s="1670"/>
      <c r="H65" s="151"/>
      <c r="I65" s="121"/>
      <c r="J65" s="3338"/>
      <c r="K65" s="1245" t="s">
        <v>1385</v>
      </c>
      <c r="L65" s="1245">
        <f ca="1">IF(M49&gt;1000,M49*0.1%,IF(AND(M49&gt;500,M49&lt;=1000),M49*0.5%,IF(AND(M49&gt;50,M49&lt;=500),M49*1%,IF(AND(M49&gt;1,M49&lt;=50),M49*1.5%))))</f>
        <v>68.823999999999998</v>
      </c>
      <c r="M65" s="294">
        <f t="shared" ca="1" si="1"/>
        <v>68.8</v>
      </c>
      <c r="N65" s="2330" t="s">
        <v>1383</v>
      </c>
      <c r="Z65" s="1623"/>
      <c r="AI65" s="1561"/>
    </row>
    <row r="66" spans="1:35" ht="14.25" customHeight="1">
      <c r="A66" s="165" t="s">
        <v>327</v>
      </c>
      <c r="B66" s="166" t="s">
        <v>1386</v>
      </c>
      <c r="C66" s="2352"/>
      <c r="D66" s="166" t="s">
        <v>26</v>
      </c>
      <c r="E66" s="1251" t="s">
        <v>671</v>
      </c>
      <c r="F66" s="1670"/>
      <c r="G66" s="1670"/>
      <c r="H66" s="151"/>
      <c r="I66" s="121"/>
      <c r="J66" s="3338"/>
      <c r="K66" s="1245" t="s">
        <v>1387</v>
      </c>
      <c r="L66" s="1245">
        <f ca="1">M49*0.5%</f>
        <v>344.12</v>
      </c>
      <c r="M66" s="294">
        <f ca="1">IF(L66&gt;0.5,0.5,ROUND(L66,0))</f>
        <v>0.5</v>
      </c>
      <c r="N66" s="2330" t="s">
        <v>1388</v>
      </c>
      <c r="Z66" s="1623"/>
      <c r="AI66" s="1561"/>
    </row>
    <row r="67" spans="1:35" ht="14.25" customHeight="1">
      <c r="A67" s="165" t="s">
        <v>328</v>
      </c>
      <c r="B67" s="166" t="s">
        <v>1389</v>
      </c>
      <c r="C67" s="2353">
        <f ca="1">C63-C66</f>
        <v>65547</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14.132400000000001</v>
      </c>
      <c r="M67" s="294">
        <f ca="1">ROUND(L67*0.9,1)</f>
        <v>12.7</v>
      </c>
      <c r="N67" s="2329"/>
      <c r="Z67" s="1623"/>
      <c r="AI67" s="1561"/>
    </row>
    <row r="68" spans="1:35" ht="14.25" customHeight="1" thickBot="1">
      <c r="A68" s="168" t="s">
        <v>329</v>
      </c>
      <c r="B68" s="169" t="s">
        <v>1391</v>
      </c>
      <c r="C68" s="2354">
        <f ca="1">IF(C67&lt;=0,0,ROUND(C67*D68,0))</f>
        <v>3671</v>
      </c>
      <c r="D68" s="2355">
        <f>'数据-取费表'!B41</f>
        <v>5.6000000000000001E-2</v>
      </c>
      <c r="E68" s="170"/>
      <c r="F68" s="1670"/>
      <c r="G68" s="1670"/>
      <c r="H68" s="151"/>
      <c r="I68" s="121"/>
      <c r="J68" s="3338"/>
      <c r="K68" s="1245" t="s">
        <v>1392</v>
      </c>
      <c r="L68" s="1245">
        <f ca="1">IF(M49&gt;10000,M49*0.5%,IF(AND(M49&gt;5000,M49&lt;=10000),M49*1%,IF(AND(M49&gt;1000,M49&lt;=5000),M49*2%,IF(AND(M49&gt;200,M49&lt;=1000),M49*3%,M49*5%))))</f>
        <v>344.12</v>
      </c>
      <c r="M68" s="294">
        <f ca="1">ROUND(L68,1)</f>
        <v>344.1</v>
      </c>
      <c r="N68" s="2329"/>
      <c r="Z68" s="1623"/>
      <c r="AI68" s="1561"/>
    </row>
    <row r="69" spans="1:35" ht="16.5" customHeight="1">
      <c r="A69" s="1672"/>
      <c r="B69" s="1673"/>
      <c r="C69" s="1674"/>
      <c r="D69" s="1675"/>
      <c r="E69" s="1676"/>
      <c r="F69" s="1466"/>
      <c r="G69" s="1466"/>
      <c r="H69" s="1467"/>
      <c r="I69" s="646"/>
      <c r="J69" s="3338"/>
      <c r="K69" s="1245" t="s">
        <v>1393</v>
      </c>
      <c r="L69" s="1245"/>
      <c r="M69" s="294">
        <f ca="1">ROUND(SUM(M63:M68),0)</f>
        <v>1114</v>
      </c>
      <c r="N69" s="2331">
        <f ca="1">M69/M49</f>
        <v>1.6186214111356505E-2</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65547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393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393</v>
      </c>
      <c r="D78" s="2362">
        <f>'数据-取费表'!B43</f>
        <v>6.000000000000001E-3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65154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165.78625954198472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38955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65547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393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0" t="s">
        <v>2127</v>
      </c>
      <c r="H90" s="3341"/>
      <c r="I90" s="1681"/>
      <c r="J90" s="2307"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8" t="s">
        <v>1422</v>
      </c>
      <c r="F92" s="3259"/>
      <c r="G92" s="3259"/>
      <c r="H92" s="3268"/>
      <c r="I92" s="1681"/>
      <c r="J92" s="2308"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393</v>
      </c>
      <c r="D93" s="2362">
        <f>'数据-取费表'!B43</f>
        <v>6.000000000000001E-3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65154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165.78625954198472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38955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成本法</v>
      </c>
      <c r="D101" s="2371" t="str">
        <f>D4</f>
        <v>收益法（汇总）</v>
      </c>
      <c r="E101" s="3335" t="s">
        <v>1431</v>
      </c>
      <c r="F101" s="3292"/>
      <c r="G101" s="1687" t="s">
        <v>1432</v>
      </c>
      <c r="H101" s="2380">
        <f ca="1">H118</f>
        <v>68824</v>
      </c>
      <c r="I101" s="121"/>
    </row>
    <row r="102" spans="1:35" ht="18.75" customHeight="1">
      <c r="A102" s="3294" t="s">
        <v>1433</v>
      </c>
      <c r="B102" s="2369" t="s">
        <v>1432</v>
      </c>
      <c r="C102" s="2370">
        <f ca="1">C19</f>
        <v>72998</v>
      </c>
      <c r="D102" s="2371">
        <f ca="1">D19</f>
        <v>64649</v>
      </c>
      <c r="E102" s="3335"/>
      <c r="F102" s="3292"/>
      <c r="G102" s="1687" t="s">
        <v>1434</v>
      </c>
      <c r="H102" s="2340">
        <f ca="1">I118</f>
        <v>17333</v>
      </c>
      <c r="I102" s="121"/>
    </row>
    <row r="103" spans="1:35" ht="42.75" customHeight="1">
      <c r="A103" s="3294"/>
      <c r="B103" s="2369" t="s">
        <v>1434</v>
      </c>
      <c r="C103" s="2372">
        <f ca="1">C20</f>
        <v>18384</v>
      </c>
      <c r="D103" s="2373">
        <f ca="1">D20</f>
        <v>16281</v>
      </c>
      <c r="E103" s="3329" t="s">
        <v>1435</v>
      </c>
      <c r="F103" s="3330"/>
      <c r="G103" s="1688" t="s">
        <v>1436</v>
      </c>
      <c r="H103" s="2380">
        <f>IF(D36="正常操作",H104+H105+H106,H105+H106)</f>
        <v>0</v>
      </c>
      <c r="I103" s="121"/>
    </row>
    <row r="104" spans="1:35" ht="18.75" customHeight="1">
      <c r="A104" s="3294" t="s">
        <v>1437</v>
      </c>
      <c r="B104" s="2374" t="s">
        <v>1432</v>
      </c>
      <c r="C104" s="2375">
        <f ca="1">H118</f>
        <v>68824</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17333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92"/>
      <c r="G107" s="1687" t="s">
        <v>1432</v>
      </c>
      <c r="H107" s="2380">
        <f ca="1">IF(E107="——","——",H101-H103)</f>
        <v>68824</v>
      </c>
      <c r="I107" s="121"/>
    </row>
    <row r="108" spans="1:35" ht="18.75" customHeight="1">
      <c r="A108" s="121"/>
      <c r="B108" s="121"/>
      <c r="C108" s="121"/>
      <c r="D108" s="121"/>
      <c r="E108" s="3291"/>
      <c r="F108" s="3292"/>
      <c r="G108" s="1687" t="s">
        <v>1434</v>
      </c>
      <c r="H108" s="2340">
        <f ca="1">ROUND(H107*10000/'数据-汇总表'!E3,0)</f>
        <v>17333</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3" t="str">
        <f>IF(E109="——","——",H101-H105-H106)</f>
        <v>——</v>
      </c>
      <c r="I109" s="121"/>
    </row>
    <row r="110" spans="1:35" ht="18.75" customHeight="1">
      <c r="A110" s="121"/>
      <c r="B110" s="121"/>
      <c r="C110" s="121"/>
      <c r="D110" s="121"/>
      <c r="E110" s="3291"/>
      <c r="F110" s="3292"/>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39707.960000000006</v>
      </c>
      <c r="C118" s="2150">
        <f>M19</f>
        <v>6294.36</v>
      </c>
      <c r="D118" s="2150">
        <f ca="1">ROUND(IF(D32="总价",C34,E118*B118/10000),0)</f>
        <v>48521</v>
      </c>
      <c r="E118" s="2150">
        <f ca="1">ROUND(IF(C33="自定义",IF(D32="楼面单价",C34,D118*10000/B118),I118-G118),0)</f>
        <v>12220</v>
      </c>
      <c r="F118" s="2150">
        <f ca="1">ROUND(IF(D32="总价",C35,G118*B118/10000),0)</f>
        <v>20303</v>
      </c>
      <c r="G118" s="2150">
        <f ca="1">ROUND(IF(D32="楼面单价",C35,F118*10000/B118),0)</f>
        <v>5113</v>
      </c>
      <c r="H118" s="2150">
        <f ca="1">ROUND(IF(D32="总价",C32,I118*B118/10000),0)</f>
        <v>68824</v>
      </c>
      <c r="I118" s="2150">
        <f ca="1">ROUND(IF(D32="楼面单价",C32,H118*10000/B118),0)</f>
        <v>17333</v>
      </c>
    </row>
    <row r="119" spans="1:27" ht="18.75" customHeight="1">
      <c r="A119" s="3262" t="s">
        <v>1452</v>
      </c>
      <c r="B119" s="3262"/>
      <c r="C119" s="3262"/>
      <c r="D119" s="3302" t="str">
        <f ca="1">NUMBERSTRING(INT(D118*10000),2)&amp;"元整"</f>
        <v>肆亿捌仟伍佰贰拾壹万元整</v>
      </c>
      <c r="E119" s="3304"/>
      <c r="F119" s="3302" t="str">
        <f ca="1">NUMBERSTRING(INT(F118*10000),2)&amp;"元整"</f>
        <v>贰亿零叁佰零叁万元整</v>
      </c>
      <c r="G119" s="3304"/>
      <c r="H119" s="3302" t="str">
        <f ca="1">NUMBERSTRING(INT(H118*10000),2)&amp;"元整"</f>
        <v>陆亿捌仟捌佰贰拾肆万元整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68824</v>
      </c>
      <c r="E122" s="3327"/>
      <c r="F122" s="3327"/>
      <c r="G122" s="3327"/>
      <c r="H122" s="3327"/>
      <c r="I122" s="3328"/>
      <c r="AA122" s="684"/>
    </row>
    <row r="123" spans="1:27" ht="18.75" customHeight="1">
      <c r="A123" s="3262" t="s">
        <v>1452</v>
      </c>
      <c r="B123" s="3262"/>
      <c r="C123" s="3262"/>
      <c r="D123" s="3302" t="str">
        <f ca="1">NUMBERSTRING(INT(D122*10000),2)&amp;"元整"</f>
        <v>陆亿捌仟捌佰贰拾肆万元整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M57"/>
  <sheetViews>
    <sheetView view="pageBreakPreview" topLeftCell="A4" zoomScale="90" zoomScaleNormal="70" zoomScaleSheetLayoutView="90" workbookViewId="0">
      <selection activeCell="E25" sqref="E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72998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18384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35316</v>
      </c>
      <c r="D5" s="203" t="s">
        <v>1469</v>
      </c>
      <c r="E5" s="204" t="s">
        <v>1470</v>
      </c>
      <c r="F5" s="204" t="s">
        <v>1471</v>
      </c>
      <c r="G5" s="205"/>
    </row>
    <row r="6" spans="1:9" s="206" customFormat="1" ht="13.5" customHeight="1">
      <c r="A6" s="732" t="s">
        <v>1472</v>
      </c>
      <c r="B6" s="207" t="s">
        <v>1473</v>
      </c>
      <c r="C6" s="208">
        <f>'土地比较法-住宅、综合'!B2</f>
        <v>33500</v>
      </c>
      <c r="D6" s="209"/>
      <c r="E6" s="210"/>
      <c r="F6" s="210"/>
      <c r="G6" s="211"/>
    </row>
    <row r="7" spans="1:9" s="206" customFormat="1" ht="13.5" customHeight="1">
      <c r="A7" s="732" t="s">
        <v>1474</v>
      </c>
      <c r="B7" s="207" t="s">
        <v>1475</v>
      </c>
      <c r="C7" s="212">
        <f>ROUND(C6*F7,0)</f>
        <v>1022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794</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794</v>
      </c>
      <c r="D10" s="795">
        <f ca="1">IF(B1="",'数据-汇总表'!E6,IF(INDIRECT("'数据-取费表'!c"&amp;$G$1)="住宅",INDIRECT("'数据-取费表'!s"&amp;$G$1),INDIRECT("'数据-取费表'!k"&amp;$G$1)+INDIRECT("'数据-取费表'!s"&amp;$G$1)))</f>
        <v>39707.960000000006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3" s="206" customFormat="1" ht="13.5" hidden="1" customHeight="1">
      <c r="A17" s="219" t="s">
        <v>10</v>
      </c>
      <c r="B17" s="207" t="s">
        <v>1488</v>
      </c>
      <c r="C17" s="221"/>
      <c r="D17" s="221"/>
      <c r="E17" s="221"/>
      <c r="F17" s="221"/>
      <c r="G17" s="211" t="s">
        <v>1487</v>
      </c>
    </row>
    <row r="18" spans="1:13" s="206" customFormat="1" ht="13.5" hidden="1" customHeight="1">
      <c r="A18" s="219" t="s">
        <v>11</v>
      </c>
      <c r="B18" s="207" t="s">
        <v>1489</v>
      </c>
      <c r="C18" s="212">
        <v>0</v>
      </c>
      <c r="D18" s="210"/>
      <c r="E18" s="210"/>
      <c r="F18" s="213">
        <v>3.0499999999999999E-2</v>
      </c>
      <c r="G18" s="211" t="s">
        <v>1490</v>
      </c>
    </row>
    <row r="19" spans="1:13" s="215" customFormat="1" ht="13.5" customHeight="1">
      <c r="A19" s="247" t="s">
        <v>1491</v>
      </c>
      <c r="B19" s="202" t="s">
        <v>1492</v>
      </c>
      <c r="C19" s="203" t="str">
        <f>IF(G19="已包含在土地取得成本中","0",ROUND(D19*E19/10000,0))</f>
        <v>0</v>
      </c>
      <c r="D19" s="204">
        <f ca="1">D9+D10</f>
        <v>39707.960000000006</v>
      </c>
      <c r="E19" s="203">
        <f>'数据-取费表'!B31</f>
        <v>200</v>
      </c>
      <c r="F19" s="223"/>
      <c r="G19" s="1714" t="s">
        <v>3402</v>
      </c>
      <c r="K19" s="3159" t="s">
        <v>3478</v>
      </c>
      <c r="L19" s="3159" t="s">
        <v>3480</v>
      </c>
      <c r="M19" s="3159" t="s">
        <v>3481</v>
      </c>
    </row>
    <row r="20" spans="1:13" s="206" customFormat="1" ht="13.5" customHeight="1">
      <c r="A20" s="247" t="s">
        <v>1493</v>
      </c>
      <c r="B20" s="202" t="s">
        <v>1494</v>
      </c>
      <c r="C20" s="224">
        <f ca="1">ROUND((C5+C19)*F20,0)</f>
        <v>1059</v>
      </c>
      <c r="D20" s="224"/>
      <c r="E20" s="224"/>
      <c r="F20" s="225">
        <f>'数据-取费表'!B37</f>
        <v>0.03</v>
      </c>
      <c r="G20" s="226" t="s">
        <v>1495</v>
      </c>
      <c r="J20" s="3158" t="s">
        <v>3476</v>
      </c>
      <c r="K20" s="206">
        <f>[3]基准地价修正!$B$2</f>
        <v>13941</v>
      </c>
      <c r="L20" s="206">
        <v>0.2</v>
      </c>
      <c r="M20" s="206">
        <f>ROUND(L20*K20+L21*K21,0)</f>
        <v>29588</v>
      </c>
    </row>
    <row r="21" spans="1:13" s="206" customFormat="1" ht="13.5" customHeight="1">
      <c r="A21" s="247" t="s">
        <v>1496</v>
      </c>
      <c r="B21" s="202" t="s">
        <v>1497</v>
      </c>
      <c r="C21" s="227">
        <f>F21</f>
        <v>0.02</v>
      </c>
      <c r="D21" s="228" t="s">
        <v>1498</v>
      </c>
      <c r="E21" s="224"/>
      <c r="F21" s="225">
        <f>'数据-取费表'!B38</f>
        <v>0.02</v>
      </c>
      <c r="G21" s="226" t="s">
        <v>1499</v>
      </c>
      <c r="J21" s="3158" t="s">
        <v>3477</v>
      </c>
      <c r="K21" s="206">
        <f>'土地比较法-住宅、综合'!B2</f>
        <v>33500</v>
      </c>
      <c r="L21" s="206">
        <f>1-L20</f>
        <v>0.8</v>
      </c>
    </row>
    <row r="22" spans="1:13" s="206" customFormat="1" ht="13.5" customHeight="1">
      <c r="A22" s="247" t="s">
        <v>1500</v>
      </c>
      <c r="B22" s="202" t="s">
        <v>1501</v>
      </c>
      <c r="C22" s="1041">
        <f ca="1">ROUND(SUM(C23:C25),0)</f>
        <v>3036</v>
      </c>
      <c r="D22" s="227">
        <f ca="1">C26</f>
        <v>8.0000000000000004E-4</v>
      </c>
      <c r="E22" s="228" t="s">
        <v>1498</v>
      </c>
      <c r="F22" s="229">
        <f ca="1">'数据-取费表'!B40</f>
        <v>4.1499999999999995E-2</v>
      </c>
      <c r="G22" s="226" t="str">
        <f>IF('数据-取费表'!B22&lt;=1,"单利计息","复利计息")</f>
        <v>复利计息</v>
      </c>
    </row>
    <row r="23" spans="1:13" s="206" customFormat="1" ht="13.5" customHeight="1">
      <c r="A23" s="734" t="s">
        <v>1502</v>
      </c>
      <c r="B23" s="207" t="s">
        <v>1503</v>
      </c>
      <c r="C23" s="1042">
        <f ca="1">ROUND(IF('数据-取费表'!B22&lt;=1,C5*F22*'数据-取费表'!B23,C5*(POWER((1+F22),'数据-取费表'!B23)-1)),0)</f>
        <v>2992</v>
      </c>
      <c r="D23" s="230"/>
      <c r="E23" s="230"/>
      <c r="F23" s="231"/>
      <c r="G23" s="232" t="s">
        <v>1504</v>
      </c>
    </row>
    <row r="24" spans="1:13"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13" s="206" customFormat="1" ht="24">
      <c r="A25" s="734" t="s">
        <v>1508</v>
      </c>
      <c r="B25" s="207" t="s">
        <v>1509</v>
      </c>
      <c r="C25" s="1042">
        <f ca="1">ROUND(IF('数据-取费表'!B22&lt;=1,C20*F22*'数据-取费表'!B23/2,C20*(POWER((1+F22),'数据-取费表'!B23/2)-1)),0)</f>
        <v>44</v>
      </c>
      <c r="D25" s="230"/>
      <c r="E25" s="233"/>
      <c r="F25" s="231"/>
      <c r="G25" s="234" t="s">
        <v>1510</v>
      </c>
    </row>
    <row r="26" spans="1:13" s="206" customFormat="1">
      <c r="A26" s="734" t="s">
        <v>350</v>
      </c>
      <c r="B26" s="207" t="s">
        <v>1511</v>
      </c>
      <c r="C26" s="230">
        <f ca="1">ROUND(IF('数据-取费表'!B22&lt;=1,F21*F22*'数据-取费表'!B23/2,F21*(POWER((1+F22),'数据-取费表'!B23/2)-1)),4)</f>
        <v>8.0000000000000004E-4</v>
      </c>
      <c r="D26" s="230"/>
      <c r="E26" s="233"/>
      <c r="F26" s="231"/>
      <c r="G26" s="235"/>
    </row>
    <row r="27" spans="1:13" s="206" customFormat="1" ht="24.75">
      <c r="A27" s="247" t="s">
        <v>1512</v>
      </c>
      <c r="B27" s="236" t="s">
        <v>1513</v>
      </c>
      <c r="C27" s="237">
        <f ca="1">C28</f>
        <v>8003</v>
      </c>
      <c r="D27" s="227">
        <f ca="1">C29</f>
        <v>4.4000000000000003E-3</v>
      </c>
      <c r="E27" s="228" t="s">
        <v>1514</v>
      </c>
      <c r="F27" s="238">
        <f ca="1">IF(B1="",'数据-取费表'!Q16,INDIRECT("'数据-取费表'!q"&amp;$G$1))</f>
        <v>0.22</v>
      </c>
      <c r="G27" s="239" t="s">
        <v>1515</v>
      </c>
    </row>
    <row r="28" spans="1:13" s="206" customFormat="1" ht="13.5" customHeight="1">
      <c r="A28" s="734" t="s">
        <v>346</v>
      </c>
      <c r="B28" s="240" t="s">
        <v>1516</v>
      </c>
      <c r="C28" s="241">
        <f ca="1">ROUND((C5+C19+C20)*F27*'数据-取费表'!B21/'数据-取费表'!B20,0)</f>
        <v>8003</v>
      </c>
      <c r="D28" s="227"/>
      <c r="E28" s="228"/>
      <c r="F28" s="238"/>
      <c r="G28" s="239"/>
    </row>
    <row r="29" spans="1:13" s="206" customFormat="1" ht="13.5" customHeight="1">
      <c r="A29" s="734" t="s">
        <v>347</v>
      </c>
      <c r="B29" s="240" t="s">
        <v>1517</v>
      </c>
      <c r="C29" s="230">
        <f ca="1">ROUND(C21*F27*'数据-取费表'!B21/'数据-取费表'!B20,4)</f>
        <v>4.4000000000000003E-3</v>
      </c>
      <c r="D29" s="227"/>
      <c r="E29" s="228"/>
      <c r="F29" s="238"/>
      <c r="G29" s="239"/>
    </row>
    <row r="30" spans="1:13" s="206" customFormat="1" ht="13.5" customHeight="1">
      <c r="A30" s="247" t="s">
        <v>1518</v>
      </c>
      <c r="B30" s="202" t="s">
        <v>1519</v>
      </c>
      <c r="C30" s="227">
        <f>ROUND(F30/(1+'数据-取费表'!C42),4)</f>
        <v>5.33E-2</v>
      </c>
      <c r="D30" s="228" t="s">
        <v>1514</v>
      </c>
      <c r="E30" s="233"/>
      <c r="F30" s="229">
        <f>'数据-取费表'!B41</f>
        <v>5.6000000000000001E-2</v>
      </c>
      <c r="G30" s="226" t="s">
        <v>1520</v>
      </c>
    </row>
    <row r="31" spans="1:13" ht="16.5" customHeight="1">
      <c r="A31" s="201">
        <v>1</v>
      </c>
      <c r="B31" s="202" t="s">
        <v>1521</v>
      </c>
      <c r="C31" s="203">
        <f ca="1">ROUND((C5+C19+C20+C22+C27)/(1-C21-D22-D27-C30),0)</f>
        <v>51453</v>
      </c>
      <c r="D31" s="222"/>
      <c r="E31" s="203"/>
      <c r="F31" s="242"/>
      <c r="G31" s="226" t="s">
        <v>1522</v>
      </c>
    </row>
    <row r="32" spans="1:13" s="200" customFormat="1" ht="15.75">
      <c r="A32" s="244" t="s">
        <v>1523</v>
      </c>
      <c r="B32" s="245"/>
      <c r="C32" s="245"/>
      <c r="D32" s="245"/>
      <c r="E32" s="245"/>
      <c r="F32" s="245"/>
      <c r="G32" s="246"/>
    </row>
    <row r="33" spans="1:7" s="206" customFormat="1" ht="13.5" customHeight="1">
      <c r="A33" s="247" t="s">
        <v>337</v>
      </c>
      <c r="B33" s="202" t="s">
        <v>1524</v>
      </c>
      <c r="C33" s="248">
        <f ca="1">SUM(C34:C38)</f>
        <v>16609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15134</v>
      </c>
      <c r="D34" s="209"/>
      <c r="E34" s="212"/>
      <c r="F34" s="249">
        <f ca="1">IF('数据-取费表'!B24=0,1,IF(B1="",'数据-取费表'!N16,INDIRECT("'数据-取费表'!n"&amp;$G$1)))</f>
        <v>1</v>
      </c>
      <c r="G34" s="211" t="s">
        <v>1526</v>
      </c>
    </row>
    <row r="35" spans="1:7" ht="13.5" customHeight="1">
      <c r="A35" s="734" t="s">
        <v>351</v>
      </c>
      <c r="B35" s="207" t="s">
        <v>1527</v>
      </c>
      <c r="C35" s="212">
        <f ca="1">ROUND(C34*F35,0)</f>
        <v>454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794</v>
      </c>
      <c r="D37" s="209">
        <f ca="1">D19</f>
        <v>39707.960000000006</v>
      </c>
      <c r="E37" s="241">
        <f>'数据-取费表'!B35</f>
        <v>200</v>
      </c>
      <c r="F37" s="251"/>
      <c r="G37" s="253" t="s">
        <v>1532</v>
      </c>
    </row>
    <row r="38" spans="1:7" ht="13.5" customHeight="1">
      <c r="A38" s="734" t="s">
        <v>354</v>
      </c>
      <c r="B38" s="207" t="s">
        <v>1533</v>
      </c>
      <c r="C38" s="212">
        <f ca="1">ROUND(C34*F38,0)</f>
        <v>227</v>
      </c>
      <c r="D38" s="212"/>
      <c r="E38" s="212"/>
      <c r="F38" s="251">
        <f>'数据-取费表'!B36</f>
        <v>1.4999999999999999E-2</v>
      </c>
      <c r="G38" s="211" t="s">
        <v>1528</v>
      </c>
    </row>
    <row r="39" spans="1:7" s="206" customFormat="1" ht="13.5" customHeight="1">
      <c r="A39" s="247" t="s">
        <v>1534</v>
      </c>
      <c r="B39" s="202" t="s">
        <v>1535</v>
      </c>
      <c r="C39" s="224">
        <f ca="1">ROUND(C33*F20,0)</f>
        <v>498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689</v>
      </c>
      <c r="D42" s="230"/>
      <c r="E42" s="230"/>
      <c r="F42" s="231"/>
      <c r="G42" s="3342" t="s">
        <v>1544</v>
      </c>
    </row>
    <row r="43" spans="1:7" ht="13.5" customHeight="1">
      <c r="A43" s="734" t="s">
        <v>347</v>
      </c>
      <c r="B43" s="207" t="s">
        <v>1545</v>
      </c>
      <c r="C43" s="230">
        <f ca="1">ROUND(IF('数据-取费表'!B22&lt;=1,C39*F22*'数据-取费表'!B21/2,C39*(POWER((1+F22),'数据-取费表'!B21/2)-1)),0)</f>
        <v>21</v>
      </c>
      <c r="D43" s="230"/>
      <c r="E43" s="230"/>
      <c r="F43" s="231"/>
      <c r="G43" s="3343"/>
    </row>
    <row r="44" spans="1:7" ht="13.5" customHeight="1">
      <c r="A44" s="734" t="s">
        <v>348</v>
      </c>
      <c r="B44" s="207" t="s">
        <v>1546</v>
      </c>
      <c r="C44" s="230">
        <f ca="1">ROUND(IF('数据-取费表'!B22&lt;=1,C40*F22*'数据-取费表'!B21/2,C40*(POWER((1+F22),'数据-取费表'!B21/2)-1)),4)</f>
        <v>8.0000000000000004E-4</v>
      </c>
      <c r="D44" s="230"/>
      <c r="E44" s="230"/>
      <c r="F44" s="231"/>
      <c r="G44" s="3344"/>
    </row>
    <row r="45" spans="1:7" s="206" customFormat="1" ht="13.5" customHeight="1">
      <c r="A45" s="247" t="s">
        <v>1547</v>
      </c>
      <c r="B45" s="236" t="s">
        <v>1513</v>
      </c>
      <c r="C45" s="237">
        <f ca="1">C46</f>
        <v>3764</v>
      </c>
      <c r="D45" s="227">
        <f ca="1">C47</f>
        <v>4.4000000000000003E-3</v>
      </c>
      <c r="E45" s="228" t="s">
        <v>1539</v>
      </c>
      <c r="F45" s="238">
        <f ca="1">F27</f>
        <v>0.22</v>
      </c>
      <c r="G45" s="239" t="s">
        <v>1548</v>
      </c>
    </row>
    <row r="46" spans="1:7" s="206" customFormat="1" ht="13.5" customHeight="1">
      <c r="A46" s="734" t="s">
        <v>346</v>
      </c>
      <c r="B46" s="240" t="s">
        <v>1549</v>
      </c>
      <c r="C46" s="241">
        <f ca="1">ROUND((C33+C39)*F27,0)</f>
        <v>3764</v>
      </c>
      <c r="D46" s="255"/>
      <c r="E46" s="228"/>
      <c r="F46" s="238"/>
      <c r="G46" s="239"/>
    </row>
    <row r="47" spans="1:7" s="206" customFormat="1" ht="13.5" customHeight="1">
      <c r="A47" s="734" t="s">
        <v>347</v>
      </c>
      <c r="B47" s="240" t="s">
        <v>1550</v>
      </c>
      <c r="C47" s="230">
        <f ca="1">ROUND(C40*F27,4)</f>
        <v>4.4000000000000003E-3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23419</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21545</v>
      </c>
      <c r="D51" s="224"/>
      <c r="E51" s="224"/>
      <c r="F51" s="256"/>
      <c r="G51" s="226" t="s">
        <v>1560</v>
      </c>
    </row>
    <row r="52" spans="1:7" s="200" customFormat="1" ht="16.5" thickBot="1">
      <c r="A52" s="257" t="s">
        <v>1561</v>
      </c>
      <c r="B52" s="258"/>
      <c r="C52" s="259">
        <f ca="1">C31+C51</f>
        <v>72998</v>
      </c>
      <c r="D52" s="258"/>
      <c r="E52" s="258"/>
      <c r="F52" s="258"/>
      <c r="G52" s="260"/>
    </row>
    <row r="55" spans="1:7" ht="15">
      <c r="B55" s="262" t="s">
        <v>1562</v>
      </c>
      <c r="C55" s="263"/>
    </row>
    <row r="56" spans="1:7">
      <c r="B56" s="265" t="s">
        <v>802</v>
      </c>
      <c r="C56" s="267">
        <f ca="1">1-C57</f>
        <v>0.70500000000000007</v>
      </c>
    </row>
    <row r="57" spans="1:7">
      <c r="B57" s="265" t="s">
        <v>803</v>
      </c>
      <c r="C57" s="266">
        <f ca="1">ROUND(C51/C52,3)</f>
        <v>0.29499999999999998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tabSelected="1" view="pageBreakPreview" zoomScale="85" zoomScaleNormal="60" zoomScaleSheetLayoutView="85" workbookViewId="0">
      <selection activeCell="F49" sqref="F49"/>
    </sheetView>
  </sheetViews>
  <sheetFormatPr defaultColWidth="9" defaultRowHeight="14.25"/>
  <cols>
    <col min="1" max="1" width="14.375" style="347" customWidth="1"/>
    <col min="2" max="2" width="15.75" style="347" customWidth="1"/>
    <col min="3" max="3" width="16.625" style="347" customWidth="1"/>
    <col min="4" max="4" width="14.125" style="347" customWidth="1"/>
    <col min="5" max="5" width="16.375" style="347" customWidth="1"/>
    <col min="6" max="6" width="12.25" style="347" customWidth="1"/>
    <col min="7" max="7" width="16.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33500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8437</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54" customHeight="1">
      <c r="A5" s="348"/>
      <c r="B5" s="349"/>
      <c r="C5" s="3378" t="s">
        <v>1673</v>
      </c>
      <c r="D5" s="3379"/>
      <c r="E5" s="3385" t="str">
        <f>土地案例!A2</f>
        <v>北京市石景山区首钢园区东南区土地一级开发项目1612-774地块B4综合性商业金融服务业用地</v>
      </c>
      <c r="F5" s="3386"/>
      <c r="G5" s="3378" t="str">
        <f>土地案例!A3</f>
        <v>北京市石景山区中关村科技园石景山园北Ⅱ区西井地块土地一级开发项目1606-034地块B1商业用地</v>
      </c>
      <c r="H5" s="3379"/>
      <c r="I5" s="3378" t="str">
        <f>土地案例!A4</f>
        <v>北京市石景山区古城南街东侧(首钢园区东南区)1612-769、775等地块B4综合性商业金融服务业用地</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f>土地案例!M2</f>
        <v>44495.000497685185</v>
      </c>
      <c r="F7" s="357">
        <f>SUMIF(69:69,YEAR(E7)&amp;"-"&amp;INT((MONTH(E7)+2)/3),70:70)</f>
        <v>100</v>
      </c>
      <c r="G7" s="1822">
        <f>土地案例!M3</f>
        <v>44179.000497685185</v>
      </c>
      <c r="H7" s="355">
        <f>SUMIF(69:69,YEAR(G7)&amp;"-"&amp;INT((MONTH(G7)+2)/3),70:70)</f>
        <v>100</v>
      </c>
      <c r="I7" s="1822">
        <f>土地案例!M4</f>
        <v>43811.000497685185</v>
      </c>
      <c r="J7" s="355">
        <f>SUMIF(69:69,YEAR(I7)&amp;"-"&amp;INT((MONTH(I7)+2)/3),70:70)</f>
        <v>100</v>
      </c>
      <c r="K7" s="38"/>
      <c r="L7" s="2488"/>
      <c r="M7" s="2439"/>
      <c r="N7" s="2439"/>
      <c r="O7" s="2439"/>
      <c r="P7" s="3380" t="s">
        <v>1680</v>
      </c>
      <c r="Q7" s="3382"/>
      <c r="R7" s="664" t="s">
        <v>14</v>
      </c>
      <c r="S7" s="665">
        <f t="shared" ref="S7:S15" si="0">F7</f>
        <v>100</v>
      </c>
      <c r="T7" s="664" t="s">
        <v>14</v>
      </c>
      <c r="U7" s="665">
        <f t="shared" ref="U7:U15" si="1">H7</f>
        <v>100</v>
      </c>
      <c r="V7" s="664" t="s">
        <v>14</v>
      </c>
      <c r="W7" s="665">
        <f t="shared" ref="W7:W15" si="2">J7</f>
        <v>100</v>
      </c>
      <c r="X7" s="666"/>
      <c r="Y7" s="3380" t="s">
        <v>1680</v>
      </c>
      <c r="Z7" s="3381"/>
      <c r="AA7" s="50">
        <f>D7/F7</f>
        <v>1</v>
      </c>
      <c r="AB7" s="50">
        <f>D7/H7</f>
        <v>1</v>
      </c>
      <c r="AC7" s="50">
        <f>D7/J7</f>
        <v>1</v>
      </c>
    </row>
    <row r="8" spans="1:29" s="102" customFormat="1" ht="15.75" thickBot="1">
      <c r="A8" s="352" t="s">
        <v>1681</v>
      </c>
      <c r="B8" s="353"/>
      <c r="C8" s="358" t="s">
        <v>1682</v>
      </c>
      <c r="D8" s="355">
        <v>100</v>
      </c>
      <c r="E8" s="358" t="s">
        <v>3456</v>
      </c>
      <c r="F8" s="357">
        <f>SUMIF(72:72,E8,73:73)-SUMIF(72:72,C8,73:73)+100</f>
        <v>100</v>
      </c>
      <c r="G8" s="358" t="s">
        <v>3456</v>
      </c>
      <c r="H8" s="355">
        <f>SUMIF(72:72,G8,73:73)-SUMIF(72:72,C8,73:73)+100</f>
        <v>100</v>
      </c>
      <c r="I8" s="358" t="s">
        <v>3456</v>
      </c>
      <c r="J8" s="355">
        <f>SUMIF(72:72,I8,73:73)-SUMIF(72:72,C8,73:73)+100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5" si="3">D8/F8</f>
        <v>1</v>
      </c>
      <c r="AB8" s="50">
        <f t="shared" ref="AB8:AB45" si="4">D8/H8</f>
        <v>1</v>
      </c>
      <c r="AC8" s="50">
        <f t="shared" ref="AC8:AC45" si="5">D8/J8</f>
        <v>1</v>
      </c>
    </row>
    <row r="9" spans="1:29" s="102" customFormat="1" ht="15">
      <c r="A9" s="359" t="s">
        <v>1684</v>
      </c>
      <c r="B9" s="60" t="s">
        <v>1685</v>
      </c>
      <c r="C9" s="1825" t="s">
        <v>2450</v>
      </c>
      <c r="D9" s="59">
        <v>100</v>
      </c>
      <c r="E9" s="1825" t="s">
        <v>3457</v>
      </c>
      <c r="F9" s="59">
        <f>SUMIF(74:74,E9,75:75)-SUMIF(74:74,C9,75:75)+100</f>
        <v>120</v>
      </c>
      <c r="G9" s="1825" t="s">
        <v>3458</v>
      </c>
      <c r="H9" s="59">
        <f>SUMIF(74:74,G9,75:75)-SUMIF(74:74,C9,75:75)+100</f>
        <v>120</v>
      </c>
      <c r="I9" s="1825" t="s">
        <v>3457</v>
      </c>
      <c r="J9" s="59">
        <f>SUMIF(74:74,I9,75:75)-SUMIF(74:74,C9,75:75)+100</f>
        <v>120</v>
      </c>
      <c r="K9" s="38"/>
      <c r="L9" s="2488"/>
      <c r="M9" s="2439"/>
      <c r="N9" s="2439"/>
      <c r="O9" s="2540"/>
      <c r="P9" s="3352" t="s">
        <v>1686</v>
      </c>
      <c r="Q9" s="530" t="str">
        <f t="shared" ref="Q9:Q15" si="6">B9</f>
        <v>用途</v>
      </c>
      <c r="R9" s="664" t="s">
        <v>14</v>
      </c>
      <c r="S9" s="665">
        <f t="shared" si="0"/>
        <v>120</v>
      </c>
      <c r="T9" s="664" t="s">
        <v>14</v>
      </c>
      <c r="U9" s="665">
        <f t="shared" si="1"/>
        <v>120</v>
      </c>
      <c r="V9" s="664" t="s">
        <v>14</v>
      </c>
      <c r="W9" s="665">
        <f t="shared" si="2"/>
        <v>120</v>
      </c>
      <c r="X9" s="666"/>
      <c r="Y9" s="3249" t="s">
        <v>1687</v>
      </c>
      <c r="Z9" s="50" t="str">
        <f t="shared" ref="Z9:Z15" si="7">Q9</f>
        <v>用途</v>
      </c>
      <c r="AA9" s="50">
        <f t="shared" si="3"/>
        <v>0.83333333333333337</v>
      </c>
      <c r="AB9" s="50">
        <f t="shared" si="4"/>
        <v>0.83333333333333337</v>
      </c>
      <c r="AC9" s="50">
        <f t="shared" si="5"/>
        <v>0.83333333333333337</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52"/>
      <c r="Q10" s="530" t="str">
        <f t="shared" si="6"/>
        <v>土地使用年限（年）</v>
      </c>
      <c r="R10" s="664" t="s">
        <v>14</v>
      </c>
      <c r="S10" s="665">
        <f t="shared" si="0"/>
        <v>114</v>
      </c>
      <c r="T10" s="664" t="s">
        <v>14</v>
      </c>
      <c r="U10" s="665">
        <f t="shared" si="1"/>
        <v>114</v>
      </c>
      <c r="V10" s="664" t="s">
        <v>14</v>
      </c>
      <c r="W10" s="665">
        <f t="shared" si="2"/>
        <v>114</v>
      </c>
      <c r="X10" s="666"/>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f>'数据-汇总表'!I4</f>
        <v>5.16</v>
      </c>
      <c r="D11" s="119">
        <v>100</v>
      </c>
      <c r="E11" s="368">
        <f>土地案例!H2</f>
        <v>3.5</v>
      </c>
      <c r="F11" s="119">
        <f>LOOKUP(E11,79:79,80:80)-LOOKUP(C11,79:79,80:80)+100</f>
        <v>104</v>
      </c>
      <c r="G11" s="369">
        <f>土地案例!H3</f>
        <v>4</v>
      </c>
      <c r="H11" s="119">
        <f>LOOKUP(G11,79:79,80:80)-LOOKUP(C11,79:79,80:80)+100</f>
        <v>102</v>
      </c>
      <c r="I11" s="368">
        <f>土地案例!H4</f>
        <v>4.59</v>
      </c>
      <c r="J11" s="119">
        <f>LOOKUP(I11,79:79,80:80)-LOOKUP(C11,79:79,80:80)+100</f>
        <v>102</v>
      </c>
      <c r="K11" s="593">
        <v>2</v>
      </c>
      <c r="L11" s="2491"/>
      <c r="M11" s="2487"/>
      <c r="N11" s="2487"/>
      <c r="O11" s="2542"/>
      <c r="P11" s="3352"/>
      <c r="Q11" s="530" t="str">
        <f t="shared" si="6"/>
        <v>容积率</v>
      </c>
      <c r="R11" s="664" t="s">
        <v>14</v>
      </c>
      <c r="S11" s="665">
        <f t="shared" si="0"/>
        <v>104</v>
      </c>
      <c r="T11" s="664" t="s">
        <v>14</v>
      </c>
      <c r="U11" s="665">
        <f t="shared" si="1"/>
        <v>102</v>
      </c>
      <c r="V11" s="664" t="s">
        <v>14</v>
      </c>
      <c r="W11" s="665">
        <f t="shared" si="2"/>
        <v>102</v>
      </c>
      <c r="X11" s="666"/>
      <c r="Y11" s="3249"/>
      <c r="Z11" s="50" t="str">
        <f t="shared" si="7"/>
        <v>容积率</v>
      </c>
      <c r="AA11" s="50">
        <f t="shared" si="3"/>
        <v>0.96153846153846156</v>
      </c>
      <c r="AB11" s="50">
        <f t="shared" si="4"/>
        <v>0.98039215686274506</v>
      </c>
      <c r="AC11" s="50">
        <f t="shared" si="5"/>
        <v>0.98039215686274506</v>
      </c>
    </row>
    <row r="12" spans="1:29" s="102" customFormat="1" ht="15">
      <c r="A12" s="370"/>
      <c r="B12" s="3148" t="s">
        <v>3451</v>
      </c>
      <c r="C12" s="3155" t="s">
        <v>3473</v>
      </c>
      <c r="D12" s="372">
        <v>100</v>
      </c>
      <c r="E12" s="3156" t="s">
        <v>3475</v>
      </c>
      <c r="F12" s="119">
        <f>SUMIF(81:81,E12,82:82)-SUMIF(81:81,C12,82:82)+100</f>
        <v>110</v>
      </c>
      <c r="G12" s="3157" t="s">
        <v>3475</v>
      </c>
      <c r="H12" s="119">
        <f>SUMIF(81:81,G12,82:82)-SUMIF(81:81,C12,82:82)+100</f>
        <v>110</v>
      </c>
      <c r="I12" s="3156" t="s">
        <v>3475</v>
      </c>
      <c r="J12" s="119">
        <f>SUMIF(81:81,I12,82:82)-SUMIF(81:81,C12,82:82)+100</f>
        <v>110</v>
      </c>
      <c r="K12" s="592"/>
      <c r="L12" s="2488"/>
      <c r="M12" s="2439"/>
      <c r="N12" s="2439"/>
      <c r="O12" s="2540"/>
      <c r="P12" s="3352"/>
      <c r="Q12" s="530" t="str">
        <f t="shared" si="6"/>
        <v>自持情况</v>
      </c>
      <c r="R12" s="664" t="s">
        <v>14</v>
      </c>
      <c r="S12" s="665">
        <f t="shared" si="0"/>
        <v>110</v>
      </c>
      <c r="T12" s="664" t="s">
        <v>14</v>
      </c>
      <c r="U12" s="665">
        <f t="shared" si="1"/>
        <v>110</v>
      </c>
      <c r="V12" s="664" t="s">
        <v>14</v>
      </c>
      <c r="W12" s="665">
        <f t="shared" si="2"/>
        <v>110</v>
      </c>
      <c r="X12" s="666"/>
      <c r="Y12" s="3249"/>
      <c r="Z12" s="50" t="str">
        <f t="shared" si="7"/>
        <v>自持情况</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3" t="s">
        <v>1691</v>
      </c>
      <c r="Q15" s="1263" t="str">
        <f t="shared" si="6"/>
        <v>居住社区成熟度</v>
      </c>
      <c r="R15" s="667" t="s">
        <v>14</v>
      </c>
      <c r="S15" s="668">
        <f t="shared" si="0"/>
        <v>100</v>
      </c>
      <c r="T15" s="667" t="s">
        <v>14</v>
      </c>
      <c r="U15" s="668">
        <f t="shared" si="1"/>
        <v>100</v>
      </c>
      <c r="V15" s="667" t="s">
        <v>14</v>
      </c>
      <c r="W15" s="668">
        <f t="shared" si="2"/>
        <v>100</v>
      </c>
      <c r="X15" s="1265"/>
      <c r="Y15" s="335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54"/>
      <c r="Q16" s="1263"/>
      <c r="R16" s="667"/>
      <c r="S16" s="668"/>
      <c r="T16" s="667"/>
      <c r="U16" s="668"/>
      <c r="V16" s="667"/>
      <c r="W16" s="668"/>
      <c r="X16" s="1265"/>
      <c r="Y16" s="335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4"/>
      <c r="Q17" s="1263" t="str">
        <f>B17</f>
        <v>商业繁华度</v>
      </c>
      <c r="R17" s="667" t="s">
        <v>14</v>
      </c>
      <c r="S17" s="668">
        <f>F17</f>
        <v>100</v>
      </c>
      <c r="T17" s="667" t="s">
        <v>14</v>
      </c>
      <c r="U17" s="668">
        <f>H17</f>
        <v>100</v>
      </c>
      <c r="V17" s="667" t="s">
        <v>14</v>
      </c>
      <c r="W17" s="668">
        <f>J17</f>
        <v>100</v>
      </c>
      <c r="X17" s="1265"/>
      <c r="Y17" s="335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54"/>
      <c r="Q18" s="1263"/>
      <c r="R18" s="667"/>
      <c r="S18" s="668"/>
      <c r="T18" s="667"/>
      <c r="U18" s="668"/>
      <c r="V18" s="667"/>
      <c r="W18" s="668"/>
      <c r="X18" s="1265"/>
      <c r="Y18" s="3354"/>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100</v>
      </c>
      <c r="G19" s="396"/>
      <c r="H19" s="389">
        <f>SUMIF(91:91,G20,92:92)-SUMIF(91:91,C20,92:92)+100</f>
        <v>103</v>
      </c>
      <c r="I19" s="398"/>
      <c r="J19" s="389">
        <f>SUMIF(91:91,I20,92:92)-SUMIF(91:91,C20,92:92)+100</f>
        <v>100</v>
      </c>
      <c r="K19" s="593">
        <v>3</v>
      </c>
      <c r="L19" s="2492"/>
      <c r="M19" s="2487"/>
      <c r="N19" s="2487"/>
      <c r="O19" s="2542"/>
      <c r="P19" s="3354"/>
      <c r="Q19" s="1263" t="str">
        <f>B19</f>
        <v>办公集聚程度</v>
      </c>
      <c r="R19" s="667" t="s">
        <v>14</v>
      </c>
      <c r="S19" s="668">
        <f>F19</f>
        <v>100</v>
      </c>
      <c r="T19" s="667" t="s">
        <v>14</v>
      </c>
      <c r="U19" s="668">
        <f>H19</f>
        <v>103</v>
      </c>
      <c r="V19" s="667" t="s">
        <v>14</v>
      </c>
      <c r="W19" s="668">
        <f>J19</f>
        <v>100</v>
      </c>
      <c r="X19" s="1265"/>
      <c r="Y19" s="3354"/>
      <c r="Z19" s="1264" t="str">
        <f>Q19</f>
        <v>办公集聚程度</v>
      </c>
      <c r="AA19" s="1264">
        <f t="shared" si="3"/>
        <v>1</v>
      </c>
      <c r="AB19" s="1264">
        <f t="shared" si="4"/>
        <v>0.970873786407767</v>
      </c>
      <c r="AC19" s="1264">
        <f t="shared" si="5"/>
        <v>1</v>
      </c>
    </row>
    <row r="20" spans="1:29" ht="15">
      <c r="A20" s="367"/>
      <c r="B20" s="395"/>
      <c r="C20" s="386" t="s">
        <v>3459</v>
      </c>
      <c r="D20" s="387"/>
      <c r="E20" s="1752" t="s">
        <v>3459</v>
      </c>
      <c r="F20" s="387"/>
      <c r="G20" s="1752" t="s">
        <v>3460</v>
      </c>
      <c r="H20" s="387"/>
      <c r="I20" s="1751" t="s">
        <v>3459</v>
      </c>
      <c r="J20" s="387"/>
      <c r="K20" s="592"/>
      <c r="L20" s="2492"/>
      <c r="M20" s="2487"/>
      <c r="N20" s="2487"/>
      <c r="O20" s="2542"/>
      <c r="P20" s="3354"/>
      <c r="Q20" s="1263"/>
      <c r="R20" s="667"/>
      <c r="S20" s="668"/>
      <c r="T20" s="667"/>
      <c r="U20" s="668"/>
      <c r="V20" s="667"/>
      <c r="W20" s="668"/>
      <c r="X20" s="1265"/>
      <c r="Y20" s="3354"/>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100</v>
      </c>
      <c r="G21" s="391"/>
      <c r="H21" s="389">
        <f>SUMIF(93:93,G22,94:94)-SUMIF(93:93,C22,94:94)+100</f>
        <v>102</v>
      </c>
      <c r="I21" s="393"/>
      <c r="J21" s="389">
        <f>SUMIF(93:93,I22,94:94)-SUMIF(93:93,C22,94:94)+100</f>
        <v>100</v>
      </c>
      <c r="K21" s="593">
        <v>2</v>
      </c>
      <c r="L21" s="2492"/>
      <c r="M21" s="2487"/>
      <c r="N21" s="2487"/>
      <c r="O21" s="2542"/>
      <c r="P21" s="3354"/>
      <c r="Q21" s="1263" t="str">
        <f>B21</f>
        <v>交通便捷度</v>
      </c>
      <c r="R21" s="667" t="s">
        <v>14</v>
      </c>
      <c r="S21" s="668">
        <f>F21</f>
        <v>100</v>
      </c>
      <c r="T21" s="667" t="s">
        <v>14</v>
      </c>
      <c r="U21" s="668">
        <f>H21</f>
        <v>102</v>
      </c>
      <c r="V21" s="667" t="s">
        <v>14</v>
      </c>
      <c r="W21" s="668">
        <f>J21</f>
        <v>100</v>
      </c>
      <c r="X21" s="1265"/>
      <c r="Y21" s="3354"/>
      <c r="Z21" s="1264" t="str">
        <f>Q21</f>
        <v>交通便捷度</v>
      </c>
      <c r="AA21" s="1264">
        <f t="shared" si="3"/>
        <v>1</v>
      </c>
      <c r="AB21" s="1264">
        <f t="shared" si="4"/>
        <v>0.98039215686274506</v>
      </c>
      <c r="AC21" s="1264">
        <f t="shared" si="5"/>
        <v>1</v>
      </c>
    </row>
    <row r="22" spans="1:29" ht="15">
      <c r="A22" s="367"/>
      <c r="B22" s="586"/>
      <c r="C22" s="386" t="s">
        <v>3459</v>
      </c>
      <c r="D22" s="389"/>
      <c r="E22" s="1752" t="s">
        <v>3459</v>
      </c>
      <c r="F22" s="387"/>
      <c r="G22" s="1752" t="s">
        <v>3460</v>
      </c>
      <c r="H22" s="387"/>
      <c r="I22" s="1751" t="s">
        <v>3459</v>
      </c>
      <c r="J22" s="387"/>
      <c r="K22" s="592"/>
      <c r="L22" s="2492"/>
      <c r="M22" s="2487"/>
      <c r="N22" s="2487"/>
      <c r="O22" s="2542"/>
      <c r="P22" s="3354"/>
      <c r="Q22" s="1263"/>
      <c r="R22" s="667"/>
      <c r="S22" s="668"/>
      <c r="T22" s="667"/>
      <c r="U22" s="668"/>
      <c r="V22" s="667"/>
      <c r="W22" s="668"/>
      <c r="X22" s="1265"/>
      <c r="Y22" s="3354"/>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2"/>
      <c r="M23" s="2487"/>
      <c r="N23" s="2487"/>
      <c r="O23" s="2542"/>
      <c r="P23" s="3354"/>
      <c r="Q23" s="1263" t="str">
        <f t="shared" ref="Q23:Q37" si="8">B23</f>
        <v>区域土地利用方向</v>
      </c>
      <c r="R23" s="667" t="s">
        <v>14</v>
      </c>
      <c r="S23" s="668">
        <f>F23</f>
        <v>100</v>
      </c>
      <c r="T23" s="667" t="s">
        <v>14</v>
      </c>
      <c r="U23" s="668">
        <f>H23</f>
        <v>100</v>
      </c>
      <c r="V23" s="667" t="s">
        <v>14</v>
      </c>
      <c r="W23" s="668">
        <f>J23</f>
        <v>100</v>
      </c>
      <c r="X23" s="1265"/>
      <c r="Y23" s="3354"/>
      <c r="Z23" s="1264" t="str">
        <f>Q23</f>
        <v>区域土地利用方向</v>
      </c>
      <c r="AA23" s="1264">
        <f t="shared" si="3"/>
        <v>1</v>
      </c>
      <c r="AB23" s="1264">
        <f t="shared" si="4"/>
        <v>1</v>
      </c>
      <c r="AC23" s="1264">
        <f t="shared" si="5"/>
        <v>1</v>
      </c>
    </row>
    <row r="24" spans="1:29" ht="15">
      <c r="A24" s="348"/>
      <c r="B24" s="395"/>
      <c r="C24" s="542" t="s">
        <v>3460</v>
      </c>
      <c r="D24" s="387"/>
      <c r="E24" s="1752" t="s">
        <v>3460</v>
      </c>
      <c r="F24" s="387"/>
      <c r="G24" s="1751" t="s">
        <v>3460</v>
      </c>
      <c r="H24" s="387"/>
      <c r="I24" s="1751" t="s">
        <v>3460</v>
      </c>
      <c r="J24" s="387"/>
      <c r="K24" s="698"/>
      <c r="L24" s="2492"/>
      <c r="M24" s="2487"/>
      <c r="N24" s="2487"/>
      <c r="O24" s="2542"/>
      <c r="P24" s="3354"/>
      <c r="Q24" s="1263"/>
      <c r="R24" s="667"/>
      <c r="S24" s="668"/>
      <c r="T24" s="667"/>
      <c r="U24" s="668"/>
      <c r="V24" s="667"/>
      <c r="W24" s="668"/>
      <c r="X24" s="1265"/>
      <c r="Y24" s="3354"/>
      <c r="Z24" s="1264"/>
      <c r="AA24" s="1264"/>
      <c r="AB24" s="1264"/>
      <c r="AC24" s="1264"/>
    </row>
    <row r="25" spans="1:29" ht="27">
      <c r="A25" s="348"/>
      <c r="B25" s="586" t="s">
        <v>1871</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v>2</v>
      </c>
      <c r="L25" s="2492"/>
      <c r="M25" s="2487"/>
      <c r="N25" s="2487"/>
      <c r="O25" s="2542"/>
      <c r="P25" s="3354"/>
      <c r="Q25" s="1263" t="str">
        <f t="shared" si="8"/>
        <v>自然及人文环境状况</v>
      </c>
      <c r="R25" s="667" t="s">
        <v>14</v>
      </c>
      <c r="S25" s="668">
        <f>F25</f>
        <v>100</v>
      </c>
      <c r="T25" s="667" t="s">
        <v>14</v>
      </c>
      <c r="U25" s="668">
        <f>H25</f>
        <v>100</v>
      </c>
      <c r="V25" s="667" t="s">
        <v>14</v>
      </c>
      <c r="W25" s="668">
        <f>J25</f>
        <v>100</v>
      </c>
      <c r="X25" s="1265"/>
      <c r="Y25" s="3354"/>
      <c r="Z25" s="1264" t="str">
        <f>Q25</f>
        <v>自然及人文环境状况</v>
      </c>
      <c r="AA25" s="1264">
        <f t="shared" si="3"/>
        <v>1</v>
      </c>
      <c r="AB25" s="1264">
        <f t="shared" si="4"/>
        <v>1</v>
      </c>
      <c r="AC25" s="1264">
        <f t="shared" si="5"/>
        <v>1</v>
      </c>
    </row>
    <row r="26" spans="1:29" ht="15">
      <c r="A26" s="348"/>
      <c r="B26" s="395"/>
      <c r="C26" s="386" t="s">
        <v>3459</v>
      </c>
      <c r="D26" s="387"/>
      <c r="E26" s="1758" t="s">
        <v>3459</v>
      </c>
      <c r="F26" s="387"/>
      <c r="G26" s="1758" t="s">
        <v>3459</v>
      </c>
      <c r="H26" s="387"/>
      <c r="I26" s="386" t="s">
        <v>3459</v>
      </c>
      <c r="J26" s="387"/>
      <c r="K26" s="592"/>
      <c r="L26" s="2492"/>
      <c r="M26" s="2487"/>
      <c r="N26" s="2487"/>
      <c r="O26" s="2542"/>
      <c r="P26" s="3354"/>
      <c r="Q26" s="1263"/>
      <c r="R26" s="667"/>
      <c r="S26" s="668"/>
      <c r="T26" s="667"/>
      <c r="U26" s="668"/>
      <c r="V26" s="667"/>
      <c r="W26" s="668"/>
      <c r="X26" s="1265"/>
      <c r="Y26" s="3354"/>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8"/>
      <c r="M27" s="2439"/>
      <c r="N27" s="2439"/>
      <c r="O27" s="2540"/>
      <c r="P27" s="3354"/>
      <c r="Q27" s="530" t="str">
        <f t="shared" si="8"/>
        <v>公共配套设施</v>
      </c>
      <c r="R27" s="664" t="s">
        <v>14</v>
      </c>
      <c r="S27" s="665">
        <f>F27</f>
        <v>100</v>
      </c>
      <c r="T27" s="664" t="s">
        <v>14</v>
      </c>
      <c r="U27" s="665">
        <f>H27</f>
        <v>100</v>
      </c>
      <c r="V27" s="664" t="s">
        <v>14</v>
      </c>
      <c r="W27" s="665">
        <f>J27</f>
        <v>100</v>
      </c>
      <c r="X27" s="666"/>
      <c r="Y27" s="3354"/>
      <c r="Z27" s="50" t="str">
        <f>Q27</f>
        <v>公共配套设施</v>
      </c>
      <c r="AA27" s="1264">
        <f>D27/F27</f>
        <v>1</v>
      </c>
      <c r="AB27" s="1264">
        <f>D27/H27</f>
        <v>1</v>
      </c>
      <c r="AC27" s="1264">
        <f>D27/J27</f>
        <v>1</v>
      </c>
    </row>
    <row r="28" spans="1:29" s="102" customFormat="1" ht="15">
      <c r="A28" s="443"/>
      <c r="B28" s="395"/>
      <c r="C28" s="1826" t="s">
        <v>3460</v>
      </c>
      <c r="D28" s="387"/>
      <c r="E28" s="1758" t="s">
        <v>3460</v>
      </c>
      <c r="F28" s="387"/>
      <c r="G28" s="1758" t="s">
        <v>3460</v>
      </c>
      <c r="H28" s="387"/>
      <c r="I28" s="386" t="s">
        <v>3460</v>
      </c>
      <c r="J28" s="387"/>
      <c r="K28" s="592"/>
      <c r="L28" s="2488"/>
      <c r="M28" s="2439"/>
      <c r="N28" s="2439"/>
      <c r="O28" s="2540"/>
      <c r="P28" s="3354"/>
      <c r="Q28" s="530"/>
      <c r="R28" s="664"/>
      <c r="S28" s="665"/>
      <c r="T28" s="664"/>
      <c r="U28" s="665"/>
      <c r="V28" s="664"/>
      <c r="W28" s="665"/>
      <c r="X28" s="666"/>
      <c r="Y28" s="3354"/>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8"/>
      <c r="M29" s="2439"/>
      <c r="N29" s="2439"/>
      <c r="O29" s="2540"/>
      <c r="P29" s="3354"/>
      <c r="Q29" s="530" t="str">
        <f t="shared" ref="Q29" si="9">B29</f>
        <v>基础设施水平</v>
      </c>
      <c r="R29" s="664" t="s">
        <v>14</v>
      </c>
      <c r="S29" s="665">
        <f>F29</f>
        <v>100</v>
      </c>
      <c r="T29" s="664" t="s">
        <v>14</v>
      </c>
      <c r="U29" s="665">
        <f>H29</f>
        <v>100</v>
      </c>
      <c r="V29" s="664" t="s">
        <v>14</v>
      </c>
      <c r="W29" s="665">
        <f>J29</f>
        <v>100</v>
      </c>
      <c r="X29" s="666"/>
      <c r="Y29" s="3354"/>
      <c r="Z29" s="50" t="str">
        <f>Q29</f>
        <v>基础设施水平</v>
      </c>
      <c r="AA29" s="1264">
        <f>D29/F29</f>
        <v>1</v>
      </c>
      <c r="AB29" s="1264">
        <f>D29/H29</f>
        <v>1</v>
      </c>
      <c r="AC29" s="1264">
        <f>D29/J29</f>
        <v>1</v>
      </c>
    </row>
    <row r="30" spans="1:29" s="102" customFormat="1" ht="15">
      <c r="A30" s="443"/>
      <c r="B30" s="395"/>
      <c r="C30" s="1826" t="s">
        <v>3461</v>
      </c>
      <c r="D30" s="387"/>
      <c r="E30" s="1827" t="s">
        <v>3461</v>
      </c>
      <c r="F30" s="387"/>
      <c r="G30" s="1827" t="s">
        <v>3461</v>
      </c>
      <c r="H30" s="387"/>
      <c r="I30" s="1827" t="s">
        <v>3461</v>
      </c>
      <c r="J30" s="387"/>
      <c r="K30" s="592"/>
      <c r="L30" s="2488"/>
      <c r="M30" s="2439"/>
      <c r="N30" s="2439"/>
      <c r="O30" s="2540"/>
      <c r="P30" s="3354"/>
      <c r="Q30" s="530"/>
      <c r="R30" s="664"/>
      <c r="S30" s="665"/>
      <c r="T30" s="664"/>
      <c r="U30" s="665"/>
      <c r="V30" s="664"/>
      <c r="W30" s="665"/>
      <c r="X30" s="666"/>
      <c r="Y30" s="335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4"/>
      <c r="Q32" s="1263" t="str">
        <f t="shared" si="8"/>
        <v>毗邻道路的类型与等级</v>
      </c>
      <c r="R32" s="667" t="s">
        <v>14</v>
      </c>
      <c r="S32" s="668">
        <f t="shared" si="10"/>
        <v>100</v>
      </c>
      <c r="T32" s="667" t="s">
        <v>14</v>
      </c>
      <c r="U32" s="668">
        <f t="shared" si="11"/>
        <v>100</v>
      </c>
      <c r="V32" s="667" t="s">
        <v>14</v>
      </c>
      <c r="W32" s="668">
        <f t="shared" si="12"/>
        <v>100</v>
      </c>
      <c r="X32" s="1265"/>
      <c r="Y32" s="335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54"/>
      <c r="Q33" s="1263"/>
      <c r="R33" s="667"/>
      <c r="S33" s="668"/>
      <c r="T33" s="667"/>
      <c r="U33" s="668"/>
      <c r="V33" s="667"/>
      <c r="W33" s="668"/>
      <c r="X33" s="1265"/>
      <c r="Y33" s="3354"/>
      <c r="Z33" s="1264"/>
      <c r="AA33" s="1264">
        <v>1</v>
      </c>
      <c r="AB33" s="1264">
        <v>1</v>
      </c>
      <c r="AC33" s="1264">
        <v>1</v>
      </c>
    </row>
    <row r="34" spans="1:29" ht="15">
      <c r="A34" s="367"/>
      <c r="B34" s="364" t="s">
        <v>1872</v>
      </c>
      <c r="C34" s="542" t="s">
        <v>29</v>
      </c>
      <c r="D34" s="374">
        <v>100</v>
      </c>
      <c r="E34" s="558" t="s">
        <v>29</v>
      </c>
      <c r="F34" s="374">
        <f>SUMIF(107:107,E34,108:108)-SUMIF(107:107,C34,108:108)+100</f>
        <v>100</v>
      </c>
      <c r="G34" s="558" t="s">
        <v>29</v>
      </c>
      <c r="H34" s="374">
        <f>SUMIF(107:107,G34,108:108)-SUMIF(107:107,C34,108:108)+100</f>
        <v>100</v>
      </c>
      <c r="I34" s="542" t="s">
        <v>29</v>
      </c>
      <c r="J34" s="374">
        <f>SUMIF(107:107,I34,108:108)-SUMIF(107:107,C34,108:108)+100</f>
        <v>100</v>
      </c>
      <c r="K34" s="538">
        <v>1</v>
      </c>
      <c r="L34" s="2492"/>
      <c r="M34" s="2487"/>
      <c r="N34" s="2487"/>
      <c r="O34" s="2542"/>
      <c r="P34" s="3354"/>
      <c r="Q34" s="1263" t="str">
        <f t="shared" si="8"/>
        <v>土地级别</v>
      </c>
      <c r="R34" s="667" t="s">
        <v>14</v>
      </c>
      <c r="S34" s="668">
        <f t="shared" si="10"/>
        <v>100</v>
      </c>
      <c r="T34" s="667" t="s">
        <v>14</v>
      </c>
      <c r="U34" s="668">
        <f t="shared" si="11"/>
        <v>100</v>
      </c>
      <c r="V34" s="667" t="s">
        <v>14</v>
      </c>
      <c r="W34" s="668">
        <f t="shared" si="12"/>
        <v>100</v>
      </c>
      <c r="X34" s="1265"/>
      <c r="Y34" s="335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4"/>
      <c r="Q35" s="1263">
        <f t="shared" si="8"/>
        <v>111</v>
      </c>
      <c r="R35" s="667" t="s">
        <v>14</v>
      </c>
      <c r="S35" s="668">
        <f t="shared" si="10"/>
        <v>100</v>
      </c>
      <c r="T35" s="667" t="s">
        <v>14</v>
      </c>
      <c r="U35" s="668">
        <f t="shared" si="11"/>
        <v>100</v>
      </c>
      <c r="V35" s="667" t="s">
        <v>14</v>
      </c>
      <c r="W35" s="668">
        <f t="shared" si="12"/>
        <v>100</v>
      </c>
      <c r="X35" s="1265"/>
      <c r="Y35" s="335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5" t="s">
        <v>1696</v>
      </c>
      <c r="Q36" s="1263">
        <f t="shared" si="8"/>
        <v>111</v>
      </c>
      <c r="R36" s="667" t="s">
        <v>14</v>
      </c>
      <c r="S36" s="668">
        <f t="shared" si="10"/>
        <v>100</v>
      </c>
      <c r="T36" s="667" t="s">
        <v>14</v>
      </c>
      <c r="U36" s="668">
        <f t="shared" si="11"/>
        <v>100</v>
      </c>
      <c r="V36" s="667" t="s">
        <v>14</v>
      </c>
      <c r="W36" s="668">
        <f t="shared" si="12"/>
        <v>100</v>
      </c>
      <c r="X36" s="1265"/>
      <c r="Y36" s="335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6"/>
      <c r="Q37" s="1263">
        <f t="shared" si="8"/>
        <v>111</v>
      </c>
      <c r="R37" s="669" t="s">
        <v>14</v>
      </c>
      <c r="S37" s="670">
        <f t="shared" si="10"/>
        <v>100</v>
      </c>
      <c r="T37" s="669" t="s">
        <v>14</v>
      </c>
      <c r="U37" s="670">
        <f t="shared" si="11"/>
        <v>100</v>
      </c>
      <c r="V37" s="669" t="s">
        <v>14</v>
      </c>
      <c r="W37" s="670">
        <f t="shared" si="12"/>
        <v>100</v>
      </c>
      <c r="X37" s="671"/>
      <c r="Y37" s="3356"/>
      <c r="Z37" s="672">
        <f t="shared" si="13"/>
        <v>111</v>
      </c>
      <c r="AA37" s="1264">
        <f t="shared" si="3"/>
        <v>1</v>
      </c>
      <c r="AB37" s="1264">
        <f t="shared" si="4"/>
        <v>1</v>
      </c>
      <c r="AC37" s="1264">
        <f t="shared" si="5"/>
        <v>1</v>
      </c>
    </row>
    <row r="38" spans="1:29" ht="15">
      <c r="A38" s="409" t="s">
        <v>1694</v>
      </c>
      <c r="B38" s="395" t="s">
        <v>1873</v>
      </c>
      <c r="C38" s="599">
        <v>7731.92</v>
      </c>
      <c r="D38" s="405">
        <v>100</v>
      </c>
      <c r="E38" s="599">
        <f>土地案例!E2</f>
        <v>12136.3</v>
      </c>
      <c r="F38" s="405">
        <f>LOOKUP(E38,116:116,117:117)-LOOKUP(C38,116:116,117:117)+100</f>
        <v>100</v>
      </c>
      <c r="G38" s="599">
        <f>土地案例!E3</f>
        <v>28676.63</v>
      </c>
      <c r="H38" s="405">
        <f>LOOKUP(G38,116:116,117:117)-LOOKUP(C38,116:116,117:117)+100</f>
        <v>102</v>
      </c>
      <c r="I38" s="462">
        <f>土地案例!E4</f>
        <v>30159.25</v>
      </c>
      <c r="J38" s="405">
        <f>LOOKUP(I38,116:116,117:117)-LOOKUP(C38,116:116,117:117)+100</f>
        <v>102</v>
      </c>
      <c r="K38" s="539"/>
      <c r="L38" s="2492"/>
      <c r="M38" s="2487"/>
      <c r="N38" s="2487"/>
      <c r="O38" s="2542"/>
      <c r="P38" s="3356"/>
      <c r="Q38" s="1263" t="str">
        <f>B38</f>
        <v>宗地面积</v>
      </c>
      <c r="R38" s="667" t="s">
        <v>14</v>
      </c>
      <c r="S38" s="668">
        <f t="shared" si="10"/>
        <v>100</v>
      </c>
      <c r="T38" s="667" t="s">
        <v>14</v>
      </c>
      <c r="U38" s="668">
        <f t="shared" si="11"/>
        <v>102</v>
      </c>
      <c r="V38" s="667" t="s">
        <v>14</v>
      </c>
      <c r="W38" s="668">
        <f t="shared" si="12"/>
        <v>102</v>
      </c>
      <c r="X38" s="1265"/>
      <c r="Y38" s="3356"/>
      <c r="Z38" s="1264" t="str">
        <f t="shared" si="13"/>
        <v>宗地面积</v>
      </c>
      <c r="AA38" s="1264">
        <f t="shared" si="3"/>
        <v>1</v>
      </c>
      <c r="AB38" s="1264">
        <f t="shared" si="4"/>
        <v>0.98039215686274506</v>
      </c>
      <c r="AC38" s="1264">
        <f t="shared" si="5"/>
        <v>0.98039215686274506</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56"/>
      <c r="Q39" s="1263" t="str">
        <f t="shared" ref="Q39:Q45" si="14">B39</f>
        <v>宗地形状</v>
      </c>
      <c r="R39" s="667" t="s">
        <v>14</v>
      </c>
      <c r="S39" s="668">
        <f t="shared" si="10"/>
        <v>100</v>
      </c>
      <c r="T39" s="667" t="s">
        <v>14</v>
      </c>
      <c r="U39" s="668">
        <f t="shared" si="11"/>
        <v>100</v>
      </c>
      <c r="V39" s="667" t="s">
        <v>14</v>
      </c>
      <c r="W39" s="668">
        <f t="shared" si="12"/>
        <v>100</v>
      </c>
      <c r="X39" s="1265"/>
      <c r="Y39" s="3356"/>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56"/>
      <c r="Q40" s="1263" t="str">
        <f t="shared" si="14"/>
        <v>临街宽度及深度</v>
      </c>
      <c r="R40" s="667" t="s">
        <v>14</v>
      </c>
      <c r="S40" s="668">
        <f t="shared" si="10"/>
        <v>100</v>
      </c>
      <c r="T40" s="667" t="s">
        <v>14</v>
      </c>
      <c r="U40" s="668">
        <f t="shared" si="11"/>
        <v>100</v>
      </c>
      <c r="V40" s="667" t="s">
        <v>14</v>
      </c>
      <c r="W40" s="668">
        <f t="shared" si="12"/>
        <v>100</v>
      </c>
      <c r="X40" s="1265"/>
      <c r="Y40" s="3356"/>
      <c r="Z40" s="1264" t="str">
        <f t="shared" si="13"/>
        <v>临街宽度及深度</v>
      </c>
      <c r="AA40" s="1264">
        <f t="shared" si="3"/>
        <v>1</v>
      </c>
      <c r="AB40" s="1264">
        <f t="shared" si="4"/>
        <v>1</v>
      </c>
      <c r="AC40" s="1264">
        <f t="shared" si="5"/>
        <v>1</v>
      </c>
    </row>
    <row r="41" spans="1:29" s="102" customFormat="1" ht="15">
      <c r="A41" s="410"/>
      <c r="B41" s="364" t="s">
        <v>1876</v>
      </c>
      <c r="C41" s="1828" t="s">
        <v>3461</v>
      </c>
      <c r="D41" s="119">
        <v>100</v>
      </c>
      <c r="E41" s="1828" t="s">
        <v>3466</v>
      </c>
      <c r="F41" s="374">
        <f>SUMIF(122:122,E41,123:123)-SUMIF(122:122,C41,123:123)+100</f>
        <v>99.5</v>
      </c>
      <c r="G41" s="1828" t="s">
        <v>3471</v>
      </c>
      <c r="H41" s="374">
        <f>SUMIF(122:122,G41,123:123)-SUMIF(122:122,C41,123:123)+100</f>
        <v>97.5</v>
      </c>
      <c r="I41" s="1828" t="s">
        <v>3466</v>
      </c>
      <c r="J41" s="374">
        <f>SUMIF(122:122,I41,123:123)-SUMIF(122:122,C41,123:123)+100</f>
        <v>99.5</v>
      </c>
      <c r="K41" s="538">
        <v>0.5</v>
      </c>
      <c r="L41" s="2488"/>
      <c r="M41" s="2439"/>
      <c r="N41" s="2439"/>
      <c r="O41" s="2540"/>
      <c r="P41" s="3356"/>
      <c r="Q41" s="1263" t="str">
        <f t="shared" si="14"/>
        <v>宗地开发程度</v>
      </c>
      <c r="R41" s="664" t="s">
        <v>14</v>
      </c>
      <c r="S41" s="665">
        <f t="shared" si="10"/>
        <v>99.5</v>
      </c>
      <c r="T41" s="664" t="s">
        <v>14</v>
      </c>
      <c r="U41" s="665">
        <f t="shared" si="11"/>
        <v>97.5</v>
      </c>
      <c r="V41" s="664" t="s">
        <v>14</v>
      </c>
      <c r="W41" s="665">
        <f t="shared" si="12"/>
        <v>99.5</v>
      </c>
      <c r="X41" s="666"/>
      <c r="Y41" s="3356"/>
      <c r="Z41" s="50" t="str">
        <f t="shared" si="13"/>
        <v>宗地开发程度</v>
      </c>
      <c r="AA41" s="50">
        <f t="shared" si="3"/>
        <v>1.0050251256281406</v>
      </c>
      <c r="AB41" s="50">
        <f t="shared" si="4"/>
        <v>1.0256410256410255</v>
      </c>
      <c r="AC41" s="50">
        <f t="shared" si="5"/>
        <v>1.0050251256281406</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56" t="s">
        <v>1696</v>
      </c>
      <c r="Q42" s="1263" t="str">
        <f t="shared" si="14"/>
        <v>工程地质条件</v>
      </c>
      <c r="R42" s="667" t="s">
        <v>14</v>
      </c>
      <c r="S42" s="668">
        <f t="shared" si="10"/>
        <v>100</v>
      </c>
      <c r="T42" s="667" t="s">
        <v>14</v>
      </c>
      <c r="U42" s="668">
        <f t="shared" si="11"/>
        <v>100</v>
      </c>
      <c r="V42" s="667" t="s">
        <v>14</v>
      </c>
      <c r="W42" s="668">
        <f t="shared" si="12"/>
        <v>100</v>
      </c>
      <c r="X42" s="1265"/>
      <c r="Y42" s="335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6"/>
      <c r="Q43" s="1263">
        <f t="shared" si="14"/>
        <v>111</v>
      </c>
      <c r="R43" s="667" t="s">
        <v>14</v>
      </c>
      <c r="S43" s="668">
        <f t="shared" si="10"/>
        <v>100</v>
      </c>
      <c r="T43" s="667" t="s">
        <v>14</v>
      </c>
      <c r="U43" s="668">
        <f t="shared" si="11"/>
        <v>100</v>
      </c>
      <c r="V43" s="667" t="s">
        <v>14</v>
      </c>
      <c r="W43" s="668">
        <f t="shared" si="12"/>
        <v>100</v>
      </c>
      <c r="X43" s="1265"/>
      <c r="Y43" s="33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6"/>
      <c r="Q44" s="1263">
        <f t="shared" si="14"/>
        <v>111</v>
      </c>
      <c r="R44" s="667" t="s">
        <v>14</v>
      </c>
      <c r="S44" s="668">
        <f t="shared" si="10"/>
        <v>100</v>
      </c>
      <c r="T44" s="667" t="s">
        <v>14</v>
      </c>
      <c r="U44" s="668">
        <f t="shared" si="11"/>
        <v>100</v>
      </c>
      <c r="V44" s="667" t="s">
        <v>14</v>
      </c>
      <c r="W44" s="668">
        <f t="shared" si="12"/>
        <v>100</v>
      </c>
      <c r="X44" s="1265"/>
      <c r="Y44" s="33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6"/>
      <c r="Q45" s="1263">
        <f t="shared" si="14"/>
        <v>111</v>
      </c>
      <c r="R45" s="669" t="s">
        <v>14</v>
      </c>
      <c r="S45" s="670">
        <f t="shared" si="10"/>
        <v>100</v>
      </c>
      <c r="T45" s="669" t="s">
        <v>14</v>
      </c>
      <c r="U45" s="670">
        <f t="shared" si="11"/>
        <v>100</v>
      </c>
      <c r="V45" s="669" t="s">
        <v>14</v>
      </c>
      <c r="W45" s="670">
        <f t="shared" si="12"/>
        <v>100</v>
      </c>
      <c r="X45" s="671"/>
      <c r="Y45" s="3356"/>
      <c r="Z45" s="672">
        <f t="shared" si="13"/>
        <v>111</v>
      </c>
      <c r="AA45" s="1264">
        <f t="shared" si="3"/>
        <v>1</v>
      </c>
      <c r="AB45" s="1264">
        <f t="shared" si="4"/>
        <v>1</v>
      </c>
      <c r="AC45" s="1264">
        <f t="shared" si="5"/>
        <v>1</v>
      </c>
    </row>
    <row r="46" spans="1:29" ht="15">
      <c r="A46" s="416" t="s">
        <v>1844</v>
      </c>
      <c r="B46" s="1830" t="s">
        <v>1878</v>
      </c>
      <c r="C46" s="602" t="s">
        <v>0</v>
      </c>
      <c r="D46" s="418"/>
      <c r="E46" s="419">
        <f>土地案例!T2</f>
        <v>16715</v>
      </c>
      <c r="F46" s="420"/>
      <c r="G46" s="421">
        <f>土地案例!T3</f>
        <v>15300</v>
      </c>
      <c r="H46" s="422"/>
      <c r="I46" s="419">
        <f>土地案例!T4</f>
        <v>16623</v>
      </c>
      <c r="J46" s="422"/>
      <c r="K46" s="674"/>
      <c r="L46" s="2494"/>
      <c r="M46" s="2487"/>
      <c r="N46" s="2487"/>
      <c r="O46" s="2487"/>
      <c r="P46" s="3352" t="str">
        <f>A46</f>
        <v>成交单价</v>
      </c>
      <c r="Q46" s="3352"/>
      <c r="R46" s="3357">
        <f>E46</f>
        <v>16715</v>
      </c>
      <c r="S46" s="3357"/>
      <c r="T46" s="3357">
        <f>G46</f>
        <v>15300</v>
      </c>
      <c r="U46" s="3357"/>
      <c r="V46" s="3357">
        <f>I46</f>
        <v>16623</v>
      </c>
      <c r="W46" s="3357"/>
      <c r="X46" s="385"/>
      <c r="Y46" s="673"/>
      <c r="Z46" s="385"/>
      <c r="AA46" s="385"/>
      <c r="AB46" s="385"/>
      <c r="AC46" s="385"/>
    </row>
    <row r="47" spans="1:29" ht="15.75" thickBot="1">
      <c r="A47" s="423" t="s">
        <v>1793</v>
      </c>
      <c r="B47" s="603"/>
      <c r="C47" s="426">
        <f>R48</f>
        <v>10315</v>
      </c>
      <c r="D47" s="2141" t="s">
        <v>2136</v>
      </c>
      <c r="E47" s="426">
        <f>R47</f>
        <v>10734</v>
      </c>
      <c r="F47" s="2142"/>
      <c r="G47" s="425">
        <f>T47</f>
        <v>9540</v>
      </c>
      <c r="H47" s="2142"/>
      <c r="I47" s="426">
        <f>V47</f>
        <v>10671</v>
      </c>
      <c r="J47" s="2142"/>
      <c r="K47" s="2144">
        <f>F47+H47+J47</f>
        <v>0</v>
      </c>
      <c r="L47" s="2494"/>
      <c r="M47" s="2487"/>
      <c r="N47" s="2487"/>
      <c r="O47" s="2487"/>
      <c r="P47" s="3352" t="str">
        <f>A47</f>
        <v>比较价值（元/平方米）</v>
      </c>
      <c r="Q47" s="3352"/>
      <c r="R47" s="3345">
        <f>ROUND(PRODUCT(R46,AA7:AA45),0)</f>
        <v>10734</v>
      </c>
      <c r="S47" s="3345"/>
      <c r="T47" s="3345">
        <f>ROUND(PRODUCT(T46,AB7:AB45),0)</f>
        <v>9540</v>
      </c>
      <c r="U47" s="3345"/>
      <c r="V47" s="3345">
        <f>ROUND(PRODUCT(V46,AC7:AC45),0)</f>
        <v>10671</v>
      </c>
      <c r="W47" s="3345"/>
      <c r="X47" s="385"/>
      <c r="Y47" s="385"/>
      <c r="Z47" s="385"/>
      <c r="AA47" s="385"/>
      <c r="AB47" s="385"/>
      <c r="AC47" s="385"/>
    </row>
    <row r="48" spans="1:29" ht="15.75" thickBot="1">
      <c r="A48" s="427" t="s">
        <v>1879</v>
      </c>
      <c r="B48" s="428"/>
      <c r="C48" s="429">
        <f>R48</f>
        <v>10315</v>
      </c>
      <c r="D48" s="429"/>
      <c r="E48" s="429"/>
      <c r="F48" s="429"/>
      <c r="G48" s="429"/>
      <c r="H48" s="429"/>
      <c r="I48" s="429"/>
      <c r="J48" s="429"/>
      <c r="K48" s="675"/>
      <c r="L48" s="2494"/>
      <c r="M48" s="2487"/>
      <c r="N48" s="2487"/>
      <c r="O48" s="2487"/>
      <c r="P48" s="3346" t="str">
        <f>A48</f>
        <v>估价对象XX用房的比较价值（楼面单价，元/平方米）</v>
      </c>
      <c r="Q48" s="3347"/>
      <c r="R48" s="3348">
        <f>ROUND(IF(D47="简单平均",AVERAGE(R47:W47),R47*F47+T47*H47+V47*J47),0)</f>
        <v>10315</v>
      </c>
      <c r="S48" s="3348"/>
      <c r="T48" s="3348"/>
      <c r="U48" s="3348"/>
      <c r="V48" s="3348"/>
      <c r="W48" s="33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0.55720141606111429</v>
      </c>
      <c r="F51" s="435" t="str">
        <f>IF(OR(E51&gt;=0.3,E51&lt;=-0.3),"超过30%","")</f>
        <v>超过30%</v>
      </c>
      <c r="G51" s="434">
        <f>IF(G46&lt;G47,G47/G46-1,G46/G47-1)</f>
        <v>0.60377358490566047</v>
      </c>
      <c r="H51" s="435" t="str">
        <f>IF(OR(G51&gt;=0.3,G51&lt;=-0.3),"超过30%","")</f>
        <v>超过30%</v>
      </c>
      <c r="I51" s="434">
        <f>IF(I46&lt;I47,I47/I46-1,I46/I47-1)</f>
        <v>0.55777340455439983</v>
      </c>
      <c r="J51" s="435" t="str">
        <f>IF(OR(I51&gt;=0.3,I51&lt;=-0.3),"超过30%","")</f>
        <v>超过30%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0.1251572327044026</v>
      </c>
      <c r="F52" s="435" t="str">
        <f>IF(OR(E52&gt;=0.2,E52&lt;=-0.2),"超过20%","")</f>
        <v/>
      </c>
      <c r="G52" s="434">
        <f>IF(G47&lt;I47,I47/G47-1,G47/I47-1)</f>
        <v>0.11855345911949677</v>
      </c>
      <c r="H52" s="435" t="str">
        <f>IF(OR(G52&gt;=0.2,G52&lt;=-0.2),"超过20%","")</f>
        <v/>
      </c>
      <c r="I52" s="434">
        <f>IF(I47&lt;E47,E47/I47-1,I47/E47-1)</f>
        <v>5.9038515603035968E-3</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9.2483660130718848E-2</v>
      </c>
      <c r="F53" s="435" t="str">
        <f>IF(OR(E53&gt;=0.3,E53&lt;=-0.3),"超过30%","")</f>
        <v/>
      </c>
      <c r="G53" s="434">
        <f>IF(G46&lt;I46,I46/G46-1,G46/I46-1)</f>
        <v>8.6470588235294077E-2</v>
      </c>
      <c r="H53" s="435" t="str">
        <f>IF(OR(G53&gt;=0.3,G53&lt;=-0.3),"超过30%","")</f>
        <v/>
      </c>
      <c r="I53" s="434">
        <f>IF(I46&lt;E46,E46/I46-1,I46/E46-1)</f>
        <v>5.5345003910245438E-3</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349" t="s">
        <v>1886</v>
      </c>
      <c r="H55" s="3350"/>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f>C48</f>
        <v>10315</v>
      </c>
      <c r="C56" s="610">
        <v>1</v>
      </c>
      <c r="D56" s="890">
        <v>1</v>
      </c>
      <c r="E56" s="610">
        <f>'数据-汇总表'!E8+'数据-汇总表'!E9</f>
        <v>32206.960000000006</v>
      </c>
      <c r="F56" s="833">
        <f t="shared" ref="F56:F64" si="15">ROUND(B56*E56/10000,0)</f>
        <v>33221</v>
      </c>
      <c r="G56" s="3351"/>
      <c r="H56" s="335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f>ROUND($C$48*C57*D57,0)</f>
        <v>0</v>
      </c>
      <c r="C57" s="163">
        <f t="shared" ref="C57:C64" si="16">IF($C$55="北京市系数",I57,J57)</f>
        <v>0</v>
      </c>
      <c r="D57" s="891">
        <v>0.25</v>
      </c>
      <c r="E57" s="614"/>
      <c r="F57" s="833">
        <f t="shared" si="15"/>
        <v>0</v>
      </c>
      <c r="G57" s="2750"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f t="shared" ref="B58:B64" si="17">ROUND($C$48*C58*D58,0)</f>
        <v>0</v>
      </c>
      <c r="C58" s="163">
        <f t="shared" si="16"/>
        <v>0</v>
      </c>
      <c r="D58" s="891">
        <v>0.25</v>
      </c>
      <c r="E58" s="614"/>
      <c r="F58" s="833">
        <f t="shared" si="15"/>
        <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f t="shared" si="17"/>
        <v>0</v>
      </c>
      <c r="C59" s="163">
        <f t="shared" si="16"/>
        <v>0</v>
      </c>
      <c r="D59" s="891">
        <v>0.25</v>
      </c>
      <c r="E59" s="614"/>
      <c r="F59" s="833">
        <f t="shared" si="15"/>
        <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f t="shared" si="17"/>
        <v>645</v>
      </c>
      <c r="C60" s="163">
        <f t="shared" si="16"/>
        <v>0.25</v>
      </c>
      <c r="D60" s="891">
        <v>0.25</v>
      </c>
      <c r="E60" s="209">
        <f>'数据-汇总表'!E11</f>
        <v>0</v>
      </c>
      <c r="F60" s="833">
        <f t="shared" si="15"/>
        <v>0</v>
      </c>
      <c r="G60" s="1835" t="s">
        <v>1895</v>
      </c>
      <c r="H60" s="834" t="str">
        <f>项目基本情况!C37</f>
        <v>六级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f t="shared" si="17"/>
        <v>645</v>
      </c>
      <c r="C61" s="163">
        <f t="shared" si="16"/>
        <v>0.25</v>
      </c>
      <c r="D61" s="891">
        <v>0.25</v>
      </c>
      <c r="E61" s="209">
        <f>'数据-汇总表'!E12</f>
        <v>0</v>
      </c>
      <c r="F61" s="833">
        <f t="shared" si="15"/>
        <v>0</v>
      </c>
      <c r="G61" s="839" t="s">
        <v>1897</v>
      </c>
      <c r="H61" s="834" t="str">
        <f>IF(G61="商业",项目基本情况!B37,IF(G61="办公",项目基本情况!C37,IF(G61="住宅",项目基本情况!D37,项目基本情况!E37)))</f>
        <v>六级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f t="shared" si="17"/>
        <v>387</v>
      </c>
      <c r="C62" s="163">
        <f t="shared" si="16"/>
        <v>0.15</v>
      </c>
      <c r="D62" s="891">
        <v>0.25</v>
      </c>
      <c r="E62" s="209">
        <f>'数据-汇总表'!E13</f>
        <v>7219.03</v>
      </c>
      <c r="F62" s="833">
        <f t="shared" si="15"/>
        <v>279</v>
      </c>
      <c r="G62" s="839" t="s">
        <v>1899</v>
      </c>
      <c r="H62" s="834" t="str">
        <f>IF(G62="商业",项目基本情况!B37,IF(G62="办公",项目基本情况!C37,IF(G62="住宅",项目基本情况!D37,项目基本情况!E37)))</f>
        <v>六级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f t="shared" si="17"/>
        <v>387</v>
      </c>
      <c r="C64" s="163">
        <f t="shared" si="16"/>
        <v>0.15</v>
      </c>
      <c r="D64" s="891">
        <v>0.25</v>
      </c>
      <c r="E64" s="209">
        <f>'数据-汇总表'!E15</f>
        <v>0</v>
      </c>
      <c r="F64" s="833">
        <f t="shared" si="15"/>
        <v>0</v>
      </c>
      <c r="G64" s="1836" t="s">
        <v>1895</v>
      </c>
      <c r="H64" s="844" t="str">
        <f>项目基本情况!C37</f>
        <v>六级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39425.990000000005</v>
      </c>
      <c r="F65" s="617">
        <f>IF(B46="楼面地价",SUM(F56:F64),ROUND(C48*E65/10000,0))</f>
        <v>33500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1903</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0"/>
      <c r="Q69" s="2510"/>
      <c r="R69" s="2510"/>
      <c r="S69" s="2510"/>
      <c r="T69" s="2510"/>
      <c r="U69" s="2510"/>
      <c r="V69" s="2510"/>
      <c r="W69" s="2510"/>
      <c r="X69" s="2510"/>
      <c r="Y69" s="2510"/>
      <c r="Z69" s="2510"/>
      <c r="AA69" s="2510"/>
      <c r="AB69" s="2510"/>
      <c r="AC69" s="2510"/>
    </row>
    <row r="70" spans="1:29" s="102" customFormat="1" ht="30" customHeight="1">
      <c r="A70" s="1837" t="s">
        <v>21</v>
      </c>
      <c r="B70" s="280" t="str">
        <f>"北京市平均增长率"&amp;TEXT(SUMIF(基准地价修正!N25:N29,A70,基准地价修正!P25:P29),"0.00%")</f>
        <v>北京市平均增长率0.97%</v>
      </c>
      <c r="C70" s="530">
        <v>100</v>
      </c>
      <c r="D70" s="6">
        <f>C70</f>
        <v>100</v>
      </c>
      <c r="E70" s="6">
        <f>D70</f>
        <v>100</v>
      </c>
      <c r="F70" s="6">
        <f t="shared" ref="F70:M70" si="20">E70</f>
        <v>100</v>
      </c>
      <c r="G70" s="6">
        <f t="shared" si="20"/>
        <v>100</v>
      </c>
      <c r="H70" s="6">
        <f t="shared" si="20"/>
        <v>100</v>
      </c>
      <c r="I70" s="6">
        <f t="shared" si="20"/>
        <v>100</v>
      </c>
      <c r="J70" s="6">
        <f t="shared" si="20"/>
        <v>100</v>
      </c>
      <c r="K70" s="6">
        <f t="shared" si="20"/>
        <v>100</v>
      </c>
      <c r="L70" s="6">
        <f t="shared" si="20"/>
        <v>100</v>
      </c>
      <c r="M70" s="6">
        <f t="shared" si="20"/>
        <v>100</v>
      </c>
      <c r="N70" s="6">
        <v>100</v>
      </c>
      <c r="O70" s="1098">
        <v>100</v>
      </c>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v>0.5</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3147" t="s">
        <v>3448</v>
      </c>
      <c r="D74" s="462" t="s">
        <v>3449</v>
      </c>
      <c r="E74" s="462" t="s">
        <v>3450</v>
      </c>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120</v>
      </c>
      <c r="E75" s="467">
        <v>120</v>
      </c>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v>
      </c>
      <c r="I78" s="478" t="str">
        <f t="shared" si="21"/>
        <v>（含）-</v>
      </c>
      <c r="J78" s="478" t="str">
        <f t="shared" si="21"/>
        <v>（含）-</v>
      </c>
      <c r="K78" s="478" t="str">
        <f t="shared" si="21"/>
        <v>（含）-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自持情况</v>
      </c>
      <c r="C81" s="3153" t="s">
        <v>3473</v>
      </c>
      <c r="D81" s="3154" t="s">
        <v>3474</v>
      </c>
      <c r="E81" s="3153" t="s">
        <v>3475</v>
      </c>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v>90</v>
      </c>
      <c r="D82" s="467">
        <v>95</v>
      </c>
      <c r="E82" s="467">
        <v>100</v>
      </c>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1904</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97</v>
      </c>
      <c r="E92" s="475">
        <f>D92-$K19</f>
        <v>94</v>
      </c>
      <c r="F92" s="475">
        <f>E92-$K19</f>
        <v>91</v>
      </c>
      <c r="G92" s="475">
        <f>F92-$K19</f>
        <v>88</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98</v>
      </c>
      <c r="E94" s="475">
        <f>D94-$K21</f>
        <v>96</v>
      </c>
      <c r="F94" s="475">
        <f>E94-$K21</f>
        <v>94</v>
      </c>
      <c r="G94" s="475">
        <f>F94-$K21</f>
        <v>92</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1905</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1906</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3149" t="s">
        <v>3452</v>
      </c>
      <c r="D107" s="3149" t="s">
        <v>3453</v>
      </c>
      <c r="E107" s="3149" t="s">
        <v>3454</v>
      </c>
      <c r="F107" s="3149" t="s">
        <v>3455</v>
      </c>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5">
        <f t="shared" si="25"/>
        <v>90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1694</v>
      </c>
      <c r="B115" s="460" t="s">
        <v>1911</v>
      </c>
      <c r="C115" s="461" t="str">
        <f>C116&amp;"(含)"&amp;"-"&amp;D116</f>
        <v>0(含)-20000</v>
      </c>
      <c r="D115" s="461" t="str">
        <f t="shared" ref="D115:M115" si="26">D116&amp;"(含)"&amp;"-"&amp;E116</f>
        <v>20000(含)-40000</v>
      </c>
      <c r="E115" s="461" t="str">
        <f t="shared" si="26"/>
        <v>40000(含)-60000</v>
      </c>
      <c r="F115" s="461" t="str">
        <f t="shared" si="26"/>
        <v>60000(含)-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102</v>
      </c>
      <c r="E117" s="521">
        <v>104</v>
      </c>
      <c r="F117" s="521">
        <v>106</v>
      </c>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1912</v>
      </c>
      <c r="C118" s="3149" t="s">
        <v>3462</v>
      </c>
      <c r="D118" s="3149" t="s">
        <v>3463</v>
      </c>
      <c r="E118" s="3149" t="s">
        <v>3464</v>
      </c>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1914</v>
      </c>
      <c r="C122" s="3153" t="s">
        <v>3465</v>
      </c>
      <c r="D122" s="3153" t="s">
        <v>3467</v>
      </c>
      <c r="E122" s="3153" t="s">
        <v>3468</v>
      </c>
      <c r="F122" s="3153" t="s">
        <v>3469</v>
      </c>
      <c r="G122" s="3153" t="s">
        <v>3470</v>
      </c>
      <c r="H122" s="3149" t="s">
        <v>3472</v>
      </c>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99.5</v>
      </c>
      <c r="E123" s="475">
        <f t="shared" si="29"/>
        <v>99</v>
      </c>
      <c r="F123" s="475">
        <f t="shared" si="29"/>
        <v>98.5</v>
      </c>
      <c r="G123" s="475">
        <f t="shared" si="29"/>
        <v>98</v>
      </c>
      <c r="H123" s="475">
        <f t="shared" si="29"/>
        <v>97.5</v>
      </c>
      <c r="I123" s="475">
        <f t="shared" si="29"/>
        <v>97</v>
      </c>
      <c r="J123" s="475">
        <f t="shared" si="29"/>
        <v>96.5</v>
      </c>
      <c r="K123" s="475">
        <f t="shared" si="29"/>
        <v>96</v>
      </c>
      <c r="L123" s="475">
        <f t="shared" si="29"/>
        <v>95.5</v>
      </c>
      <c r="M123" s="476">
        <f t="shared" si="29"/>
        <v>95</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1915</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7" sqref="E2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2" t="s">
        <v>3384</v>
      </c>
      <c r="F2" s="162" t="s">
        <v>1935</v>
      </c>
      <c r="G2" s="163" t="str">
        <f>IF(E2="商业",项目基本情况!B37,IF(E2="办公",项目基本情况!C37,IF(E2="住宅",项目基本情况!D37,IF(E2="工业",项目基本情况!E37,项目基本情况!F37))))</f>
        <v>六级</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5">
        <f>ROUND(SUMPRODUCT((B106:B110=R2)*(C105:N105=G2)*(C106:N110)),4)</f>
        <v>1.5019</v>
      </c>
      <c r="T2" s="3065" t="e">
        <f t="shared" ref="T2:T16" si="0">ROUND($C$5*$C$22*$C$23*$C$24*S2*$C$28,0)</f>
        <v>#DIV/0!</v>
      </c>
      <c r="U2" s="1130"/>
      <c r="V2" s="3065"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20"/>
      <c r="F3" s="1848"/>
      <c r="G3" s="708">
        <f>IF(F3="宗地容积率",'数据-汇总表'!I4,IF(F3="估价对象容积率",'数据-汇总表'!I6,'数据-汇总表'!I7))</f>
        <v>4.1900000000000004</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5">
        <f>ROUND(SUMPRODUCT((B106:B110=R3)*(C105:N105=G2)*(C106:N110)),4)</f>
        <v>1.1838</v>
      </c>
      <c r="T3" s="3065" t="e">
        <f t="shared" si="0"/>
        <v>#DIV/0!</v>
      </c>
      <c r="U3" s="1130"/>
      <c r="V3" s="3065" t="e">
        <f t="shared" ref="V3:V16" si="1">ROUND(T3*U3/10000,0)</f>
        <v>#DIV/0!</v>
      </c>
      <c r="W3" s="1133"/>
      <c r="X3" s="1133"/>
      <c r="Y3" s="1133"/>
      <c r="Z3" s="1133"/>
      <c r="AA3" s="1133"/>
      <c r="AB3" s="1133"/>
      <c r="AC3" s="1134"/>
      <c r="AD3" s="1135"/>
      <c r="AE3" s="1135"/>
      <c r="AF3" s="1135"/>
      <c r="AG3" s="1135"/>
      <c r="AH3" s="1135"/>
      <c r="AI3" s="1135"/>
      <c r="AJ3" s="1136"/>
    </row>
    <row r="4" spans="1:36" ht="15.75">
      <c r="A4" s="3394"/>
      <c r="B4" s="3395"/>
      <c r="C4" s="3395"/>
      <c r="D4" s="3396"/>
      <c r="E4" s="3396"/>
      <c r="F4" s="3396"/>
      <c r="G4" s="3396"/>
      <c r="H4" s="3396"/>
      <c r="I4" s="3396"/>
      <c r="J4" s="3397"/>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5">
        <f>ROUND(SUMPRODUCT((B106:B110=R4)*(C105:N105=G2)*(C106:N110)),4)</f>
        <v>1.0004999999999999</v>
      </c>
      <c r="T4" s="3065" t="e">
        <f t="shared" si="0"/>
        <v>#DIV/0!</v>
      </c>
      <c r="U4" s="1130"/>
      <c r="V4" s="3065"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-158</v>
      </c>
      <c r="D5" s="1252">
        <f>ROUND(C6*C17+C20,0)</f>
        <v>-158</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5">
        <f>ROUND(SUMPRODUCT((B106:B110=R5)*(C105:N105=G2)*(C106:N110)),4)</f>
        <v>0.88239999999999996</v>
      </c>
      <c r="T5" s="3065" t="e">
        <f t="shared" si="0"/>
        <v>#DIV/0!</v>
      </c>
      <c r="U5" s="1130"/>
      <c r="V5" s="3065"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5">
        <f>ROUND(SUMPRODUCT((B106:B110=R6)*(C105:N105=G2)*(C106:N110)),4)</f>
        <v>0.84799999999999998</v>
      </c>
      <c r="T6" s="3065" t="e">
        <f t="shared" si="0"/>
        <v>#DIV/0!</v>
      </c>
      <c r="U6" s="1130"/>
      <c r="V6" s="3065"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9"/>
      <c r="T7" s="3065" t="e">
        <f t="shared" si="0"/>
        <v>#DIV/0!</v>
      </c>
      <c r="U7" s="1130"/>
      <c r="V7" s="3065" t="e">
        <f t="shared" si="1"/>
        <v>#DIV/0!</v>
      </c>
      <c r="W7" s="1267" t="s">
        <v>1953</v>
      </c>
      <c r="X7" s="1131" t="str">
        <f>G2</f>
        <v>六级</v>
      </c>
      <c r="Y7" s="1131" t="s">
        <v>1954</v>
      </c>
      <c r="Z7" s="1132">
        <f>G3</f>
        <v>4.1900000000000004</v>
      </c>
      <c r="AA7" s="1133"/>
      <c r="AB7" s="1133"/>
      <c r="AC7" s="1134"/>
      <c r="AD7" s="1135"/>
      <c r="AE7" s="1135"/>
      <c r="AF7" s="1135"/>
      <c r="AG7" s="1135"/>
      <c r="AH7" s="1135"/>
      <c r="AI7" s="1135"/>
      <c r="AJ7" s="1136"/>
    </row>
    <row r="8" spans="1:36" ht="25.5">
      <c r="A8" s="3010"/>
      <c r="B8" s="162" t="s">
        <v>1955</v>
      </c>
      <c r="C8" s="1870" t="s">
        <v>3385</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5" t="e">
        <f t="shared" si="0"/>
        <v>#DIV/0!</v>
      </c>
      <c r="U8" s="1130"/>
      <c r="V8" s="3065" t="e">
        <f t="shared" si="1"/>
        <v>#DIV/0!</v>
      </c>
      <c r="W8" s="3391" t="s">
        <v>1958</v>
      </c>
      <c r="X8" s="3392"/>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5" t="e">
        <f t="shared" si="0"/>
        <v>#DIV/0!</v>
      </c>
      <c r="U9" s="1130"/>
      <c r="V9" s="3065" t="e">
        <f t="shared" si="1"/>
        <v>#DIV/0!</v>
      </c>
      <c r="W9" s="3393"/>
      <c r="X9" s="3066" t="s">
        <v>3266</v>
      </c>
      <c r="Y9" s="3067">
        <v>6</v>
      </c>
      <c r="Z9" s="3068">
        <f>$Y$9</f>
        <v>6</v>
      </c>
      <c r="AA9" s="3068">
        <f t="shared" ref="AA9:AJ9" si="2">$Y$9</f>
        <v>6</v>
      </c>
      <c r="AB9" s="3068">
        <f t="shared" si="2"/>
        <v>6</v>
      </c>
      <c r="AC9" s="3068">
        <f t="shared" si="2"/>
        <v>6</v>
      </c>
      <c r="AD9" s="3068">
        <f t="shared" si="2"/>
        <v>6</v>
      </c>
      <c r="AE9" s="3068">
        <f t="shared" si="2"/>
        <v>6</v>
      </c>
      <c r="AF9" s="3068">
        <f t="shared" si="2"/>
        <v>6</v>
      </c>
      <c r="AG9" s="3068">
        <f t="shared" si="2"/>
        <v>6</v>
      </c>
      <c r="AH9" s="3068">
        <f t="shared" si="2"/>
        <v>6</v>
      </c>
      <c r="AI9" s="3068">
        <f t="shared" si="2"/>
        <v>6</v>
      </c>
      <c r="AJ9" s="3068">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5" t="e">
        <f t="shared" si="0"/>
        <v>#DIV/0!</v>
      </c>
      <c r="U10" s="1130"/>
      <c r="V10" s="3065" t="e">
        <f t="shared" si="1"/>
        <v>#DIV/0!</v>
      </c>
      <c r="W10" s="3393"/>
      <c r="X10" s="3066">
        <v>6</v>
      </c>
      <c r="Y10" s="3069">
        <f>ROUND((-0.5556*(Y9^2)-0.2719*Y9+8944)*(10^(-4)),4)</f>
        <v>0.89219999999999999</v>
      </c>
      <c r="Z10" s="3069">
        <f>ROUND((-0.5556*(Z9^2)-0.2719*Z9+8944)*(10^(-4)),4)</f>
        <v>0.89219999999999999</v>
      </c>
      <c r="AA10" s="3069">
        <f>ROUND((-0.7912*(AA9^2)-11.3794*AA9+8482)*(10^(-4)),4)</f>
        <v>0.83850000000000002</v>
      </c>
      <c r="AB10" s="3069">
        <f>ROUND((-0.7912*(AB9^2)-11.3794*AB9+8482)*(10^(-4)),4)</f>
        <v>0.83850000000000002</v>
      </c>
      <c r="AC10" s="3069">
        <f>ROUND((-0.7912*(AC9^2)-11.3794*AC9+8482)*(10^(-4)),4)</f>
        <v>0.83850000000000002</v>
      </c>
      <c r="AD10" s="3069">
        <f>ROUND((-0.7912*(AD9^2)-11.3794*AD9+8482)*(10^(-4)),4)</f>
        <v>0.83850000000000002</v>
      </c>
      <c r="AE10" s="3069">
        <f>ROUND((-0.7912*(AE9^2)-11.3794*AE9+8482)*(10^(-4)),4)</f>
        <v>0.83850000000000002</v>
      </c>
      <c r="AF10" s="3069">
        <f>ROUND((-0.989*(AF9^2)-63.78*AF9+7771)*(10^(-4)),4)</f>
        <v>0.73529999999999995</v>
      </c>
      <c r="AG10" s="3069">
        <f>ROUND((-0.989*(AG9^2)-63.78*AG9+7771)*(10^(-4)),4)</f>
        <v>0.73529999999999995</v>
      </c>
      <c r="AH10" s="3069">
        <f>ROUND((-0.989*(AH9^2)-63.78*AH9+7771)*(10^(-4)),4)</f>
        <v>0.73529999999999995</v>
      </c>
      <c r="AI10" s="3069">
        <f>ROUND((-0.989*(AI9^2)-63.78*AI9+7771)*(10^(-4)),4)</f>
        <v>0.73529999999999995</v>
      </c>
      <c r="AJ10" s="3069">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5" t="e">
        <f t="shared" si="0"/>
        <v>#DIV/0!</v>
      </c>
      <c r="U11" s="1130"/>
      <c r="V11" s="3065" t="e">
        <f t="shared" si="1"/>
        <v>#DIV/0!</v>
      </c>
      <c r="W11" s="1133"/>
      <c r="X11" s="1133"/>
      <c r="Y11" s="1133"/>
      <c r="Z11" s="1133"/>
      <c r="AA11" s="1133"/>
      <c r="AB11" s="1133"/>
      <c r="AC11" s="1134"/>
      <c r="AD11" s="2553"/>
      <c r="AE11" s="2553"/>
      <c r="AF11" s="2553"/>
      <c r="AG11" s="2553"/>
      <c r="AH11" s="2553"/>
      <c r="AI11" s="2553"/>
      <c r="AJ11" s="2554"/>
    </row>
    <row r="12" spans="1:36" ht="25.5" thickBot="1">
      <c r="A12" s="3013" t="s">
        <v>3236</v>
      </c>
      <c r="B12" s="3014" t="s">
        <v>3237</v>
      </c>
      <c r="C12" s="3015">
        <v>1</v>
      </c>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5" t="e">
        <f t="shared" si="0"/>
        <v>#DIV/0!</v>
      </c>
      <c r="U12" s="1130"/>
      <c r="V12" s="3065" t="e">
        <f t="shared" si="1"/>
        <v>#DIV/0!</v>
      </c>
      <c r="W12" s="1133"/>
      <c r="X12" s="1133"/>
      <c r="Y12" s="1133"/>
      <c r="Z12" s="1133"/>
      <c r="AA12" s="1133"/>
      <c r="AB12" s="1133"/>
      <c r="AC12" s="1134"/>
      <c r="AD12" s="2553"/>
      <c r="AE12" s="2553"/>
      <c r="AF12" s="2553"/>
      <c r="AG12" s="2553"/>
      <c r="AH12" s="2553"/>
      <c r="AI12" s="2553"/>
      <c r="AJ12" s="2554"/>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5" t="e">
        <f t="shared" si="0"/>
        <v>#DIV/0!</v>
      </c>
      <c r="U13" s="1130"/>
      <c r="V13" s="3065" t="e">
        <f t="shared" si="1"/>
        <v>#DIV/0!</v>
      </c>
      <c r="W13" s="1133"/>
      <c r="X13" s="1133"/>
      <c r="Y13" s="1133"/>
      <c r="Z13" s="1133"/>
      <c r="AA13" s="1133"/>
      <c r="AB13" s="1133"/>
      <c r="AC13" s="1134"/>
      <c r="AD13" s="2553"/>
      <c r="AE13" s="2553"/>
      <c r="AF13" s="2553"/>
      <c r="AG13" s="2553"/>
      <c r="AH13" s="2553"/>
      <c r="AI13" s="2553"/>
      <c r="AJ13" s="2554"/>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5" t="e">
        <f t="shared" si="0"/>
        <v>#DIV/0!</v>
      </c>
      <c r="U14" s="1130"/>
      <c r="V14" s="3065" t="e">
        <f t="shared" si="1"/>
        <v>#DIV/0!</v>
      </c>
      <c r="W14" s="1133"/>
      <c r="X14" s="1133"/>
      <c r="Y14" s="1133"/>
      <c r="Z14" s="1133"/>
      <c r="AA14" s="1133"/>
      <c r="AB14" s="1133"/>
      <c r="AC14" s="1134"/>
      <c r="AD14" s="2553"/>
      <c r="AE14" s="2553"/>
      <c r="AF14" s="2553"/>
      <c r="AG14" s="2553"/>
      <c r="AH14" s="2553"/>
      <c r="AI14" s="2553"/>
      <c r="AJ14" s="2554"/>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5" t="e">
        <f t="shared" si="0"/>
        <v>#DIV/0!</v>
      </c>
      <c r="U15" s="1130"/>
      <c r="V15" s="3065" t="e">
        <f t="shared" si="1"/>
        <v>#DIV/0!</v>
      </c>
      <c r="W15" s="1133"/>
      <c r="X15" s="1133"/>
      <c r="Y15" s="1133"/>
      <c r="Z15" s="1133"/>
      <c r="AA15" s="1133"/>
      <c r="AB15" s="1133"/>
      <c r="AC15" s="1134"/>
      <c r="AD15" s="2553"/>
      <c r="AE15" s="2553"/>
      <c r="AF15" s="2553"/>
      <c r="AG15" s="2553"/>
      <c r="AH15" s="2553"/>
      <c r="AI15" s="2553"/>
      <c r="AJ15" s="2554"/>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5" t="e">
        <f t="shared" si="0"/>
        <v>#DIV/0!</v>
      </c>
      <c r="U16" s="1130"/>
      <c r="V16" s="3065" t="e">
        <f t="shared" si="1"/>
        <v>#DIV/0!</v>
      </c>
      <c r="W16" s="1133"/>
      <c r="X16" s="1133"/>
      <c r="Y16" s="1133"/>
      <c r="Z16" s="1133"/>
      <c r="AA16" s="1133"/>
      <c r="AB16" s="1133"/>
      <c r="AC16" s="1134"/>
      <c r="AD16" s="2553"/>
      <c r="AE16" s="2553"/>
      <c r="AF16" s="2553"/>
      <c r="AG16" s="2553"/>
      <c r="AH16" s="2553"/>
      <c r="AI16" s="2553"/>
      <c r="AJ16" s="2554"/>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09"/>
      <c r="C18" s="3035"/>
      <c r="D18" s="3030" t="s">
        <v>3246</v>
      </c>
      <c r="E18" s="2356"/>
      <c r="F18" s="3031" t="s">
        <v>3249</v>
      </c>
      <c r="G18" s="3035">
        <f>ROUND(1-(1/(POWER(1+G24,E18))),4)</f>
        <v>0</v>
      </c>
      <c r="H18" s="3031" t="s">
        <v>3251</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98" t="s">
        <v>3252</v>
      </c>
      <c r="B20" s="159" t="s">
        <v>1992</v>
      </c>
      <c r="C20" s="3032">
        <f>ROUND(IF(F21="与级别开发程度一致",0,(G21-E21)/C21),0)</f>
        <v>-158</v>
      </c>
      <c r="D20" s="3047" t="s">
        <v>1996</v>
      </c>
      <c r="E20" s="3048"/>
      <c r="F20" s="3404" t="s">
        <v>1993</v>
      </c>
      <c r="G20" s="340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399"/>
      <c r="B21" s="2002" t="s">
        <v>1995</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1998</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1999</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1896" t="s">
        <v>2000</v>
      </c>
      <c r="E23" s="717">
        <v>44197</v>
      </c>
      <c r="F23" s="1896" t="s">
        <v>2001</v>
      </c>
      <c r="G23" s="718">
        <f>'数据-取费表'!B2</f>
        <v>44922</v>
      </c>
      <c r="H23" s="3049" t="s">
        <v>3254</v>
      </c>
      <c r="I23" s="3050" t="str">
        <f>IF(H23="季度增幅（自定义）",SUMIF(N25:N28,E2,O25:O28),"")</f>
        <v/>
      </c>
      <c r="J23" s="3051" t="s">
        <v>3253</v>
      </c>
      <c r="K23" s="1061"/>
      <c r="L23" s="1897" t="s">
        <v>2002</v>
      </c>
      <c r="M23" s="1241">
        <f>ROUND(SUMIF(地价!B2:G2,E2,地价!B16:G16),0)</f>
        <v>0</v>
      </c>
      <c r="N23" s="1898" t="s">
        <v>2003</v>
      </c>
      <c r="O23" s="719">
        <f>ROUNDDOWN(DATEDIF(E23,G23,"M")/3,0)</f>
        <v>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存贷款利率!E22/100</f>
        <v>4.3499999999999997E-2</v>
      </c>
      <c r="F24" s="1902" t="s">
        <v>1997</v>
      </c>
      <c r="G24" s="724">
        <f>SUMIF(M30:Q30,E2,M33:Q33)</f>
        <v>0.05</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0.86850000000000005</v>
      </c>
      <c r="D25" s="1909"/>
      <c r="E25" s="1909"/>
      <c r="F25" s="1909"/>
      <c r="G25" s="1909"/>
      <c r="H25" s="1909"/>
      <c r="I25" s="1909"/>
      <c r="J25" s="1910"/>
      <c r="K25" s="1061"/>
      <c r="L25" s="2552"/>
      <c r="M25" s="2552"/>
      <c r="N25" s="1911" t="s">
        <v>2011</v>
      </c>
      <c r="O25" s="1093"/>
      <c r="P25" s="1094">
        <f>SUMPRODUCT((地价!A3:A40=YEAR(G23)&amp;"-"&amp;ROUNDUP(MONTH(G23)/3,0))*(地价!AD2:AH2=N25)*(地价!AD3:AH40))</f>
        <v>9.7000000000000003E-3</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0.86850000000000005</v>
      </c>
      <c r="E26" s="708">
        <f>ROUNDDOWN(G3,1)</f>
        <v>4.0999999999999996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0.87090000000000001</v>
      </c>
      <c r="G26" s="708">
        <f>ROUNDUP(G3,1)</f>
        <v>4.1999999999999993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1912" t="s">
        <v>3256</v>
      </c>
      <c r="J26" s="374" t="str">
        <f>IF(G3&gt;=10,D115,"——")</f>
        <v>——</v>
      </c>
      <c r="K26" s="1061"/>
      <c r="L26" s="2552"/>
      <c r="M26" s="2552"/>
      <c r="N26" s="1911" t="s">
        <v>2014</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v>
      </c>
      <c r="D28" s="1894"/>
      <c r="E28" s="1919"/>
      <c r="F28" s="1919"/>
      <c r="G28" s="1919"/>
      <c r="H28" s="1919"/>
      <c r="I28" s="1919"/>
      <c r="J28" s="1920"/>
      <c r="K28" s="1061"/>
      <c r="L28" s="2552"/>
      <c r="M28" s="2552"/>
      <c r="N28" s="1921" t="s">
        <v>2019</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49" t="s">
        <v>2021</v>
      </c>
      <c r="O29" s="2550"/>
      <c r="P29" s="2551">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7" t="s">
        <v>1934</v>
      </c>
      <c r="M30" s="3058" t="s">
        <v>1988</v>
      </c>
      <c r="N30" s="3058" t="s">
        <v>1989</v>
      </c>
      <c r="O30" s="3058" t="s">
        <v>1990</v>
      </c>
      <c r="P30" s="3058" t="s">
        <v>1991</v>
      </c>
      <c r="Q30" s="3061"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9" t="s">
        <v>1994</v>
      </c>
      <c r="M31" s="162">
        <v>0.25</v>
      </c>
      <c r="N31" s="162">
        <v>0.2</v>
      </c>
      <c r="O31" s="162">
        <v>0.15</v>
      </c>
      <c r="P31" s="162">
        <v>0.1</v>
      </c>
      <c r="Q31" s="3054">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60" t="s">
        <v>1997</v>
      </c>
      <c r="M32" s="2355">
        <f>ROUND($E$24*(1+M31),3)</f>
        <v>5.3999999999999999E-2</v>
      </c>
      <c r="N32" s="2355">
        <f>ROUND($E$24*(1+N31),3)</f>
        <v>5.1999999999999998E-2</v>
      </c>
      <c r="O32" s="2355">
        <f>ROUND($E$24*(1+O31),3)</f>
        <v>0.05</v>
      </c>
      <c r="P32" s="2355">
        <f>ROUND($E$24*(1+P31),3)</f>
        <v>4.8000000000000001E-2</v>
      </c>
      <c r="Q32" s="3062">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2" t="s">
        <v>3258</v>
      </c>
      <c r="G33" s="1941"/>
      <c r="H33" s="1941"/>
      <c r="I33" s="1941"/>
      <c r="J33" s="1942"/>
      <c r="K33" s="1056"/>
      <c r="L33" s="3055" t="s">
        <v>3261</v>
      </c>
      <c r="M33" s="3056">
        <v>5.5E-2</v>
      </c>
      <c r="N33" s="3056">
        <v>5.5E-2</v>
      </c>
      <c r="O33" s="3056">
        <v>0.05</v>
      </c>
      <c r="P33" s="3056">
        <v>0.05</v>
      </c>
      <c r="Q33" s="3056">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5" t="s">
        <v>3262</v>
      </c>
      <c r="M34" s="3056">
        <v>6.5000000000000002E-2</v>
      </c>
      <c r="N34" s="3056">
        <v>6.5000000000000002E-2</v>
      </c>
      <c r="O34" s="3056">
        <v>0.06</v>
      </c>
      <c r="P34" s="3056">
        <v>0.06</v>
      </c>
      <c r="Q34" s="3056">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3"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1964">
        <v>3.6999999999999998E-2</v>
      </c>
      <c r="M36" s="2365">
        <f>ROUND($L$36*(1+M31),3)</f>
        <v>4.5999999999999999E-2</v>
      </c>
      <c r="N36" s="2365">
        <f>ROUND($L$36*(1+N31),3)</f>
        <v>4.3999999999999997E-2</v>
      </c>
      <c r="O36" s="2365">
        <f>ROUND($L$36*(1+O31),3)</f>
        <v>4.2999999999999997E-2</v>
      </c>
      <c r="P36" s="2365">
        <f>ROUND($L$36*(1+P31),3)</f>
        <v>4.1000000000000002E-2</v>
      </c>
      <c r="Q36" s="2365">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2"/>
      <c r="B37" s="1955" t="s">
        <v>2034</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3" t="s">
        <v>3264</v>
      </c>
      <c r="L37" s="1964">
        <f>L36+K38</f>
        <v>4.1999999999999996E-2</v>
      </c>
      <c r="M37" s="2365">
        <f>ROUND($L$37*(1+M31),3)</f>
        <v>5.2999999999999999E-2</v>
      </c>
      <c r="N37" s="2365">
        <f t="shared" ref="N37:Q37" si="3">ROUND($L$37*(1+N31),3)</f>
        <v>0.05</v>
      </c>
      <c r="O37" s="2365">
        <f t="shared" si="3"/>
        <v>4.8000000000000001E-2</v>
      </c>
      <c r="P37" s="2365">
        <f t="shared" si="3"/>
        <v>4.5999999999999999E-2</v>
      </c>
      <c r="Q37" s="2365">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3"/>
      <c r="B38" s="1884" t="s">
        <v>2035</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3"/>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4"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1997</v>
      </c>
      <c r="E44" s="1991">
        <f>G24</f>
        <v>0.05</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70">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t="str">
        <f>估价对象房地状况!C18</f>
        <v>一般</v>
      </c>
      <c r="C51" s="1887"/>
      <c r="D51" s="1002">
        <f t="shared" si="7"/>
        <v>0</v>
      </c>
      <c r="E51" s="703"/>
      <c r="F51" s="1675"/>
      <c r="G51" s="1000"/>
      <c r="H51" s="1003" t="str">
        <f t="shared" si="8"/>
        <v>——</v>
      </c>
      <c r="I51" s="3070">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2" t="s">
        <v>3267</v>
      </c>
      <c r="B52" s="1262">
        <f>估价对象房地状况!C19</f>
        <v>0</v>
      </c>
      <c r="C52" s="1887"/>
      <c r="D52" s="1002">
        <f t="shared" si="7"/>
        <v>0</v>
      </c>
      <c r="E52" s="703"/>
      <c r="F52" s="1675"/>
      <c r="G52" s="1000"/>
      <c r="H52" s="1003" t="str">
        <f t="shared" si="8"/>
        <v>——</v>
      </c>
      <c r="I52" s="3070">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70">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t="str">
        <f>估价对象房地状况!C24</f>
        <v>一般</v>
      </c>
      <c r="C54" s="1887"/>
      <c r="D54" s="1002">
        <f t="shared" si="7"/>
        <v>0</v>
      </c>
      <c r="E54" s="703"/>
      <c r="F54" s="1675"/>
      <c r="G54" s="1000"/>
      <c r="H54" s="1003" t="str">
        <f t="shared" si="8"/>
        <v>——</v>
      </c>
      <c r="I54" s="3070">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70">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t="str">
        <f>估价对象房地状况!C21</f>
        <v>较好</v>
      </c>
      <c r="C56" s="1887"/>
      <c r="D56" s="1002">
        <f t="shared" si="7"/>
        <v>0</v>
      </c>
      <c r="E56" s="703"/>
      <c r="F56" s="1675"/>
      <c r="G56" s="1000"/>
      <c r="H56" s="1003" t="str">
        <f t="shared" si="8"/>
        <v>——</v>
      </c>
      <c r="I56" s="3070">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t="str">
        <f>估价对象房地状况!C22</f>
        <v>七通</v>
      </c>
      <c r="C57" s="1887"/>
      <c r="D57" s="1002">
        <f t="shared" si="7"/>
        <v>0</v>
      </c>
      <c r="E57" s="703"/>
      <c r="F57" s="1675"/>
      <c r="G57" s="1000"/>
      <c r="H57" s="1003" t="str">
        <f t="shared" si="8"/>
        <v>——</v>
      </c>
      <c r="I57" s="3070">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t="str">
        <f>估价对象房地状况!C20</f>
        <v>一般</v>
      </c>
      <c r="C58" s="1887"/>
      <c r="D58" s="1002">
        <f t="shared" si="7"/>
        <v>0</v>
      </c>
      <c r="E58" s="704"/>
      <c r="F58" s="1675"/>
      <c r="G58" s="1000"/>
      <c r="H58" s="1003" t="str">
        <f t="shared" si="8"/>
        <v>——</v>
      </c>
      <c r="I58" s="3071">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2062</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70">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t="str">
        <f>估价对象房地状况!C18</f>
        <v>一般</v>
      </c>
      <c r="C62" s="1887"/>
      <c r="D62" s="1002">
        <f t="shared" si="12"/>
        <v>0</v>
      </c>
      <c r="E62" s="703"/>
      <c r="F62" s="1675"/>
      <c r="G62" s="1000"/>
      <c r="H62" s="1003" t="str">
        <f t="shared" si="13"/>
        <v>——</v>
      </c>
      <c r="I62" s="3070">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2" t="s">
        <v>3267</v>
      </c>
      <c r="B63" s="1262">
        <f>估价对象房地状况!C19</f>
        <v>0</v>
      </c>
      <c r="C63" s="1887"/>
      <c r="D63" s="1002">
        <f t="shared" si="12"/>
        <v>0</v>
      </c>
      <c r="E63" s="703"/>
      <c r="F63" s="1675"/>
      <c r="G63" s="1000"/>
      <c r="H63" s="1003" t="str">
        <f t="shared" si="13"/>
        <v>——</v>
      </c>
      <c r="I63" s="3070">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70">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t="str">
        <f>估价对象房地状况!C24</f>
        <v>一般</v>
      </c>
      <c r="C65" s="1887"/>
      <c r="D65" s="1002">
        <f t="shared" si="12"/>
        <v>0</v>
      </c>
      <c r="E65" s="703"/>
      <c r="F65" s="1675"/>
      <c r="G65" s="1000"/>
      <c r="H65" s="1003" t="str">
        <f t="shared" si="13"/>
        <v>——</v>
      </c>
      <c r="I65" s="3070">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70">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t="str">
        <f>估价对象房地状况!C21</f>
        <v>较好</v>
      </c>
      <c r="C67" s="1887"/>
      <c r="D67" s="1002">
        <f t="shared" si="12"/>
        <v>0</v>
      </c>
      <c r="E67" s="703"/>
      <c r="F67" s="1675"/>
      <c r="G67" s="1000"/>
      <c r="H67" s="1003" t="str">
        <f t="shared" si="13"/>
        <v>——</v>
      </c>
      <c r="I67" s="3070">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t="str">
        <f>估价对象房地状况!C22</f>
        <v>七通</v>
      </c>
      <c r="C68" s="1887"/>
      <c r="D68" s="1002">
        <f t="shared" si="12"/>
        <v>0</v>
      </c>
      <c r="E68" s="703"/>
      <c r="F68" s="1675"/>
      <c r="G68" s="1000"/>
      <c r="H68" s="1003" t="str">
        <f t="shared" si="13"/>
        <v>——</v>
      </c>
      <c r="I68" s="3070">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t="str">
        <f>估价对象房地状况!C20</f>
        <v>一般</v>
      </c>
      <c r="C69" s="1887"/>
      <c r="D69" s="1002">
        <f t="shared" si="12"/>
        <v>0</v>
      </c>
      <c r="E69" s="704"/>
      <c r="F69" s="1675"/>
      <c r="G69" s="1000"/>
      <c r="H69" s="1003" t="str">
        <f t="shared" si="13"/>
        <v>——</v>
      </c>
      <c r="I69" s="3071">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70">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t="str">
        <f>估价对象房地状况!C18</f>
        <v>一般</v>
      </c>
      <c r="C73" s="1887"/>
      <c r="D73" s="1002">
        <f t="shared" si="17"/>
        <v>0</v>
      </c>
      <c r="E73" s="705"/>
      <c r="F73" s="1675"/>
      <c r="G73" s="1000"/>
      <c r="H73" s="1003" t="str">
        <f t="shared" si="18"/>
        <v>——</v>
      </c>
      <c r="I73" s="3070">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2" t="s">
        <v>3267</v>
      </c>
      <c r="B74" s="1262">
        <f>估价对象房地状况!C19</f>
        <v>0</v>
      </c>
      <c r="C74" s="1887"/>
      <c r="D74" s="1002">
        <f t="shared" si="17"/>
        <v>0</v>
      </c>
      <c r="E74" s="705"/>
      <c r="F74" s="1675"/>
      <c r="G74" s="1000"/>
      <c r="H74" s="1003" t="str">
        <f t="shared" si="18"/>
        <v>——</v>
      </c>
      <c r="I74" s="3070">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t="str">
        <f>估价对象房地状况!C24</f>
        <v>一般</v>
      </c>
      <c r="C75" s="1887"/>
      <c r="D75" s="1002">
        <f t="shared" si="17"/>
        <v>0</v>
      </c>
      <c r="E75" s="705"/>
      <c r="F75" s="1675"/>
      <c r="G75" s="1000"/>
      <c r="H75" s="1003" t="str">
        <f t="shared" si="18"/>
        <v>——</v>
      </c>
      <c r="I75" s="3070">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t="str">
        <f>估价对象房地状况!C21</f>
        <v>较好</v>
      </c>
      <c r="C76" s="1887"/>
      <c r="D76" s="1002">
        <f t="shared" si="17"/>
        <v>0</v>
      </c>
      <c r="E76" s="705"/>
      <c r="F76" s="1675"/>
      <c r="G76" s="1000"/>
      <c r="H76" s="1003" t="str">
        <f t="shared" si="18"/>
        <v>——</v>
      </c>
      <c r="I76" s="3070">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t="str">
        <f>估价对象房地状况!C22</f>
        <v>七通</v>
      </c>
      <c r="C77" s="1887"/>
      <c r="D77" s="1002">
        <f t="shared" si="17"/>
        <v>0</v>
      </c>
      <c r="E77" s="705"/>
      <c r="F77" s="1675"/>
      <c r="G77" s="1000"/>
      <c r="H77" s="1003" t="str">
        <f t="shared" si="18"/>
        <v>——</v>
      </c>
      <c r="I77" s="3070">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70">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t="str">
        <f>估价对象房地状况!C20</f>
        <v>一般</v>
      </c>
      <c r="C79" s="1887"/>
      <c r="D79" s="1002">
        <f t="shared" si="17"/>
        <v>0</v>
      </c>
      <c r="E79" s="705"/>
      <c r="F79" s="1675"/>
      <c r="G79" s="1000"/>
      <c r="H79" s="1003" t="str">
        <f t="shared" si="18"/>
        <v>——</v>
      </c>
      <c r="I79" s="3070">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1">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1721</v>
      </c>
      <c r="K82" s="530" t="s">
        <v>1722</v>
      </c>
      <c r="L82" s="530" t="s">
        <v>1723</v>
      </c>
      <c r="M82" s="530" t="s">
        <v>1724</v>
      </c>
      <c r="N82" s="530" t="s">
        <v>1725</v>
      </c>
      <c r="Z82" s="1845"/>
      <c r="AA82" s="1895"/>
      <c r="AG82" s="1058"/>
      <c r="AK82" s="1895"/>
    </row>
    <row r="83" spans="1:37" ht="24">
      <c r="A83" s="1970" t="s">
        <v>2068</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70">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2051</v>
      </c>
      <c r="B84" s="1262">
        <f>估价对象房地状况!G16</f>
        <v>0</v>
      </c>
      <c r="C84" s="1887"/>
      <c r="D84" s="1002">
        <f t="shared" si="22"/>
        <v>0</v>
      </c>
      <c r="E84" s="705"/>
      <c r="F84" s="1675"/>
      <c r="G84" s="1000"/>
      <c r="H84" s="1003" t="str">
        <f t="shared" si="23"/>
        <v>——</v>
      </c>
      <c r="I84" s="3070">
        <v>0.3</v>
      </c>
      <c r="J84" s="1001">
        <f t="shared" si="24"/>
        <v>0</v>
      </c>
      <c r="K84" s="1001">
        <f t="shared" si="25"/>
        <v>0</v>
      </c>
      <c r="L84" s="1001">
        <v>0</v>
      </c>
      <c r="M84" s="1001">
        <f t="shared" si="26"/>
        <v>0</v>
      </c>
      <c r="N84" s="1001">
        <f t="shared" si="26"/>
        <v>0</v>
      </c>
      <c r="Z84" s="1845"/>
      <c r="AA84" s="1895"/>
      <c r="AG84" s="1058"/>
      <c r="AK84" s="1895"/>
    </row>
    <row r="85" spans="1:37" ht="36">
      <c r="A85" s="3072" t="s">
        <v>3268</v>
      </c>
      <c r="B85" s="1262">
        <f>估价对象房地状况!G17</f>
        <v>0</v>
      </c>
      <c r="C85" s="1887"/>
      <c r="D85" s="1002">
        <f t="shared" si="22"/>
        <v>0</v>
      </c>
      <c r="E85" s="705"/>
      <c r="F85" s="1675"/>
      <c r="G85" s="1000"/>
      <c r="H85" s="1003" t="str">
        <f t="shared" si="23"/>
        <v>——</v>
      </c>
      <c r="I85" s="3070">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70">
        <v>0.05</v>
      </c>
      <c r="J86" s="1001">
        <f t="shared" si="24"/>
        <v>0</v>
      </c>
      <c r="K86" s="1001">
        <f t="shared" si="25"/>
        <v>0</v>
      </c>
      <c r="L86" s="1001">
        <v>0</v>
      </c>
      <c r="M86" s="1001">
        <f t="shared" si="26"/>
        <v>0</v>
      </c>
      <c r="N86" s="1001">
        <f t="shared" si="26"/>
        <v>0</v>
      </c>
      <c r="Z86" s="1845"/>
      <c r="AA86" s="1895"/>
      <c r="AG86" s="1058"/>
      <c r="AK86" s="1895"/>
    </row>
    <row r="87" spans="1:37" ht="24">
      <c r="A87" s="1970" t="s">
        <v>2057</v>
      </c>
      <c r="B87" s="1240">
        <f>估价对象房地状况!G19</f>
        <v>0</v>
      </c>
      <c r="C87" s="1887"/>
      <c r="D87" s="1002">
        <f t="shared" si="22"/>
        <v>0</v>
      </c>
      <c r="E87" s="705"/>
      <c r="F87" s="1675"/>
      <c r="G87" s="1000"/>
      <c r="H87" s="1003" t="str">
        <f t="shared" si="23"/>
        <v>——</v>
      </c>
      <c r="I87" s="3070">
        <v>0.06</v>
      </c>
      <c r="J87" s="1001">
        <f t="shared" si="24"/>
        <v>0</v>
      </c>
      <c r="K87" s="1001">
        <f t="shared" si="25"/>
        <v>0</v>
      </c>
      <c r="L87" s="1001">
        <v>0</v>
      </c>
      <c r="M87" s="1001">
        <f t="shared" si="26"/>
        <v>0</v>
      </c>
      <c r="N87" s="1001">
        <f t="shared" si="26"/>
        <v>0</v>
      </c>
    </row>
    <row r="88" spans="1:37" ht="24">
      <c r="A88" s="1970" t="s">
        <v>2058</v>
      </c>
      <c r="B88" s="1240">
        <f>估价对象房地状况!G20</f>
        <v>0</v>
      </c>
      <c r="C88" s="1887"/>
      <c r="D88" s="1002">
        <f t="shared" si="22"/>
        <v>0</v>
      </c>
      <c r="E88" s="705"/>
      <c r="F88" s="1675"/>
      <c r="G88" s="1000"/>
      <c r="H88" s="1003" t="str">
        <f t="shared" si="23"/>
        <v>——</v>
      </c>
      <c r="I88" s="3070">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70">
        <v>0.06</v>
      </c>
      <c r="J89" s="1001">
        <f t="shared" si="24"/>
        <v>0</v>
      </c>
      <c r="K89" s="1001">
        <f t="shared" si="25"/>
        <v>0</v>
      </c>
      <c r="L89" s="1001">
        <v>0</v>
      </c>
      <c r="M89" s="1001">
        <f t="shared" si="26"/>
        <v>0</v>
      </c>
      <c r="N89" s="1001">
        <f t="shared" si="26"/>
        <v>0</v>
      </c>
    </row>
    <row r="90" spans="1:37" ht="15" thickBot="1">
      <c r="A90" s="1977" t="s">
        <v>2070</v>
      </c>
      <c r="B90" s="1982">
        <f>估价对象房地状况!G18</f>
        <v>0</v>
      </c>
      <c r="C90" s="1887"/>
      <c r="D90" s="1002">
        <f t="shared" si="22"/>
        <v>0</v>
      </c>
      <c r="E90" s="706"/>
      <c r="F90" s="1675"/>
      <c r="G90" s="1000"/>
      <c r="H90" s="1003" t="str">
        <f t="shared" si="23"/>
        <v>——</v>
      </c>
      <c r="I90" s="3071">
        <v>0.05</v>
      </c>
      <c r="J90" s="1001">
        <f t="shared" si="24"/>
        <v>0</v>
      </c>
      <c r="K90" s="1001">
        <f t="shared" si="25"/>
        <v>0</v>
      </c>
      <c r="L90" s="1001">
        <v>0</v>
      </c>
      <c r="M90" s="1001">
        <f t="shared" si="26"/>
        <v>0</v>
      </c>
      <c r="N90" s="1001">
        <f t="shared" si="26"/>
        <v>0</v>
      </c>
    </row>
    <row r="91" spans="1:37" ht="15">
      <c r="A91" s="3080" t="s">
        <v>2604</v>
      </c>
      <c r="B91" s="3081">
        <f>1+E93</f>
        <v>1</v>
      </c>
      <c r="C91" s="3074"/>
      <c r="D91" s="3075"/>
      <c r="E91" s="1675"/>
      <c r="F91" s="1675"/>
      <c r="G91" s="3076"/>
      <c r="H91" s="3077"/>
      <c r="I91" s="3078"/>
      <c r="J91" s="3079"/>
      <c r="K91" s="3079"/>
      <c r="L91" s="3079"/>
      <c r="M91" s="3079"/>
      <c r="N91" s="3079"/>
    </row>
    <row r="92" spans="1:37" ht="24.75">
      <c r="A92" s="3082" t="s">
        <v>3269</v>
      </c>
      <c r="B92" s="2309"/>
      <c r="C92" s="2309" t="s">
        <v>3278</v>
      </c>
      <c r="D92" s="2309" t="s">
        <v>3279</v>
      </c>
      <c r="E92" s="3054" t="s">
        <v>3280</v>
      </c>
      <c r="F92" s="3084" t="s">
        <v>3281</v>
      </c>
      <c r="G92" s="2309" t="s">
        <v>3282</v>
      </c>
      <c r="H92" s="3091" t="s">
        <v>3285</v>
      </c>
      <c r="I92" s="2309" t="s">
        <v>3286</v>
      </c>
      <c r="J92" s="2150" t="s">
        <v>3287</v>
      </c>
      <c r="K92" s="2150" t="s">
        <v>3288</v>
      </c>
      <c r="L92" s="2150" t="s">
        <v>3289</v>
      </c>
      <c r="M92" s="2150" t="s">
        <v>3290</v>
      </c>
      <c r="N92" s="2150" t="s">
        <v>3291</v>
      </c>
    </row>
    <row r="93" spans="1:37" ht="24">
      <c r="A93" s="3072" t="s">
        <v>3270</v>
      </c>
      <c r="B93" s="1221"/>
      <c r="C93" s="1887"/>
      <c r="D93" s="2309">
        <f>SUMIF($J$92:$N$92,C93,J93:N93)</f>
        <v>0</v>
      </c>
      <c r="E93" s="3085">
        <f>ROUND(SUM(D93:D101),4)</f>
        <v>0</v>
      </c>
      <c r="F93" s="1675">
        <f>IF(E2="公共服务",SUMIF(L1:L12,G2,N1:N12),"——")</f>
        <v>0</v>
      </c>
      <c r="G93" s="3076"/>
      <c r="H93" s="3121">
        <f>IFERROR(ROUNDDOWN($F$93*I93/2,4),"——")</f>
        <v>0</v>
      </c>
      <c r="I93" s="3070">
        <v>0.25</v>
      </c>
      <c r="J93" s="1912">
        <f t="shared" ref="J93:J101" si="27">K93+$G93</f>
        <v>0</v>
      </c>
      <c r="K93" s="1912">
        <f t="shared" ref="K93:K101" si="28">$L93+$G93</f>
        <v>0</v>
      </c>
      <c r="L93" s="1912">
        <v>0</v>
      </c>
      <c r="M93" s="1912">
        <f t="shared" ref="M93:N101" si="29">L93-$G93</f>
        <v>0</v>
      </c>
      <c r="N93" s="1912">
        <f t="shared" si="29"/>
        <v>0</v>
      </c>
    </row>
    <row r="94" spans="1:37" ht="14.25">
      <c r="A94" s="3082" t="s">
        <v>3271</v>
      </c>
      <c r="B94" s="3073" t="str">
        <f>估价对象房地状况!C18</f>
        <v>一般</v>
      </c>
      <c r="C94" s="1887"/>
      <c r="D94" s="2309">
        <f t="shared" ref="D94:D101" si="30">SUMIF($J$60:$N$60,C94,J94:N94)</f>
        <v>0</v>
      </c>
      <c r="E94" s="3086"/>
      <c r="F94" s="1675"/>
      <c r="G94" s="3076"/>
      <c r="H94" s="3121">
        <f>IFERROR(ROUNDDOWN($F$93*I94/2,4),"——")</f>
        <v>0</v>
      </c>
      <c r="I94" s="3070">
        <v>0.26</v>
      </c>
      <c r="J94" s="1912">
        <f t="shared" si="27"/>
        <v>0</v>
      </c>
      <c r="K94" s="1912">
        <f t="shared" si="28"/>
        <v>0</v>
      </c>
      <c r="L94" s="1912">
        <v>0</v>
      </c>
      <c r="M94" s="1912">
        <f t="shared" si="29"/>
        <v>0</v>
      </c>
      <c r="N94" s="1912">
        <f t="shared" si="29"/>
        <v>0</v>
      </c>
    </row>
    <row r="95" spans="1:37" ht="36">
      <c r="A95" s="3072" t="s">
        <v>3267</v>
      </c>
      <c r="B95" s="3073">
        <f>估价对象房地状况!C19</f>
        <v>0</v>
      </c>
      <c r="C95" s="1887"/>
      <c r="D95" s="2309">
        <f t="shared" si="30"/>
        <v>0</v>
      </c>
      <c r="E95" s="3086"/>
      <c r="F95" s="1675"/>
      <c r="G95" s="3076"/>
      <c r="H95" s="3121">
        <f t="shared" ref="H95:H101" si="31">IFERROR(ROUNDDOWN($F$93*I95/2,4),"——")</f>
        <v>0</v>
      </c>
      <c r="I95" s="3070">
        <v>0.11</v>
      </c>
      <c r="J95" s="1912">
        <f t="shared" si="27"/>
        <v>0</v>
      </c>
      <c r="K95" s="1912">
        <f t="shared" si="28"/>
        <v>0</v>
      </c>
      <c r="L95" s="1912">
        <v>0</v>
      </c>
      <c r="M95" s="1912">
        <f t="shared" si="29"/>
        <v>0</v>
      </c>
      <c r="N95" s="1912">
        <f t="shared" si="29"/>
        <v>0</v>
      </c>
    </row>
    <row r="96" spans="1:37" ht="36.75">
      <c r="A96" s="3082" t="s">
        <v>3272</v>
      </c>
      <c r="B96" s="3088" t="s">
        <v>3283</v>
      </c>
      <c r="C96" s="1887"/>
      <c r="D96" s="2309">
        <f t="shared" si="30"/>
        <v>0</v>
      </c>
      <c r="E96" s="3086"/>
      <c r="F96" s="1675"/>
      <c r="G96" s="3076"/>
      <c r="H96" s="3121">
        <f t="shared" si="31"/>
        <v>0</v>
      </c>
      <c r="I96" s="3070">
        <v>0.05</v>
      </c>
      <c r="J96" s="1912">
        <f t="shared" si="27"/>
        <v>0</v>
      </c>
      <c r="K96" s="1912">
        <f t="shared" si="28"/>
        <v>0</v>
      </c>
      <c r="L96" s="1912">
        <v>0</v>
      </c>
      <c r="M96" s="1912">
        <f t="shared" si="29"/>
        <v>0</v>
      </c>
      <c r="N96" s="1912">
        <f t="shared" si="29"/>
        <v>0</v>
      </c>
    </row>
    <row r="97" spans="1:14" ht="24">
      <c r="A97" s="3082" t="s">
        <v>3273</v>
      </c>
      <c r="B97" s="3073" t="str">
        <f>估价对象房地状况!C24</f>
        <v>一般</v>
      </c>
      <c r="C97" s="1887"/>
      <c r="D97" s="2309">
        <f t="shared" si="30"/>
        <v>0</v>
      </c>
      <c r="E97" s="3086"/>
      <c r="F97" s="1675"/>
      <c r="G97" s="3076"/>
      <c r="H97" s="3121">
        <f t="shared" si="31"/>
        <v>0</v>
      </c>
      <c r="I97" s="3070">
        <v>0.05</v>
      </c>
      <c r="J97" s="1912">
        <f t="shared" si="27"/>
        <v>0</v>
      </c>
      <c r="K97" s="1912">
        <f t="shared" si="28"/>
        <v>0</v>
      </c>
      <c r="L97" s="1912">
        <v>0</v>
      </c>
      <c r="M97" s="1912">
        <f t="shared" si="29"/>
        <v>0</v>
      </c>
      <c r="N97" s="1912">
        <f t="shared" si="29"/>
        <v>0</v>
      </c>
    </row>
    <row r="98" spans="1:14" ht="24">
      <c r="A98" s="3082" t="s">
        <v>3274</v>
      </c>
      <c r="B98" s="3089" t="s">
        <v>3284</v>
      </c>
      <c r="C98" s="1887"/>
      <c r="D98" s="2309">
        <f t="shared" si="30"/>
        <v>0</v>
      </c>
      <c r="E98" s="3086"/>
      <c r="F98" s="1675"/>
      <c r="G98" s="3076"/>
      <c r="H98" s="3121">
        <f t="shared" si="31"/>
        <v>0</v>
      </c>
      <c r="I98" s="3070">
        <v>0.06</v>
      </c>
      <c r="J98" s="1912">
        <f t="shared" si="27"/>
        <v>0</v>
      </c>
      <c r="K98" s="1912">
        <f t="shared" si="28"/>
        <v>0</v>
      </c>
      <c r="L98" s="1912">
        <v>0</v>
      </c>
      <c r="M98" s="1912">
        <f t="shared" si="29"/>
        <v>0</v>
      </c>
      <c r="N98" s="1912">
        <f t="shared" si="29"/>
        <v>0</v>
      </c>
    </row>
    <row r="99" spans="1:14" ht="24">
      <c r="A99" s="3082" t="s">
        <v>3275</v>
      </c>
      <c r="B99" s="3073" t="str">
        <f>估价对象房地状况!C21</f>
        <v>较好</v>
      </c>
      <c r="C99" s="1887"/>
      <c r="D99" s="2309">
        <f t="shared" si="30"/>
        <v>0</v>
      </c>
      <c r="E99" s="3086"/>
      <c r="F99" s="1675"/>
      <c r="G99" s="3076"/>
      <c r="H99" s="3121">
        <f t="shared" si="31"/>
        <v>0</v>
      </c>
      <c r="I99" s="3070">
        <v>0.06</v>
      </c>
      <c r="J99" s="1912">
        <f t="shared" si="27"/>
        <v>0</v>
      </c>
      <c r="K99" s="1912">
        <f t="shared" si="28"/>
        <v>0</v>
      </c>
      <c r="L99" s="1912">
        <v>0</v>
      </c>
      <c r="M99" s="1912">
        <f t="shared" si="29"/>
        <v>0</v>
      </c>
      <c r="N99" s="1912">
        <f t="shared" si="29"/>
        <v>0</v>
      </c>
    </row>
    <row r="100" spans="1:14" ht="24">
      <c r="A100" s="3082" t="s">
        <v>3276</v>
      </c>
      <c r="B100" s="3073" t="str">
        <f>估价对象房地状况!C22</f>
        <v>七通</v>
      </c>
      <c r="C100" s="1887"/>
      <c r="D100" s="2309">
        <f t="shared" si="30"/>
        <v>0</v>
      </c>
      <c r="E100" s="3086"/>
      <c r="F100" s="1675"/>
      <c r="G100" s="3076"/>
      <c r="H100" s="3121">
        <f t="shared" si="31"/>
        <v>0</v>
      </c>
      <c r="I100" s="3070">
        <v>0.09</v>
      </c>
      <c r="J100" s="1912">
        <f t="shared" si="27"/>
        <v>0</v>
      </c>
      <c r="K100" s="1912">
        <f t="shared" si="28"/>
        <v>0</v>
      </c>
      <c r="L100" s="1912">
        <v>0</v>
      </c>
      <c r="M100" s="1912">
        <f t="shared" si="29"/>
        <v>0</v>
      </c>
      <c r="N100" s="1912">
        <f t="shared" si="29"/>
        <v>0</v>
      </c>
    </row>
    <row r="101" spans="1:14" ht="24.75" thickBot="1">
      <c r="A101" s="3083" t="s">
        <v>3277</v>
      </c>
      <c r="B101" s="3090" t="str">
        <f>估价对象房地状况!C20</f>
        <v>一般</v>
      </c>
      <c r="C101" s="1887"/>
      <c r="D101" s="2309">
        <f t="shared" si="30"/>
        <v>0</v>
      </c>
      <c r="E101" s="3087"/>
      <c r="F101" s="1675"/>
      <c r="G101" s="3076"/>
      <c r="H101" s="3121">
        <f t="shared" si="31"/>
        <v>0</v>
      </c>
      <c r="I101" s="3071">
        <v>7.0000000000000007E-2</v>
      </c>
      <c r="J101" s="1912">
        <f t="shared" si="27"/>
        <v>0</v>
      </c>
      <c r="K101" s="1912">
        <f t="shared" si="28"/>
        <v>0</v>
      </c>
      <c r="L101" s="1912">
        <v>0</v>
      </c>
      <c r="M101" s="1912">
        <f t="shared" si="29"/>
        <v>0</v>
      </c>
      <c r="N101" s="1912">
        <f t="shared" si="29"/>
        <v>0</v>
      </c>
    </row>
    <row r="103" spans="1:14">
      <c r="A103" s="3400" t="s">
        <v>3292</v>
      </c>
      <c r="B103" s="3400"/>
      <c r="C103" s="3400"/>
      <c r="D103" s="3400"/>
      <c r="E103" s="3400"/>
      <c r="F103" s="3400"/>
      <c r="G103" s="3400"/>
      <c r="H103" s="3400"/>
      <c r="I103" s="3400"/>
      <c r="J103" s="3400"/>
      <c r="K103" s="1667"/>
      <c r="L103" s="1667"/>
      <c r="M103" s="1667"/>
      <c r="N103" s="1667"/>
    </row>
    <row r="104" spans="1:14">
      <c r="A104" s="3401" t="s">
        <v>3293</v>
      </c>
      <c r="B104" s="3401" t="s">
        <v>3294</v>
      </c>
      <c r="C104" s="3092" t="s">
        <v>3295</v>
      </c>
      <c r="D104" s="3093"/>
      <c r="E104" s="3093"/>
      <c r="F104" s="3093"/>
      <c r="G104" s="3093"/>
      <c r="H104" s="3093"/>
      <c r="I104" s="3093"/>
      <c r="J104" s="3094"/>
      <c r="K104" s="3095"/>
      <c r="L104" s="3095"/>
      <c r="M104" s="3095"/>
      <c r="N104" s="3095"/>
    </row>
    <row r="105" spans="1:14">
      <c r="A105" s="3401"/>
      <c r="B105" s="3401"/>
      <c r="C105" s="3096" t="s">
        <v>3296</v>
      </c>
      <c r="D105" s="3096" t="s">
        <v>3297</v>
      </c>
      <c r="E105" s="3096" t="s">
        <v>3298</v>
      </c>
      <c r="F105" s="3096" t="s">
        <v>3299</v>
      </c>
      <c r="G105" s="3096" t="s">
        <v>3300</v>
      </c>
      <c r="H105" s="3096" t="s">
        <v>3301</v>
      </c>
      <c r="I105" s="3096" t="s">
        <v>3302</v>
      </c>
      <c r="J105" s="3096" t="s">
        <v>3303</v>
      </c>
      <c r="K105" s="3096" t="s">
        <v>3304</v>
      </c>
      <c r="L105" s="3096" t="s">
        <v>3305</v>
      </c>
      <c r="M105" s="3096" t="s">
        <v>3306</v>
      </c>
      <c r="N105" s="3096" t="s">
        <v>3307</v>
      </c>
    </row>
    <row r="106" spans="1:14">
      <c r="A106" s="3387" t="s">
        <v>3308</v>
      </c>
      <c r="B106" s="3096">
        <v>1</v>
      </c>
      <c r="C106" s="3096">
        <v>1.5206</v>
      </c>
      <c r="D106" s="3096">
        <v>1.5206</v>
      </c>
      <c r="E106" s="3096">
        <v>1.5019</v>
      </c>
      <c r="F106" s="3096">
        <v>1.5019</v>
      </c>
      <c r="G106" s="3096">
        <v>1.5019</v>
      </c>
      <c r="H106" s="3096">
        <v>1.5019</v>
      </c>
      <c r="I106" s="3096">
        <v>1.5019</v>
      </c>
      <c r="J106" s="3096">
        <v>1.5418000000000001</v>
      </c>
      <c r="K106" s="3096">
        <v>1.5418000000000001</v>
      </c>
      <c r="L106" s="3096">
        <v>1.5418000000000001</v>
      </c>
      <c r="M106" s="3096">
        <v>1.5418000000000001</v>
      </c>
      <c r="N106" s="3096">
        <v>1.5418000000000001</v>
      </c>
    </row>
    <row r="107" spans="1:14">
      <c r="A107" s="3388"/>
      <c r="B107" s="3096">
        <v>2</v>
      </c>
      <c r="C107" s="3096">
        <v>1.2072000000000001</v>
      </c>
      <c r="D107" s="3096">
        <v>1.2072000000000001</v>
      </c>
      <c r="E107" s="3096">
        <v>1.1838</v>
      </c>
      <c r="F107" s="3096">
        <v>1.1838</v>
      </c>
      <c r="G107" s="3096">
        <v>1.1838</v>
      </c>
      <c r="H107" s="3096">
        <v>1.1838</v>
      </c>
      <c r="I107" s="3096">
        <v>1.1838</v>
      </c>
      <c r="J107" s="3096">
        <v>1.1883999999999999</v>
      </c>
      <c r="K107" s="3096">
        <v>1.1883999999999999</v>
      </c>
      <c r="L107" s="3096">
        <v>1.1883999999999999</v>
      </c>
      <c r="M107" s="3096">
        <v>1.1883999999999999</v>
      </c>
      <c r="N107" s="3096">
        <v>1.1883999999999999</v>
      </c>
    </row>
    <row r="108" spans="1:14">
      <c r="A108" s="3388"/>
      <c r="B108" s="3096">
        <v>3</v>
      </c>
      <c r="C108" s="3096">
        <v>1.0430999999999999</v>
      </c>
      <c r="D108" s="3096">
        <v>1.0430999999999999</v>
      </c>
      <c r="E108" s="3096">
        <v>1.0004999999999999</v>
      </c>
      <c r="F108" s="3096">
        <v>1.0004999999999999</v>
      </c>
      <c r="G108" s="3096">
        <v>1.0004999999999999</v>
      </c>
      <c r="H108" s="3096">
        <v>1.0004999999999999</v>
      </c>
      <c r="I108" s="3096">
        <v>1.0004999999999999</v>
      </c>
      <c r="J108" s="3096">
        <v>0.96940000000000004</v>
      </c>
      <c r="K108" s="3096">
        <v>0.96940000000000004</v>
      </c>
      <c r="L108" s="3096">
        <v>0.96940000000000004</v>
      </c>
      <c r="M108" s="3096">
        <v>0.96940000000000004</v>
      </c>
      <c r="N108" s="3096">
        <v>0.96940000000000004</v>
      </c>
    </row>
    <row r="109" spans="1:14">
      <c r="A109" s="3388"/>
      <c r="B109" s="3096">
        <v>4</v>
      </c>
      <c r="C109" s="3096">
        <v>0.94389999999999996</v>
      </c>
      <c r="D109" s="3096">
        <v>0.94389999999999996</v>
      </c>
      <c r="E109" s="3096">
        <v>0.88239999999999996</v>
      </c>
      <c r="F109" s="3096">
        <v>0.88239999999999996</v>
      </c>
      <c r="G109" s="3096">
        <v>0.88239999999999996</v>
      </c>
      <c r="H109" s="3096">
        <v>0.88239999999999996</v>
      </c>
      <c r="I109" s="3096">
        <v>0.88239999999999996</v>
      </c>
      <c r="J109" s="3096">
        <v>0.82299999999999995</v>
      </c>
      <c r="K109" s="3096">
        <v>0.82299999999999995</v>
      </c>
      <c r="L109" s="3096">
        <v>0.82299999999999995</v>
      </c>
      <c r="M109" s="3096">
        <v>0.82299999999999995</v>
      </c>
      <c r="N109" s="3096">
        <v>0.82299999999999995</v>
      </c>
    </row>
    <row r="110" spans="1:14">
      <c r="A110" s="3388"/>
      <c r="B110" s="3096">
        <v>5</v>
      </c>
      <c r="C110" s="3096">
        <v>0.89959999999999996</v>
      </c>
      <c r="D110" s="3096">
        <v>0.89959999999999996</v>
      </c>
      <c r="E110" s="3096">
        <v>0.84799999999999998</v>
      </c>
      <c r="F110" s="3096">
        <v>0.84799999999999998</v>
      </c>
      <c r="G110" s="3096">
        <v>0.84799999999999998</v>
      </c>
      <c r="H110" s="3096">
        <v>0.84799999999999998</v>
      </c>
      <c r="I110" s="3096">
        <v>0.84799999999999998</v>
      </c>
      <c r="J110" s="3096">
        <v>0.74980000000000002</v>
      </c>
      <c r="K110" s="3096">
        <v>0.74980000000000002</v>
      </c>
      <c r="L110" s="3096">
        <v>0.74980000000000002</v>
      </c>
      <c r="M110" s="3096">
        <v>0.74980000000000002</v>
      </c>
      <c r="N110" s="3096">
        <v>0.74980000000000002</v>
      </c>
    </row>
    <row r="111" spans="1:14">
      <c r="A111" s="3388"/>
      <c r="B111" s="3096" t="s">
        <v>3266</v>
      </c>
      <c r="C111" s="3097">
        <f>$I$3</f>
        <v>0</v>
      </c>
      <c r="D111" s="3097">
        <f t="shared" ref="D111:M111" si="32">$I$3</f>
        <v>0</v>
      </c>
      <c r="E111" s="3097">
        <f t="shared" si="32"/>
        <v>0</v>
      </c>
      <c r="F111" s="3097">
        <f t="shared" si="32"/>
        <v>0</v>
      </c>
      <c r="G111" s="3097">
        <f t="shared" si="32"/>
        <v>0</v>
      </c>
      <c r="H111" s="3097">
        <f t="shared" si="32"/>
        <v>0</v>
      </c>
      <c r="I111" s="3097">
        <f t="shared" si="32"/>
        <v>0</v>
      </c>
      <c r="J111" s="3097">
        <f t="shared" si="32"/>
        <v>0</v>
      </c>
      <c r="K111" s="3097">
        <f t="shared" si="32"/>
        <v>0</v>
      </c>
      <c r="L111" s="3097">
        <f t="shared" si="32"/>
        <v>0</v>
      </c>
      <c r="M111" s="3097">
        <f t="shared" si="32"/>
        <v>0</v>
      </c>
      <c r="N111" s="3097">
        <f>$I$3</f>
        <v>0</v>
      </c>
    </row>
    <row r="112" spans="1:14">
      <c r="A112" s="3389"/>
      <c r="B112" s="3096">
        <v>6</v>
      </c>
      <c r="C112" s="3091">
        <f>(-0.5556*(C111^2)-0.2719*C111+8944)*(10^(-4))</f>
        <v>0.89440000000000008</v>
      </c>
      <c r="D112" s="3091">
        <f>(-0.5556*(D111^2)-0.2719*D111+8944)*(10^(-4))</f>
        <v>0.89440000000000008</v>
      </c>
      <c r="E112" s="3091">
        <f>(-0.7912*(E111^2)-11.3794*E111+8482)*(10^(-4))</f>
        <v>0.84820000000000007</v>
      </c>
      <c r="F112" s="3091">
        <f t="shared" ref="F112:I112" si="33">(-0.7912*(F111^2)-11.3794*F111+8482)*(10^(-4))</f>
        <v>0.84820000000000007</v>
      </c>
      <c r="G112" s="3091">
        <f t="shared" si="33"/>
        <v>0.84820000000000007</v>
      </c>
      <c r="H112" s="3091">
        <f t="shared" si="33"/>
        <v>0.84820000000000007</v>
      </c>
      <c r="I112" s="3091">
        <f t="shared" si="33"/>
        <v>0.84820000000000007</v>
      </c>
      <c r="J112" s="3091">
        <f>(-0.989*(J111^2)-63.78*J111+7771)*(10^(-4))</f>
        <v>0.77710000000000001</v>
      </c>
      <c r="K112" s="3091">
        <f t="shared" ref="K112:N112" si="34">(-0.989*(K111^2)-63.78*K111+7771)*(10^(-4))</f>
        <v>0.77710000000000001</v>
      </c>
      <c r="L112" s="3091">
        <f t="shared" si="34"/>
        <v>0.77710000000000001</v>
      </c>
      <c r="M112" s="3091">
        <f t="shared" si="34"/>
        <v>0.77710000000000001</v>
      </c>
      <c r="N112" s="3091">
        <f t="shared" si="34"/>
        <v>0.77710000000000001</v>
      </c>
    </row>
    <row r="113" spans="1:14">
      <c r="A113" s="3390" t="s">
        <v>3309</v>
      </c>
      <c r="B113" s="3390"/>
      <c r="C113" s="3390"/>
      <c r="D113" s="3390"/>
      <c r="E113" s="3390"/>
      <c r="F113" s="3390"/>
      <c r="G113" s="3390"/>
      <c r="H113" s="3390"/>
      <c r="I113" s="3390"/>
      <c r="J113" s="3390"/>
      <c r="K113" s="3098"/>
      <c r="L113" s="3098"/>
      <c r="M113" s="3098"/>
      <c r="N113" s="3098"/>
    </row>
    <row r="114" spans="1:14">
      <c r="A114" s="3099"/>
      <c r="B114" s="3099"/>
      <c r="C114" s="3099"/>
      <c r="D114" s="3099"/>
      <c r="E114" s="3099"/>
      <c r="F114" s="3099"/>
      <c r="G114" s="3099"/>
      <c r="H114" s="3099"/>
      <c r="I114" s="3099"/>
      <c r="J114" s="3099"/>
      <c r="K114" s="1964"/>
      <c r="L114" s="3099"/>
      <c r="M114" s="3099"/>
      <c r="N114" s="3099"/>
    </row>
    <row r="115" spans="1:14" ht="13.5" thickBot="1">
      <c r="A115" s="3099"/>
      <c r="B115" s="3099"/>
      <c r="C115" s="3099"/>
      <c r="D115" s="3099"/>
      <c r="E115" s="3099"/>
      <c r="F115" s="3099"/>
      <c r="G115" s="3099"/>
      <c r="H115" s="3099"/>
      <c r="I115" s="3099"/>
      <c r="J115" s="3099"/>
      <c r="K115" s="1964"/>
      <c r="L115" s="3099"/>
      <c r="M115" s="3099"/>
      <c r="N115" s="3099"/>
    </row>
    <row r="116" spans="1:14" ht="25.5" thickBot="1">
      <c r="A116" s="3100" t="s">
        <v>3310</v>
      </c>
      <c r="B116" s="3116">
        <f>G3</f>
        <v>4.1900000000000004</v>
      </c>
      <c r="C116" s="3101" t="s">
        <v>3311</v>
      </c>
      <c r="D116" s="3102">
        <f>SUMPRODUCT((A118:A122=F116)*(B117:M117=H116)*B118:M122)</f>
        <v>0.83889999999999998</v>
      </c>
      <c r="E116" s="162" t="s">
        <v>3312</v>
      </c>
      <c r="F116" s="3103" t="str">
        <f>E2</f>
        <v>公共服务</v>
      </c>
      <c r="G116" s="162" t="s">
        <v>3313</v>
      </c>
      <c r="H116" s="3103" t="str">
        <f>G2</f>
        <v>六级</v>
      </c>
      <c r="I116" s="162"/>
      <c r="J116" s="3104"/>
      <c r="K116" s="3104"/>
      <c r="L116" s="3104"/>
      <c r="M116" s="3104"/>
      <c r="N116" s="3099"/>
    </row>
    <row r="117" spans="1:14">
      <c r="A117" s="3105"/>
      <c r="B117" s="3106" t="s">
        <v>3314</v>
      </c>
      <c r="C117" s="3106" t="s">
        <v>3315</v>
      </c>
      <c r="D117" s="3106" t="s">
        <v>3316</v>
      </c>
      <c r="E117" s="3107" t="s">
        <v>3317</v>
      </c>
      <c r="F117" s="3107" t="s">
        <v>3318</v>
      </c>
      <c r="G117" s="3107" t="s">
        <v>3319</v>
      </c>
      <c r="H117" s="3108" t="s">
        <v>3320</v>
      </c>
      <c r="I117" s="3108" t="s">
        <v>3321</v>
      </c>
      <c r="J117" s="3109" t="s">
        <v>3322</v>
      </c>
      <c r="K117" s="3109" t="s">
        <v>3323</v>
      </c>
      <c r="L117" s="3109" t="s">
        <v>3324</v>
      </c>
      <c r="M117" s="3110" t="s">
        <v>3325</v>
      </c>
      <c r="N117" s="3099"/>
    </row>
    <row r="118" spans="1:14">
      <c r="A118" s="3059" t="s">
        <v>3326</v>
      </c>
      <c r="B118" s="3091">
        <f>ROUND(0.9968-0.011*B116,4)</f>
        <v>0.95069999999999999</v>
      </c>
      <c r="C118" s="3091">
        <f>B118</f>
        <v>0.95069999999999999</v>
      </c>
      <c r="D118" s="3091">
        <f>ROUND(0.949-0.014*B116,4)</f>
        <v>0.89029999999999998</v>
      </c>
      <c r="E118" s="3091">
        <f>D118</f>
        <v>0.89029999999999998</v>
      </c>
      <c r="F118" s="3091">
        <f>E118</f>
        <v>0.89029999999999998</v>
      </c>
      <c r="G118" s="3091">
        <f>F118</f>
        <v>0.89029999999999998</v>
      </c>
      <c r="H118" s="3091">
        <f>G118</f>
        <v>0.89029999999999998</v>
      </c>
      <c r="I118" s="3091">
        <f>ROUND(0.8486-0.018*B116,4)</f>
        <v>0.7732</v>
      </c>
      <c r="J118" s="3091">
        <f t="shared" ref="J118:M122" si="35">I118</f>
        <v>0.7732</v>
      </c>
      <c r="K118" s="3091">
        <f t="shared" si="35"/>
        <v>0.7732</v>
      </c>
      <c r="L118" s="3091">
        <f t="shared" si="35"/>
        <v>0.7732</v>
      </c>
      <c r="M118" s="3111">
        <f t="shared" si="35"/>
        <v>0.7732</v>
      </c>
      <c r="N118" s="3099"/>
    </row>
    <row r="119" spans="1:14">
      <c r="A119" s="3059" t="s">
        <v>3327</v>
      </c>
      <c r="B119" s="3091">
        <f>ROUND(0.993-0.0112*B116,4)</f>
        <v>0.94610000000000005</v>
      </c>
      <c r="C119" s="3091">
        <f>B119</f>
        <v>0.94610000000000005</v>
      </c>
      <c r="D119" s="3091">
        <f>ROUND(0.9415-0.0142*B116,4)</f>
        <v>0.88200000000000001</v>
      </c>
      <c r="E119" s="3091">
        <f t="shared" ref="E119:H120" si="36">D119</f>
        <v>0.88200000000000001</v>
      </c>
      <c r="F119" s="3091">
        <f t="shared" si="36"/>
        <v>0.88200000000000001</v>
      </c>
      <c r="G119" s="3091">
        <f t="shared" si="36"/>
        <v>0.88200000000000001</v>
      </c>
      <c r="H119" s="3091">
        <f t="shared" si="36"/>
        <v>0.88200000000000001</v>
      </c>
      <c r="I119" s="3091">
        <f>ROUND(0.838-0.0182*B116,4)</f>
        <v>0.76170000000000004</v>
      </c>
      <c r="J119" s="3091">
        <f t="shared" si="35"/>
        <v>0.76170000000000004</v>
      </c>
      <c r="K119" s="3091">
        <f t="shared" si="35"/>
        <v>0.76170000000000004</v>
      </c>
      <c r="L119" s="3091">
        <f t="shared" si="35"/>
        <v>0.76170000000000004</v>
      </c>
      <c r="M119" s="3111">
        <f t="shared" si="35"/>
        <v>0.76170000000000004</v>
      </c>
      <c r="N119" s="3099"/>
    </row>
    <row r="120" spans="1:14">
      <c r="A120" s="3059" t="s">
        <v>3328</v>
      </c>
      <c r="B120" s="3091">
        <f>ROUND(0.9448-0.0115*B116,4)</f>
        <v>0.89659999999999995</v>
      </c>
      <c r="C120" s="3091">
        <f>B120</f>
        <v>0.89659999999999995</v>
      </c>
      <c r="D120" s="3091">
        <f>ROUND(0.937-0.0145*B116,4)</f>
        <v>0.87619999999999998</v>
      </c>
      <c r="E120" s="3091">
        <f t="shared" si="36"/>
        <v>0.87619999999999998</v>
      </c>
      <c r="F120" s="3091">
        <f t="shared" si="36"/>
        <v>0.87619999999999998</v>
      </c>
      <c r="G120" s="3091">
        <f t="shared" si="36"/>
        <v>0.87619999999999998</v>
      </c>
      <c r="H120" s="3091">
        <f t="shared" si="36"/>
        <v>0.87619999999999998</v>
      </c>
      <c r="I120" s="3091">
        <f>ROUND(0.7965-0.0185*B116,4)</f>
        <v>0.71899999999999997</v>
      </c>
      <c r="J120" s="3091">
        <f t="shared" si="35"/>
        <v>0.71899999999999997</v>
      </c>
      <c r="K120" s="3091">
        <f t="shared" si="35"/>
        <v>0.71899999999999997</v>
      </c>
      <c r="L120" s="3091">
        <f t="shared" si="35"/>
        <v>0.71899999999999997</v>
      </c>
      <c r="M120" s="3111">
        <f t="shared" si="35"/>
        <v>0.71899999999999997</v>
      </c>
      <c r="N120" s="3099"/>
    </row>
    <row r="121" spans="1:14" ht="13.5" thickBot="1">
      <c r="A121" s="3112" t="s">
        <v>3329</v>
      </c>
      <c r="B121" s="3113">
        <f>ROUND(0.7836-0.012*B116,4)</f>
        <v>0.73329999999999995</v>
      </c>
      <c r="C121" s="3113">
        <f>B121</f>
        <v>0.73329999999999995</v>
      </c>
      <c r="D121" s="3113">
        <f>ROUND(0.753-0.015*B116,4)</f>
        <v>0.69020000000000004</v>
      </c>
      <c r="E121" s="3113">
        <f>D121</f>
        <v>0.69020000000000004</v>
      </c>
      <c r="F121" s="3113">
        <f>E121</f>
        <v>0.69020000000000004</v>
      </c>
      <c r="G121" s="3113">
        <f>ROUND(0.6612-0.018*B116,4)</f>
        <v>0.58579999999999999</v>
      </c>
      <c r="H121" s="3113">
        <f>G121</f>
        <v>0.58579999999999999</v>
      </c>
      <c r="I121" s="3113">
        <f>ROUND(0.5905-0.019*B116,4)</f>
        <v>0.51090000000000002</v>
      </c>
      <c r="J121" s="3113">
        <f t="shared" si="35"/>
        <v>0.51090000000000002</v>
      </c>
      <c r="K121" s="3113">
        <f t="shared" si="35"/>
        <v>0.51090000000000002</v>
      </c>
      <c r="L121" s="3113">
        <f t="shared" si="35"/>
        <v>0.51090000000000002</v>
      </c>
      <c r="M121" s="3114">
        <f t="shared" si="35"/>
        <v>0.51090000000000002</v>
      </c>
      <c r="N121" s="3099"/>
    </row>
    <row r="122" spans="1:14">
      <c r="A122" s="3115" t="s">
        <v>2604</v>
      </c>
      <c r="B122" s="3091">
        <f>ROUND(0.9404-0.0106*B116,4)</f>
        <v>0.89600000000000002</v>
      </c>
      <c r="C122" s="3091">
        <f>B122</f>
        <v>0.89600000000000002</v>
      </c>
      <c r="D122" s="3091">
        <f>ROUND(0.8955-0.0135*B116,4)</f>
        <v>0.83889999999999998</v>
      </c>
      <c r="E122" s="3091">
        <f t="shared" ref="E122:H122" si="37">D122</f>
        <v>0.83889999999999998</v>
      </c>
      <c r="F122" s="3091">
        <f t="shared" si="37"/>
        <v>0.83889999999999998</v>
      </c>
      <c r="G122" s="3091">
        <f t="shared" si="37"/>
        <v>0.83889999999999998</v>
      </c>
      <c r="H122" s="3091">
        <f t="shared" si="37"/>
        <v>0.83889999999999998</v>
      </c>
      <c r="I122" s="3091">
        <f>ROUND(0.7632-0.0166*B116,4)</f>
        <v>0.69359999999999999</v>
      </c>
      <c r="J122" s="3091">
        <f t="shared" si="35"/>
        <v>0.69359999999999999</v>
      </c>
      <c r="K122" s="3091">
        <f t="shared" si="35"/>
        <v>0.69359999999999999</v>
      </c>
      <c r="L122" s="3091">
        <f t="shared" si="35"/>
        <v>0.69359999999999999</v>
      </c>
      <c r="M122" s="3111">
        <f t="shared" si="35"/>
        <v>0.69359999999999999</v>
      </c>
      <c r="N122" s="30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3" priority="6" stopIfTrue="1" operator="notEqual">
      <formula>"——"</formula>
    </cfRule>
  </conditionalFormatting>
  <conditionalFormatting sqref="F61">
    <cfRule type="cellIs" dxfId="152" priority="5" stopIfTrue="1" operator="notEqual">
      <formula>"——"</formula>
    </cfRule>
  </conditionalFormatting>
  <conditionalFormatting sqref="F72">
    <cfRule type="cellIs" dxfId="151" priority="4" stopIfTrue="1" operator="notEqual">
      <formula>"——"</formula>
    </cfRule>
  </conditionalFormatting>
  <conditionalFormatting sqref="F83">
    <cfRule type="cellIs" dxfId="150" priority="3" stopIfTrue="1" operator="notEqual">
      <formula>"——"</formula>
    </cfRule>
  </conditionalFormatting>
  <conditionalFormatting sqref="H50:H58 H61:H69 H72:H80 H83:H91">
    <cfRule type="cellIs" dxfId="149" priority="2" operator="notEqual">
      <formula>"——"</formula>
    </cfRule>
  </conditionalFormatting>
  <conditionalFormatting sqref="H93:H101">
    <cfRule type="cellIs" dxfId="14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18C63-D8ED-40C1-BF63-D746C90D4984}">
  <dimension ref="A1:U5"/>
  <sheetViews>
    <sheetView topLeftCell="A4" workbookViewId="0">
      <selection activeCell="F18" sqref="F18"/>
    </sheetView>
  </sheetViews>
  <sheetFormatPr defaultRowHeight="13.5"/>
  <cols>
    <col min="1" max="1" width="44.75" style="3144" bestFit="1" customWidth="1"/>
    <col min="2" max="2" width="7.125" style="3145" bestFit="1" customWidth="1"/>
    <col min="3" max="3" width="28.375" style="3145" bestFit="1" customWidth="1"/>
    <col min="4" max="4" width="15.25" style="3145" bestFit="1" customWidth="1"/>
    <col min="5" max="6" width="17.375" style="3145" bestFit="1" customWidth="1"/>
    <col min="7" max="7" width="21.875" style="3145" customWidth="1"/>
    <col min="8" max="8" width="11" style="3145" bestFit="1" customWidth="1"/>
    <col min="9" max="9" width="9" style="3145" bestFit="1" customWidth="1"/>
    <col min="10" max="10" width="17.125" style="3145" customWidth="1"/>
    <col min="11" max="11" width="9" style="3145" bestFit="1" customWidth="1"/>
    <col min="12" max="13" width="11.625" style="3145" bestFit="1" customWidth="1"/>
    <col min="14" max="14" width="9" style="3145" bestFit="1" customWidth="1"/>
    <col min="15" max="15" width="24.5" style="3145" bestFit="1" customWidth="1"/>
    <col min="16" max="17" width="13.125" style="3145" bestFit="1" customWidth="1"/>
    <col min="18" max="18" width="15.125" style="3145" bestFit="1" customWidth="1"/>
    <col min="19" max="19" width="13.125" style="3145" bestFit="1" customWidth="1"/>
    <col min="20" max="20" width="18.5" style="3145" bestFit="1" customWidth="1"/>
    <col min="21" max="21" width="10.125" style="3145" bestFit="1" customWidth="1"/>
    <col min="22" max="22" width="20" style="3145" customWidth="1"/>
    <col min="23" max="16384" width="9" style="3145"/>
  </cols>
  <sheetData>
    <row r="1" spans="1:21">
      <c r="A1" s="3144" t="s">
        <v>3403</v>
      </c>
      <c r="B1" s="3145" t="s">
        <v>3404</v>
      </c>
      <c r="C1" s="3145" t="s">
        <v>3405</v>
      </c>
      <c r="D1" s="3145" t="s">
        <v>3406</v>
      </c>
      <c r="E1" s="3145" t="s">
        <v>3407</v>
      </c>
      <c r="F1" s="3145" t="s">
        <v>3408</v>
      </c>
      <c r="G1" s="3145" t="s">
        <v>3409</v>
      </c>
      <c r="H1" s="1448" t="s">
        <v>3447</v>
      </c>
      <c r="I1" s="3145" t="s">
        <v>3410</v>
      </c>
      <c r="J1" s="3145" t="s">
        <v>3411</v>
      </c>
      <c r="K1" s="3145" t="s">
        <v>3412</v>
      </c>
      <c r="L1" s="3145" t="s">
        <v>3413</v>
      </c>
      <c r="M1" s="3145" t="s">
        <v>3414</v>
      </c>
      <c r="N1" s="3145" t="s">
        <v>3415</v>
      </c>
      <c r="O1" s="3145" t="s">
        <v>3416</v>
      </c>
      <c r="P1" s="3145" t="s">
        <v>3417</v>
      </c>
      <c r="Q1" s="3145" t="s">
        <v>3418</v>
      </c>
      <c r="R1" s="3145" t="s">
        <v>3419</v>
      </c>
      <c r="S1" s="3145" t="s">
        <v>3420</v>
      </c>
      <c r="T1" s="3145" t="s">
        <v>3421</v>
      </c>
      <c r="U1" s="3145" t="s">
        <v>3422</v>
      </c>
    </row>
    <row r="2" spans="1:21" ht="27">
      <c r="A2" s="3144" t="s">
        <v>3423</v>
      </c>
      <c r="B2" s="3145" t="s">
        <v>3368</v>
      </c>
      <c r="C2" s="3145" t="s">
        <v>3424</v>
      </c>
      <c r="D2" s="3145" t="s">
        <v>3425</v>
      </c>
      <c r="E2" s="3145">
        <v>12136.3</v>
      </c>
      <c r="F2" s="3145">
        <v>42477</v>
      </c>
      <c r="G2" s="3144">
        <v>3.5</v>
      </c>
      <c r="H2" s="3145">
        <f>ROUND(F2/E2,2)</f>
        <v>3.5</v>
      </c>
      <c r="I2" s="3145" t="s">
        <v>3426</v>
      </c>
      <c r="J2" s="3144" t="s">
        <v>3427</v>
      </c>
      <c r="K2" s="3145" t="s">
        <v>3428</v>
      </c>
      <c r="L2" s="3146">
        <v>44495.000497685185</v>
      </c>
      <c r="M2" s="3146">
        <v>44495.000497685185</v>
      </c>
      <c r="N2" s="3145" t="s">
        <v>3429</v>
      </c>
      <c r="O2" s="3144" t="s">
        <v>3430</v>
      </c>
      <c r="P2" s="3145">
        <v>71000</v>
      </c>
      <c r="Q2" s="3145">
        <v>14200</v>
      </c>
      <c r="R2" s="3144" t="s">
        <v>3431</v>
      </c>
      <c r="S2" s="3145">
        <v>71000</v>
      </c>
      <c r="T2" s="3145">
        <v>16715</v>
      </c>
      <c r="U2" s="3145">
        <v>0</v>
      </c>
    </row>
    <row r="3" spans="1:21" ht="40.5">
      <c r="A3" s="3144" t="s">
        <v>3432</v>
      </c>
      <c r="B3" s="3145" t="s">
        <v>3368</v>
      </c>
      <c r="C3" s="3145" t="s">
        <v>3433</v>
      </c>
      <c r="D3" s="3145" t="s">
        <v>3425</v>
      </c>
      <c r="E3" s="3145">
        <v>28676.63</v>
      </c>
      <c r="F3" s="3145">
        <v>114706.51</v>
      </c>
      <c r="G3" s="3144" t="s">
        <v>3434</v>
      </c>
      <c r="H3" s="3145">
        <f t="shared" ref="H3:H5" si="0">ROUND(F3/E3,2)</f>
        <v>4</v>
      </c>
      <c r="I3" s="3145" t="s">
        <v>3426</v>
      </c>
      <c r="J3" s="3144" t="s">
        <v>3435</v>
      </c>
      <c r="K3" s="3145" t="s">
        <v>3428</v>
      </c>
      <c r="L3" s="3146">
        <v>44179.000497685185</v>
      </c>
      <c r="M3" s="3146">
        <v>44179.000497685185</v>
      </c>
      <c r="N3" s="3145" t="s">
        <v>3429</v>
      </c>
      <c r="O3" s="3144" t="s">
        <v>3436</v>
      </c>
      <c r="P3" s="3145">
        <v>175500</v>
      </c>
      <c r="Q3" s="3145">
        <v>35500</v>
      </c>
      <c r="R3" s="3144" t="s">
        <v>3437</v>
      </c>
      <c r="S3" s="3145">
        <v>175500</v>
      </c>
      <c r="T3" s="3145">
        <v>15300</v>
      </c>
      <c r="U3" s="3145">
        <v>0</v>
      </c>
    </row>
    <row r="4" spans="1:21" ht="40.5">
      <c r="A4" s="3144" t="s">
        <v>3438</v>
      </c>
      <c r="B4" s="3145" t="s">
        <v>3368</v>
      </c>
      <c r="C4" s="3145" t="s">
        <v>3439</v>
      </c>
      <c r="D4" s="3145" t="s">
        <v>3425</v>
      </c>
      <c r="E4" s="3145">
        <v>30159.25</v>
      </c>
      <c r="F4" s="3145">
        <v>138421</v>
      </c>
      <c r="G4" s="3144" t="s">
        <v>3440</v>
      </c>
      <c r="H4" s="3145">
        <f t="shared" si="0"/>
        <v>4.59</v>
      </c>
      <c r="I4" s="3145" t="s">
        <v>3426</v>
      </c>
      <c r="J4" s="3144" t="s">
        <v>3427</v>
      </c>
      <c r="K4" s="3145" t="s">
        <v>3428</v>
      </c>
      <c r="L4" s="3146">
        <v>43811.000497685185</v>
      </c>
      <c r="M4" s="3146">
        <v>43811.000497685185</v>
      </c>
      <c r="N4" s="3145" t="s">
        <v>3429</v>
      </c>
      <c r="O4" s="3144" t="s">
        <v>3441</v>
      </c>
      <c r="P4" s="3145">
        <v>230100</v>
      </c>
      <c r="Q4" s="3145">
        <v>46100</v>
      </c>
      <c r="R4" s="3144" t="s">
        <v>3442</v>
      </c>
      <c r="S4" s="3145">
        <v>230100</v>
      </c>
      <c r="T4" s="3145">
        <v>16623</v>
      </c>
      <c r="U4" s="3145">
        <v>0</v>
      </c>
    </row>
    <row r="5" spans="1:21" ht="40.5">
      <c r="A5" s="3144" t="s">
        <v>3443</v>
      </c>
      <c r="B5" s="3145" t="s">
        <v>3368</v>
      </c>
      <c r="C5" s="3145" t="s">
        <v>3444</v>
      </c>
      <c r="D5" s="3145" t="s">
        <v>3425</v>
      </c>
      <c r="E5" s="3145">
        <v>35629.120000000003</v>
      </c>
      <c r="F5" s="3145">
        <v>100429</v>
      </c>
      <c r="G5" s="3144" t="s">
        <v>3445</v>
      </c>
      <c r="H5" s="3145">
        <f t="shared" si="0"/>
        <v>2.82</v>
      </c>
      <c r="I5" s="3145" t="s">
        <v>3426</v>
      </c>
      <c r="J5" s="3144" t="s">
        <v>3446</v>
      </c>
      <c r="K5" s="3145" t="s">
        <v>3428</v>
      </c>
      <c r="L5" s="3146">
        <v>43811.000497685185</v>
      </c>
      <c r="M5" s="3146">
        <v>43811.000497685185</v>
      </c>
      <c r="N5" s="3145" t="s">
        <v>3429</v>
      </c>
      <c r="O5" s="3144" t="s">
        <v>3441</v>
      </c>
      <c r="P5" s="3145">
        <v>166700</v>
      </c>
      <c r="Q5" s="3145">
        <v>33400</v>
      </c>
      <c r="R5" s="3144" t="s">
        <v>3442</v>
      </c>
      <c r="S5" s="3145">
        <v>166700</v>
      </c>
      <c r="T5" s="3145">
        <v>16599</v>
      </c>
      <c r="U5" s="3145">
        <v>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022D2-BC02-49E3-986B-8B058E1DFF26}">
  <sheetPr>
    <tabColor rgb="FF92D050"/>
  </sheetPr>
  <dimension ref="A1:AK83"/>
  <sheetViews>
    <sheetView view="pageBreakPreview" zoomScale="90" zoomScaleNormal="70" zoomScaleSheetLayoutView="90" workbookViewId="0">
      <selection activeCell="K58" sqref="K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3388</v>
      </c>
      <c r="D1" s="1271" t="s">
        <v>43</v>
      </c>
      <c r="E1" s="1272" t="s">
        <v>678</v>
      </c>
      <c r="F1" s="999">
        <f ca="1">J53</f>
        <v>33.130000000000003</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549</v>
      </c>
      <c r="C2" s="1289" t="s">
        <v>805</v>
      </c>
      <c r="D2" s="1289"/>
      <c r="E2" s="1295"/>
      <c r="F2" s="1296"/>
      <c r="G2" s="2478"/>
      <c r="H2" s="2468"/>
      <c r="I2" s="2468"/>
      <c r="J2" s="2468"/>
      <c r="K2" s="2469"/>
      <c r="L2" s="2468"/>
      <c r="M2" s="2468"/>
    </row>
    <row r="3" spans="1:37" ht="18" customHeight="1" thickBot="1">
      <c r="A3" s="1297" t="s">
        <v>806</v>
      </c>
      <c r="B3" s="1298">
        <f ca="1">IF(ISERROR(B2*10000/F43),0,ROUND(B2*10000/F43,0))</f>
        <v>760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68</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68</v>
      </c>
      <c r="D6" s="147" t="s">
        <v>2107</v>
      </c>
      <c r="E6" s="294" t="s">
        <v>696</v>
      </c>
      <c r="F6" s="295">
        <f ca="1">INDIRECT("'数据-取费表'!u"&amp;$G$1)</f>
        <v>500</v>
      </c>
      <c r="G6" s="1292"/>
      <c r="H6" s="1006" t="s">
        <v>398</v>
      </c>
      <c r="I6" s="3406" t="s">
        <v>694</v>
      </c>
      <c r="J6" s="293">
        <f ca="1">ROUND(M6*M8*M7*(1-M9)/10000,0)</f>
        <v>0</v>
      </c>
      <c r="K6" s="147" t="s">
        <v>2106</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126</v>
      </c>
      <c r="G7" s="1292"/>
      <c r="H7" s="296"/>
      <c r="I7" s="3407"/>
      <c r="J7" s="298"/>
      <c r="K7" s="299"/>
      <c r="L7" s="294" t="s">
        <v>697</v>
      </c>
      <c r="M7" s="295">
        <f ca="1">F7</f>
        <v>126</v>
      </c>
    </row>
    <row r="8" spans="1:37" ht="18" customHeight="1">
      <c r="A8" s="296"/>
      <c r="B8" s="3407"/>
      <c r="C8" s="298"/>
      <c r="D8" s="299"/>
      <c r="E8" s="294" t="s">
        <v>698</v>
      </c>
      <c r="F8" s="295">
        <f ca="1">INDIRECT("'数据-取费表'!ai"&amp;$G$1)</f>
        <v>12</v>
      </c>
      <c r="G8" s="1292"/>
      <c r="H8" s="296"/>
      <c r="I8" s="3407"/>
      <c r="J8" s="298"/>
      <c r="K8" s="299"/>
      <c r="L8" s="294" t="s">
        <v>698</v>
      </c>
      <c r="M8" s="295">
        <f ca="1">INDIRECT("'数据-取费表'!ai"&amp;$G$1)</f>
        <v>12</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t="s">
        <v>3392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2839</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2181</v>
      </c>
      <c r="D14" s="1257" t="s">
        <v>708</v>
      </c>
      <c r="E14" s="1255"/>
      <c r="F14" s="311"/>
      <c r="G14" s="1292"/>
      <c r="H14" s="928" t="s">
        <v>398</v>
      </c>
      <c r="I14" s="294" t="s">
        <v>709</v>
      </c>
      <c r="J14" s="21">
        <f ca="1">C29</f>
        <v>3086</v>
      </c>
      <c r="K14" s="12"/>
      <c r="L14" s="759"/>
      <c r="M14" s="760"/>
    </row>
    <row r="15" spans="1:37" s="1304" customFormat="1" ht="18" customHeight="1" thickBot="1">
      <c r="A15" s="928" t="s">
        <v>399</v>
      </c>
      <c r="B15" s="294" t="s">
        <v>710</v>
      </c>
      <c r="C15" s="21">
        <f ca="1">ROUND(C14*F15,0)</f>
        <v>65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31</v>
      </c>
      <c r="K16" s="1024" t="s">
        <v>715</v>
      </c>
      <c r="L16" s="1025"/>
      <c r="M16" s="1009"/>
    </row>
    <row r="17" spans="1:37" s="1304" customFormat="1" ht="18" customHeight="1">
      <c r="A17" s="928" t="s">
        <v>681</v>
      </c>
      <c r="B17" s="294" t="s">
        <v>716</v>
      </c>
      <c r="C17" s="21">
        <f ca="1">ROUND(F17*(F43+INDIRECT("'数据-取费表'!S"&amp;$G$1))/10000,0)</f>
        <v>145</v>
      </c>
      <c r="D17" s="294" t="s">
        <v>717</v>
      </c>
      <c r="E17" s="294" t="s">
        <v>718</v>
      </c>
      <c r="F17" s="23">
        <f>'数据-取费表'!B35</f>
        <v>200</v>
      </c>
      <c r="G17" s="1303"/>
      <c r="H17" s="928" t="s">
        <v>398</v>
      </c>
      <c r="I17" s="294" t="s">
        <v>719</v>
      </c>
      <c r="J17" s="2140">
        <f ca="1">ROUND(IF(AND(项目基本情况!B11="自然人",项目基本情况!B10="北京市"),J6*M17/(1+'数据-取费表'!C42),J18+J19+J20),2)</f>
        <v>0.17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2424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73</v>
      </c>
      <c r="D20" s="315" t="s">
        <v>729</v>
      </c>
      <c r="E20" s="294" t="s">
        <v>712</v>
      </c>
      <c r="F20" s="314">
        <f>'数据-取费表'!B37</f>
        <v>0.03</v>
      </c>
      <c r="G20" s="1303"/>
      <c r="H20" s="928" t="s">
        <v>680</v>
      </c>
      <c r="I20" s="147" t="s">
        <v>730</v>
      </c>
      <c r="J20" s="22">
        <f ca="1">ROUND(M20*M21/10000,2)</f>
        <v>0.17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1152.51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30.86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683</v>
      </c>
      <c r="I24" s="1027" t="s">
        <v>728</v>
      </c>
      <c r="J24" s="1028">
        <f ca="1">ROUND(J5*M24,2)</f>
        <v>0</v>
      </c>
      <c r="K24" s="1029" t="s">
        <v>748</v>
      </c>
      <c r="L24" s="1027" t="s">
        <v>712</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-31</v>
      </c>
      <c r="K25" s="1032" t="s">
        <v>753</v>
      </c>
      <c r="L25" s="1033"/>
      <c r="M25" s="1034"/>
    </row>
    <row r="26" spans="1:37">
      <c r="A26" s="928" t="s">
        <v>397</v>
      </c>
      <c r="B26" s="294" t="s">
        <v>754</v>
      </c>
      <c r="C26" s="21">
        <f ca="1">ROUND((C19+C20)*F26,0)</f>
        <v>250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3086</v>
      </c>
      <c r="D29" s="1029"/>
      <c r="E29" s="1027"/>
      <c r="F29" s="1030"/>
      <c r="G29" s="1303"/>
      <c r="H29" s="325" t="s">
        <v>396</v>
      </c>
      <c r="I29" s="326" t="s">
        <v>768</v>
      </c>
      <c r="J29" s="327">
        <f ca="1">ROUND(J26/(1+F40)^F41,0)</f>
        <v>0</v>
      </c>
      <c r="K29" s="328" t="s">
        <v>769</v>
      </c>
      <c r="L29" s="329"/>
      <c r="M29" s="330">
        <f ca="1">INDIRECT("'数据-取费表'!k"&amp;$G$1)</f>
        <v>7219.03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11.57</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3.63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7.77</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0.17</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1152.51</v>
      </c>
      <c r="G35" s="1292"/>
      <c r="H35" s="2470"/>
      <c r="I35" s="1305"/>
      <c r="J35" s="1306"/>
      <c r="K35" s="2474"/>
      <c r="L35" s="2473"/>
      <c r="M35" s="2473"/>
    </row>
    <row r="36" spans="1:18" ht="18" customHeight="1">
      <c r="A36" s="1039" t="s">
        <v>402</v>
      </c>
      <c r="B36" s="294" t="s">
        <v>738</v>
      </c>
      <c r="C36" s="21">
        <f ca="1">ROUND(C29*F36,2)</f>
        <v>30.86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ROUND(C13*F37,2)</f>
        <v>2.84</v>
      </c>
      <c r="D37" s="1256" t="s">
        <v>743</v>
      </c>
      <c r="E37" s="294" t="s">
        <v>712</v>
      </c>
      <c r="F37" s="321">
        <f ca="1">INDIRECT("'数据-取费表'!Al"&amp;$G$1)</f>
        <v>1E-3</v>
      </c>
      <c r="G37" s="1292"/>
      <c r="H37" s="2473"/>
      <c r="I37" s="1305"/>
      <c r="J37" s="1306"/>
      <c r="K37" s="2330"/>
      <c r="L37" s="2473"/>
      <c r="M37" s="2473"/>
    </row>
    <row r="38" spans="1:18" ht="18" customHeight="1" thickBot="1">
      <c r="A38" s="1026" t="s">
        <v>683</v>
      </c>
      <c r="B38" s="1027" t="s">
        <v>728</v>
      </c>
      <c r="C38" s="1028">
        <f ca="1">ROUND(C5*F38,2)</f>
        <v>1.02</v>
      </c>
      <c r="D38" s="1029" t="s">
        <v>748</v>
      </c>
      <c r="E38" s="1027" t="s">
        <v>712</v>
      </c>
      <c r="F38" s="1023">
        <f ca="1">INDIRECT("'数据-取费表'!Am"&amp;$G$1)</f>
        <v>1.4999999999999999E-2</v>
      </c>
      <c r="G38" s="1292"/>
      <c r="H38" s="2473"/>
      <c r="I38" s="1305"/>
      <c r="J38" s="1306"/>
      <c r="K38" s="2471"/>
      <c r="L38" s="2473"/>
      <c r="M38" s="2473"/>
    </row>
    <row r="39" spans="1:18" ht="24.6" customHeight="1" thickTop="1">
      <c r="A39" s="1016" t="s">
        <v>394</v>
      </c>
      <c r="B39" s="1031" t="s">
        <v>752</v>
      </c>
      <c r="C39" s="302">
        <f ca="1">C5-C30</f>
        <v>22</v>
      </c>
      <c r="D39" s="1032" t="s">
        <v>753</v>
      </c>
      <c r="E39" s="1033"/>
      <c r="F39" s="1034"/>
      <c r="G39" s="1292"/>
      <c r="H39" s="2473"/>
      <c r="I39" s="1305"/>
      <c r="J39" s="1306"/>
      <c r="K39" s="2471"/>
      <c r="L39" s="2473"/>
      <c r="M39" s="2473"/>
    </row>
    <row r="40" spans="1:18" ht="18" customHeight="1">
      <c r="A40" s="291" t="s">
        <v>395</v>
      </c>
      <c r="B40" s="292" t="s">
        <v>774</v>
      </c>
      <c r="C40" s="293">
        <f ca="1">ROUND(C39*(1-((1+F42)/(1+F40))^F41)/(F40-F42),0)</f>
        <v>453</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33.130000000000003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628</v>
      </c>
      <c r="D43" s="328" t="s">
        <v>777</v>
      </c>
      <c r="E43" s="329" t="s">
        <v>778</v>
      </c>
      <c r="F43" s="330">
        <f ca="1">INDIRECT("'数据-取费表'!k"&amp;$G$1)</f>
        <v>7219.03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-998</v>
      </c>
      <c r="D46" s="1313" t="str">
        <f>C2</f>
        <v>万元</v>
      </c>
      <c r="E46" s="1307"/>
      <c r="F46" s="1307"/>
      <c r="I46" s="1314" t="s">
        <v>810</v>
      </c>
      <c r="J46" s="1315"/>
      <c r="K46" s="1316"/>
      <c r="L46" s="1317">
        <f ca="1">IF(M47="住宅",0,IF(L48&gt;J51,L60,J60))</f>
        <v>96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3393</v>
      </c>
      <c r="K47" s="1323" t="s">
        <v>816</v>
      </c>
      <c r="L47" s="1324">
        <f ca="1">INDIRECT("'数据-取费表'!d"&amp;$G$1)</f>
        <v>50</v>
      </c>
      <c r="M47" s="1288" t="str">
        <f>IF(ISNUMBER(FIND("住宅",C1)),"住宅","非住宅")</f>
        <v>非住宅</v>
      </c>
      <c r="O47" s="1325" t="s">
        <v>403</v>
      </c>
      <c r="P47" s="1326" t="s">
        <v>817</v>
      </c>
      <c r="Q47" s="1327">
        <f ca="1">C40+J29</f>
        <v>453</v>
      </c>
      <c r="R47" s="1327" t="s">
        <v>818</v>
      </c>
    </row>
    <row r="48" spans="1:18" s="1292" customFormat="1" ht="28.5" thickBot="1">
      <c r="A48" s="1047" t="s">
        <v>438</v>
      </c>
      <c r="B48" s="292" t="s">
        <v>692</v>
      </c>
      <c r="C48" s="1268">
        <f ca="1">C49+C53+C55</f>
        <v>0</v>
      </c>
      <c r="D48" s="1049"/>
      <c r="E48" s="1050"/>
      <c r="F48" s="908"/>
      <c r="G48" s="681"/>
      <c r="H48" s="682"/>
      <c r="I48" s="1328" t="s">
        <v>819</v>
      </c>
      <c r="J48" s="1329" t="s">
        <v>3394</v>
      </c>
      <c r="K48" s="1330" t="s">
        <v>820</v>
      </c>
      <c r="L48" s="1331">
        <f ca="1">INDIRECT("'数据-取费表'!f"&amp;$G$1)</f>
        <v>33.130000000000003</v>
      </c>
      <c r="O48" s="1325" t="s">
        <v>404</v>
      </c>
      <c r="P48" s="1326" t="s">
        <v>821</v>
      </c>
      <c r="Q48" s="1327">
        <f ca="1">J60</f>
        <v>96</v>
      </c>
      <c r="R48" s="1327" t="s">
        <v>822</v>
      </c>
    </row>
    <row r="49" spans="1:18" s="1292" customFormat="1" ht="13.5" thickBot="1">
      <c r="A49" s="921" t="s">
        <v>439</v>
      </c>
      <c r="B49" s="1279" t="s">
        <v>779</v>
      </c>
      <c r="C49" s="1051">
        <f ca="1">ROUND(F49*F51*F50*(1-F52)/10000,0)</f>
        <v>0</v>
      </c>
      <c r="D49" s="992" t="s">
        <v>2106</v>
      </c>
      <c r="E49" s="1280" t="s">
        <v>780</v>
      </c>
      <c r="F49" s="997"/>
      <c r="H49" s="682"/>
      <c r="I49" s="1328" t="s">
        <v>823</v>
      </c>
      <c r="J49" s="1332">
        <v>2017</v>
      </c>
      <c r="K49" s="1330" t="s">
        <v>824</v>
      </c>
      <c r="L49" s="1333"/>
      <c r="O49" s="1334" t="s">
        <v>405</v>
      </c>
      <c r="P49" s="1326" t="s">
        <v>825</v>
      </c>
      <c r="Q49" s="1327">
        <f ca="1">C29</f>
        <v>3086</v>
      </c>
      <c r="R49" s="1327" t="s">
        <v>818</v>
      </c>
    </row>
    <row r="50" spans="1:18" s="1292" customFormat="1" ht="13.5" thickBot="1">
      <c r="A50" s="922"/>
      <c r="B50" s="925"/>
      <c r="C50" s="1055"/>
      <c r="D50" s="899"/>
      <c r="E50" s="993" t="s">
        <v>697</v>
      </c>
      <c r="F50" s="994">
        <f ca="1">F7</f>
        <v>126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55</v>
      </c>
      <c r="K51" s="1339" t="s">
        <v>830</v>
      </c>
      <c r="L51" s="1340">
        <f ca="1">ROUND(-PV(INDIRECT("'数据-取费表'!h"&amp;$G$1),J51,(C39-C13*C76),0),0)</f>
        <v>-4441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33.130000000000003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33.130000000000003</v>
      </c>
      <c r="K53" s="3409" t="s">
        <v>837</v>
      </c>
      <c r="L53" s="3410"/>
      <c r="O53" s="1325" t="s">
        <v>409</v>
      </c>
      <c r="P53" s="1326" t="s">
        <v>838</v>
      </c>
      <c r="Q53" s="1327">
        <f ca="1">Q47+Q48</f>
        <v>549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2839</v>
      </c>
      <c r="D56" s="1352"/>
      <c r="E56" s="1353"/>
      <c r="F56" s="1345"/>
      <c r="I56" s="1354" t="s">
        <v>842</v>
      </c>
      <c r="J56" s="1355" t="s">
        <v>3483</v>
      </c>
      <c r="K56" s="1328" t="s">
        <v>843</v>
      </c>
      <c r="L56" s="1331" t="str">
        <f ca="1">IF(L48&lt;J51,"——",L48-J53)</f>
        <v>——</v>
      </c>
      <c r="O56" s="1325" t="s">
        <v>403</v>
      </c>
      <c r="P56" s="1326" t="s">
        <v>817</v>
      </c>
      <c r="Q56" s="1327">
        <f ca="1">C40+J29</f>
        <v>453</v>
      </c>
      <c r="R56" s="1327" t="s">
        <v>818</v>
      </c>
    </row>
    <row r="57" spans="1:18" s="1292" customFormat="1" ht="24.75" thickBot="1">
      <c r="A57" s="1356"/>
      <c r="B57" s="896" t="s">
        <v>767</v>
      </c>
      <c r="C57" s="230">
        <f ca="1">C29</f>
        <v>3086</v>
      </c>
      <c r="D57" s="1357"/>
      <c r="E57" s="1358"/>
      <c r="F57" s="1359"/>
      <c r="I57" s="1360" t="s">
        <v>844</v>
      </c>
      <c r="J57" s="1361">
        <f ca="1">IF(OR(M47="住宅",J51&lt;L48,J56="是"),"——",J51-L48)</f>
        <v>21.869999999999997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0.17</v>
      </c>
      <c r="D62" s="911" t="s">
        <v>731</v>
      </c>
      <c r="E62" s="896" t="s">
        <v>732</v>
      </c>
      <c r="F62" s="317">
        <f t="shared" si="0"/>
        <v>1.5</v>
      </c>
      <c r="I62" s="1367" t="s">
        <v>858</v>
      </c>
      <c r="J62" s="610" t="s">
        <v>859</v>
      </c>
      <c r="K62" s="610" t="s">
        <v>860</v>
      </c>
      <c r="L62" s="610" t="s">
        <v>861</v>
      </c>
      <c r="M62" s="1368" t="s">
        <v>862</v>
      </c>
      <c r="O62" s="1325" t="s">
        <v>409</v>
      </c>
      <c r="P62" s="1326" t="s">
        <v>838</v>
      </c>
      <c r="Q62" s="1327">
        <f ca="1">Q56+Q57</f>
        <v>453</v>
      </c>
      <c r="R62" s="1327" t="s">
        <v>410</v>
      </c>
    </row>
    <row r="63" spans="1:18" s="1292" customFormat="1" ht="13.5" thickBot="1">
      <c r="A63" s="318"/>
      <c r="B63" s="902"/>
      <c r="C63" s="26"/>
      <c r="D63" s="912"/>
      <c r="E63" s="896" t="s">
        <v>736</v>
      </c>
      <c r="F63" s="295">
        <f t="shared" ca="1" si="0"/>
        <v>1152.51</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30.86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2.84</v>
      </c>
      <c r="D65" s="910" t="s">
        <v>743</v>
      </c>
      <c r="E65" s="896" t="s">
        <v>712</v>
      </c>
      <c r="F65" s="321">
        <f t="shared" ca="1" si="0"/>
        <v>1E-3</v>
      </c>
      <c r="I65" s="1367" t="s">
        <v>867</v>
      </c>
      <c r="J65" s="610">
        <v>40</v>
      </c>
      <c r="K65" s="610">
        <v>30</v>
      </c>
      <c r="L65" s="610">
        <v>50</v>
      </c>
      <c r="M65" s="1369">
        <v>0.02</v>
      </c>
      <c r="O65" s="1325" t="s">
        <v>403</v>
      </c>
      <c r="P65" s="1326" t="s">
        <v>817</v>
      </c>
      <c r="Q65" s="1327">
        <f ca="1">C40+J29</f>
        <v>453</v>
      </c>
      <c r="R65" s="1327" t="s">
        <v>818</v>
      </c>
    </row>
    <row r="66" spans="1:18" s="1292" customFormat="1" ht="16.5" thickBot="1">
      <c r="A66" s="928" t="s">
        <v>793</v>
      </c>
      <c r="B66" s="896" t="s">
        <v>728</v>
      </c>
      <c r="C66" s="21">
        <f ca="1">ROUND(C48*F66,2)</f>
        <v>0</v>
      </c>
      <c r="D66" s="910" t="s">
        <v>748</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-34</v>
      </c>
      <c r="D67" s="909" t="s">
        <v>753</v>
      </c>
      <c r="E67" s="914"/>
      <c r="F67" s="915"/>
      <c r="O67" s="1334" t="s">
        <v>405</v>
      </c>
      <c r="P67" s="1326" t="s">
        <v>850</v>
      </c>
      <c r="Q67" s="1370">
        <f ca="1">L51</f>
        <v>-4441</v>
      </c>
      <c r="R67" s="1327" t="s">
        <v>870</v>
      </c>
    </row>
    <row r="68" spans="1:18" s="1292" customFormat="1" ht="16.5" thickBot="1">
      <c r="A68" s="893" t="s">
        <v>395</v>
      </c>
      <c r="B68" s="894" t="s">
        <v>774</v>
      </c>
      <c r="C68" s="293">
        <f ca="1">ROUND(C67*(1-((1+F70)/(1+F68))^F69)/(F68-F70),0)</f>
        <v>-545</v>
      </c>
      <c r="D68" s="911" t="s">
        <v>758</v>
      </c>
      <c r="E68" s="896" t="s">
        <v>759</v>
      </c>
      <c r="F68" s="304">
        <f ca="1">F40</f>
        <v>0.05</v>
      </c>
      <c r="O68" s="1334" t="s">
        <v>406</v>
      </c>
      <c r="P68" s="1371" t="s">
        <v>871</v>
      </c>
      <c r="Q68" s="1327">
        <f ca="1">ROUND(Q69-Q70*Q71,0)</f>
        <v>-219</v>
      </c>
      <c r="R68" s="1327" t="s">
        <v>414</v>
      </c>
    </row>
    <row r="69" spans="1:18" s="1292" customFormat="1" ht="13.5" thickBot="1">
      <c r="A69" s="897"/>
      <c r="B69" s="898"/>
      <c r="C69" s="298"/>
      <c r="D69" s="916" t="s">
        <v>762</v>
      </c>
      <c r="E69" s="896" t="s">
        <v>763</v>
      </c>
      <c r="F69" s="324">
        <f ca="1">F41</f>
        <v>33.130000000000003</v>
      </c>
      <c r="O69" s="1334" t="s">
        <v>411</v>
      </c>
      <c r="P69" s="1371" t="s">
        <v>872</v>
      </c>
      <c r="Q69" s="1327">
        <f ca="1">C39</f>
        <v>22</v>
      </c>
      <c r="R69" s="1327" t="s">
        <v>818</v>
      </c>
    </row>
    <row r="70" spans="1:18" s="1292" customFormat="1" ht="13.5" thickBot="1">
      <c r="A70" s="900"/>
      <c r="B70" s="901"/>
      <c r="C70" s="302"/>
      <c r="D70" s="912"/>
      <c r="E70" s="896" t="s">
        <v>766</v>
      </c>
      <c r="F70" s="991"/>
      <c r="O70" s="1334" t="s">
        <v>412</v>
      </c>
      <c r="P70" s="1371" t="s">
        <v>873</v>
      </c>
      <c r="Q70" s="1327">
        <f ca="1">C13</f>
        <v>2839</v>
      </c>
      <c r="R70" s="1327" t="s">
        <v>818</v>
      </c>
    </row>
    <row r="71" spans="1:18" s="1292" customFormat="1" ht="13.5" thickBot="1">
      <c r="A71" s="917" t="s">
        <v>396</v>
      </c>
      <c r="B71" s="918" t="s">
        <v>776</v>
      </c>
      <c r="C71" s="327">
        <f ca="1">ROUND(C68*10000/F71,0)</f>
        <v>-755</v>
      </c>
      <c r="D71" s="919" t="s">
        <v>777</v>
      </c>
      <c r="E71" s="920" t="s">
        <v>778</v>
      </c>
      <c r="F71" s="330">
        <f ca="1">F43</f>
        <v>7219.03</v>
      </c>
      <c r="O71" s="1334" t="s">
        <v>413</v>
      </c>
      <c r="P71" s="1371" t="s">
        <v>874</v>
      </c>
      <c r="Q71" s="1337">
        <f ca="1">C76</f>
        <v>8.5000000000000006E-2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241</v>
      </c>
      <c r="D75" s="1292"/>
      <c r="E75" s="1292"/>
      <c r="F75" s="1292"/>
      <c r="K75" s="1309"/>
      <c r="L75" s="1292"/>
      <c r="O75" s="1325" t="s">
        <v>409</v>
      </c>
      <c r="P75" s="1326" t="s">
        <v>838</v>
      </c>
      <c r="Q75" s="1327">
        <f ca="1">Q65+Q66</f>
        <v>453</v>
      </c>
      <c r="R75" s="1327" t="s">
        <v>410</v>
      </c>
    </row>
    <row r="76" spans="1:18">
      <c r="B76" s="333" t="s">
        <v>796</v>
      </c>
      <c r="C76" s="334">
        <f ca="1">INDIRECT("'数据-取费表'!j"&amp;$G$1)</f>
        <v>8.5000000000000006E-2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-9.9550000000000001</v>
      </c>
    </row>
    <row r="80" spans="1:18">
      <c r="B80" s="331" t="s">
        <v>800</v>
      </c>
      <c r="C80" s="266">
        <f ca="1">ROUND(C75/C39,3)</f>
        <v>10.955</v>
      </c>
    </row>
    <row r="81" spans="2:3">
      <c r="B81" s="262" t="s">
        <v>801</v>
      </c>
      <c r="C81" s="230"/>
    </row>
    <row r="82" spans="2:3">
      <c r="B82" s="265" t="s">
        <v>802</v>
      </c>
      <c r="C82" s="267">
        <f ca="1">1-C83</f>
        <v>-5.2670000000000003</v>
      </c>
    </row>
    <row r="83" spans="2:3">
      <c r="B83" s="265" t="s">
        <v>803</v>
      </c>
      <c r="C83" s="266">
        <f ca="1">ROUND(C13/C40,3)</f>
        <v>6.2670000000000003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xr:uid="{F86ED217-965B-4984-A7FD-98FB765EAAFE}">
      <formula1>"在建（套用方法）,土地（套用方法）,——"</formula1>
    </dataValidation>
    <dataValidation type="list" allowBlank="1" showInputMessage="1" showErrorMessage="1" sqref="M10 F10 F53" xr:uid="{A7758075-D8CE-43A3-8E13-7528280262EC}">
      <formula1>"押一,押二,押三,自定义"</formula1>
    </dataValidation>
    <dataValidation type="list" allowBlank="1" showInputMessage="1" showErrorMessage="1" sqref="L55" xr:uid="{1C62EE04-7BE5-4FC8-9338-426BF298C8A8}">
      <formula1>"比较法,基准地价,收益还原"</formula1>
    </dataValidation>
    <dataValidation type="list" allowBlank="1" showInputMessage="1" showErrorMessage="1" sqref="J56" xr:uid="{721E2F82-5949-4E2B-A362-B5989571C92B}">
      <formula1>估价范围判定</formula1>
    </dataValidation>
    <dataValidation type="list" allowBlank="1" showInputMessage="1" showErrorMessage="1" sqref="J48" xr:uid="{C6CE4C61-3C50-4EDF-BD33-9BFDB3435ACF}">
      <formula1>"非生产用房,生产用房,受腐蚀的生产用房"</formula1>
    </dataValidation>
    <dataValidation type="list" allowBlank="1" showInputMessage="1" showErrorMessage="1" sqref="J47" xr:uid="{6CD48ED2-80FD-49EF-841C-D2E68351B76B}">
      <formula1>"钢,钢混,砖混"</formula1>
    </dataValidation>
    <dataValidation type="list" allowBlank="1" showInputMessage="1" showErrorMessage="1" sqref="C1" xr:uid="{0C889CA3-FB0B-4290-98C6-8A2E87D1EAA0}">
      <formula1>项目类型</formula1>
    </dataValidation>
    <dataValidation type="list" allowBlank="1" showInputMessage="1" showErrorMessage="1" sqref="D33 D61" xr:uid="{0DA11637-3DC9-431A-9479-871E9EB1DC1D}">
      <formula1>"按租金收入计税,按房产原值计税,按票据"</formula1>
    </dataValidation>
    <dataValidation type="list" allowBlank="1" showInputMessage="1" showErrorMessage="1" sqref="K19" xr:uid="{A122E95A-3980-4B3B-996B-2889D45376EC}">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E34" zoomScale="90" zoomScaleNormal="70" zoomScaleSheetLayoutView="90" workbookViewId="0">
      <selection activeCell="K58" sqref="K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33.130000000000003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64100</v>
      </c>
      <c r="C2" s="1289" t="s">
        <v>805</v>
      </c>
      <c r="D2" s="1289"/>
      <c r="E2" s="1295"/>
      <c r="F2" s="1296"/>
      <c r="G2" s="2478"/>
      <c r="H2" s="2468"/>
      <c r="I2" s="2468"/>
      <c r="J2" s="2468"/>
      <c r="K2" s="2469"/>
      <c r="L2" s="2468"/>
      <c r="M2" s="2468"/>
    </row>
    <row r="3" spans="1:37" ht="18" customHeight="1" thickBot="1">
      <c r="A3" s="1297" t="s">
        <v>806</v>
      </c>
      <c r="B3" s="1298">
        <f ca="1">IF(ISERROR(B2*10000/F43),0,ROUND(B2*10000/F43,0))</f>
        <v>19903</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3814</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3809</v>
      </c>
      <c r="D6" s="147" t="s">
        <v>2107</v>
      </c>
      <c r="E6" s="294" t="s">
        <v>696</v>
      </c>
      <c r="F6" s="295">
        <f ca="1">INDIRECT("'数据-取费表'!u"&amp;$G$1)</f>
        <v>3.6</v>
      </c>
      <c r="G6" s="1292"/>
      <c r="H6" s="1006" t="s">
        <v>398</v>
      </c>
      <c r="I6" s="3406" t="s">
        <v>694</v>
      </c>
      <c r="J6" s="293">
        <f ca="1">ROUND(M6*M8*M7*(1-M9)/10000,0)</f>
        <v>0</v>
      </c>
      <c r="K6" s="147" t="s">
        <v>2106</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32206.960000000006</v>
      </c>
      <c r="G7" s="1292"/>
      <c r="H7" s="296"/>
      <c r="I7" s="3407"/>
      <c r="J7" s="298"/>
      <c r="K7" s="299"/>
      <c r="L7" s="294" t="s">
        <v>697</v>
      </c>
      <c r="M7" s="295">
        <f ca="1">F7</f>
        <v>32206.960000000006</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5</v>
      </c>
      <c r="D10" s="150" t="s">
        <v>2115</v>
      </c>
      <c r="E10" s="305" t="s">
        <v>701</v>
      </c>
      <c r="F10" s="1053" t="s">
        <v>3392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18852</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12952</v>
      </c>
      <c r="D14" s="1257" t="s">
        <v>708</v>
      </c>
      <c r="E14" s="1255"/>
      <c r="F14" s="311"/>
      <c r="G14" s="1292"/>
      <c r="H14" s="928" t="s">
        <v>398</v>
      </c>
      <c r="I14" s="294" t="s">
        <v>709</v>
      </c>
      <c r="J14" s="21">
        <f ca="1">C29</f>
        <v>20491</v>
      </c>
      <c r="K14" s="12"/>
      <c r="L14" s="759"/>
      <c r="M14" s="760"/>
    </row>
    <row r="15" spans="1:37" s="1304" customFormat="1" ht="18" customHeight="1" thickBot="1">
      <c r="A15" s="928" t="s">
        <v>399</v>
      </c>
      <c r="B15" s="294" t="s">
        <v>710</v>
      </c>
      <c r="C15" s="21">
        <f ca="1">ROUND(C14*F15,0)</f>
        <v>389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206</v>
      </c>
      <c r="K16" s="1024" t="s">
        <v>715</v>
      </c>
      <c r="L16" s="1025"/>
      <c r="M16" s="1009"/>
    </row>
    <row r="17" spans="1:37" s="1304" customFormat="1" ht="18" customHeight="1">
      <c r="A17" s="928" t="s">
        <v>681</v>
      </c>
      <c r="B17" s="294" t="s">
        <v>716</v>
      </c>
      <c r="C17" s="21">
        <f ca="1">ROUND(F17*(F43+INDIRECT("'数据-取费表'!S"&amp;$G$1))/10000,0)</f>
        <v>649</v>
      </c>
      <c r="D17" s="294" t="s">
        <v>717</v>
      </c>
      <c r="E17" s="294" t="s">
        <v>718</v>
      </c>
      <c r="F17" s="23">
        <f>'数据-取费表'!B35</f>
        <v>200</v>
      </c>
      <c r="G17" s="1303"/>
      <c r="H17" s="928" t="s">
        <v>398</v>
      </c>
      <c r="I17" s="294" t="s">
        <v>719</v>
      </c>
      <c r="J17" s="2140">
        <f ca="1">ROUND(IF(AND(项目基本情况!B11="自然人",项目基本情况!B10="北京市"),J6*M17/(1+'数据-取费表'!C42),J18+J19+J20),2)</f>
        <v>0.77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14184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426</v>
      </c>
      <c r="D20" s="315" t="s">
        <v>729</v>
      </c>
      <c r="E20" s="294" t="s">
        <v>712</v>
      </c>
      <c r="F20" s="314">
        <f>'数据-取费表'!B37</f>
        <v>0.03</v>
      </c>
      <c r="G20" s="1303"/>
      <c r="H20" s="928" t="s">
        <v>680</v>
      </c>
      <c r="I20" s="147" t="s">
        <v>730</v>
      </c>
      <c r="J20" s="22">
        <f ca="1">ROUND(M20*M21/10000,2)</f>
        <v>0.77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5141.84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204.91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-206</v>
      </c>
      <c r="K25" s="1032" t="s">
        <v>753</v>
      </c>
      <c r="L25" s="1033"/>
      <c r="M25" s="1034"/>
    </row>
    <row r="26" spans="1:37">
      <c r="A26" s="928" t="s">
        <v>397</v>
      </c>
      <c r="B26" s="294" t="s">
        <v>754</v>
      </c>
      <c r="C26" s="21">
        <f ca="1">ROUND((C19+C20)*F26,0)</f>
        <v>3653</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20491</v>
      </c>
      <c r="D29" s="1029"/>
      <c r="E29" s="1027"/>
      <c r="F29" s="1030"/>
      <c r="G29" s="1303"/>
      <c r="H29" s="325" t="s">
        <v>396</v>
      </c>
      <c r="I29" s="326" t="s">
        <v>768</v>
      </c>
      <c r="J29" s="327">
        <f ca="1">ROUND(J26/(1+F40)^F41,0)</f>
        <v>0</v>
      </c>
      <c r="K29" s="328" t="s">
        <v>769</v>
      </c>
      <c r="L29" s="329"/>
      <c r="M29" s="330">
        <f ca="1">INDIRECT("'数据-取费表'!k"&amp;$G$1)</f>
        <v>32206.960000000006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920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639.23</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203.15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435.31</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0.77</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5141.84</v>
      </c>
      <c r="G35" s="1292"/>
      <c r="H35" s="2470"/>
      <c r="I35" s="1305"/>
      <c r="J35" s="1306"/>
      <c r="K35" s="2474"/>
      <c r="L35" s="2473"/>
      <c r="M35" s="2473"/>
    </row>
    <row r="36" spans="1:18" ht="18" customHeight="1">
      <c r="A36" s="1039" t="s">
        <v>402</v>
      </c>
      <c r="B36" s="294" t="s">
        <v>738</v>
      </c>
      <c r="C36" s="21">
        <f ca="1">ROUND(C29*F36,2)</f>
        <v>204.91</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ROUND(C13*F37,2)</f>
        <v>18.850000000000001</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57.21</v>
      </c>
      <c r="D38" s="1029" t="s">
        <v>748</v>
      </c>
      <c r="E38" s="1027" t="s">
        <v>744</v>
      </c>
      <c r="F38" s="1023">
        <f ca="1">INDIRECT("'数据-取费表'!Am"&amp;$G$1)</f>
        <v>1.4999999999999999E-2</v>
      </c>
      <c r="G38" s="1292"/>
      <c r="H38" s="2473"/>
      <c r="I38" s="1305"/>
      <c r="J38" s="1306"/>
      <c r="K38" s="2471"/>
      <c r="L38" s="2473"/>
      <c r="M38" s="2473"/>
    </row>
    <row r="39" spans="1:18" ht="24.6" customHeight="1" thickTop="1">
      <c r="A39" s="1016" t="s">
        <v>394</v>
      </c>
      <c r="B39" s="1031" t="s">
        <v>772</v>
      </c>
      <c r="C39" s="302">
        <f ca="1">C5-C30</f>
        <v>2894</v>
      </c>
      <c r="D39" s="1032" t="s">
        <v>773</v>
      </c>
      <c r="E39" s="1033"/>
      <c r="F39" s="1034"/>
      <c r="G39" s="1292"/>
      <c r="H39" s="2473"/>
      <c r="I39" s="1305"/>
      <c r="J39" s="1306"/>
      <c r="K39" s="2471"/>
      <c r="L39" s="2473"/>
      <c r="M39" s="2473"/>
    </row>
    <row r="40" spans="1:18" ht="18" customHeight="1">
      <c r="A40" s="291" t="s">
        <v>395</v>
      </c>
      <c r="B40" s="292" t="s">
        <v>774</v>
      </c>
      <c r="C40" s="293">
        <f ca="1">ROUND(C39*(1-((1+F42)/(1+F40))^F41)/(F40-F42),0)</f>
        <v>63460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33.130000000000003</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ROUND(C40*10000/F43,0)</f>
        <v>19704</v>
      </c>
      <c r="D43" s="328" t="s">
        <v>777</v>
      </c>
      <c r="E43" s="329" t="s">
        <v>778</v>
      </c>
      <c r="F43" s="330">
        <f ca="1">INDIRECT("'数据-取费表'!k"&amp;$G$1)</f>
        <v>32206.960000000006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-66857</v>
      </c>
      <c r="D46" s="1313" t="str">
        <f>C2</f>
        <v>万元</v>
      </c>
      <c r="E46" s="1307"/>
      <c r="F46" s="1307"/>
      <c r="I46" s="1314" t="s">
        <v>810</v>
      </c>
      <c r="J46" s="1315"/>
      <c r="K46" s="1316"/>
      <c r="L46" s="1317">
        <f ca="1">IF(M47="住宅",0,IF(L48&gt;J51,L60,J60))</f>
        <v>640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3393</v>
      </c>
      <c r="K47" s="1323" t="s">
        <v>816</v>
      </c>
      <c r="L47" s="1324">
        <f ca="1">INDIRECT("'数据-取费表'!d"&amp;$G$1)</f>
        <v>50</v>
      </c>
      <c r="M47" s="1288" t="str">
        <f>IF(ISNUMBER(FIND("住宅",C1)),"住宅","非住宅")</f>
        <v>非住宅</v>
      </c>
      <c r="O47" s="1325" t="s">
        <v>403</v>
      </c>
      <c r="P47" s="1326" t="s">
        <v>817</v>
      </c>
      <c r="Q47" s="1327">
        <f ca="1">C40+J29</f>
        <v>63460</v>
      </c>
      <c r="R47" s="1327" t="s">
        <v>818</v>
      </c>
    </row>
    <row r="48" spans="1:18" s="1292" customFormat="1" ht="28.5" thickBot="1">
      <c r="A48" s="1047" t="s">
        <v>438</v>
      </c>
      <c r="B48" s="292" t="s">
        <v>692</v>
      </c>
      <c r="C48" s="1268">
        <f ca="1">C49+C53+C55</f>
        <v>0</v>
      </c>
      <c r="D48" s="1049"/>
      <c r="E48" s="1050"/>
      <c r="F48" s="908"/>
      <c r="G48" s="681"/>
      <c r="H48" s="682"/>
      <c r="I48" s="1328" t="s">
        <v>819</v>
      </c>
      <c r="J48" s="1329" t="s">
        <v>3394</v>
      </c>
      <c r="K48" s="1330" t="s">
        <v>820</v>
      </c>
      <c r="L48" s="1331">
        <f ca="1">INDIRECT("'数据-取费表'!f"&amp;$G$1)</f>
        <v>33.130000000000003</v>
      </c>
      <c r="O48" s="1325" t="s">
        <v>404</v>
      </c>
      <c r="P48" s="1326" t="s">
        <v>821</v>
      </c>
      <c r="Q48" s="1327">
        <f ca="1">J60</f>
        <v>640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2017</v>
      </c>
      <c r="K49" s="1330" t="s">
        <v>824</v>
      </c>
      <c r="L49" s="1333"/>
      <c r="O49" s="1334" t="s">
        <v>405</v>
      </c>
      <c r="P49" s="1326" t="s">
        <v>825</v>
      </c>
      <c r="Q49" s="1327">
        <f ca="1">C29</f>
        <v>20491</v>
      </c>
      <c r="R49" s="1327" t="s">
        <v>818</v>
      </c>
    </row>
    <row r="50" spans="1:18" s="1292" customFormat="1" ht="13.5" thickBot="1">
      <c r="A50" s="922"/>
      <c r="B50" s="925"/>
      <c r="C50" s="1055"/>
      <c r="D50" s="899"/>
      <c r="E50" s="993" t="s">
        <v>697</v>
      </c>
      <c r="F50" s="994">
        <f ca="1">F7</f>
        <v>32206.960000000006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55</v>
      </c>
      <c r="K51" s="1339" t="s">
        <v>830</v>
      </c>
      <c r="L51" s="1340">
        <f ca="1">ROUND(-PV(INDIRECT("'数据-取费表'!h"&amp;$G$1),J51,(C39-C13*C76),0),0)</f>
        <v>24067</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33.130000000000003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33.130000000000003</v>
      </c>
      <c r="K53" s="3409" t="s">
        <v>837</v>
      </c>
      <c r="L53" s="3410"/>
      <c r="O53" s="1325" t="s">
        <v>409</v>
      </c>
      <c r="P53" s="1326" t="s">
        <v>838</v>
      </c>
      <c r="Q53" s="1327">
        <f ca="1">Q47+Q48</f>
        <v>64100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18852</v>
      </c>
      <c r="D56" s="1352"/>
      <c r="E56" s="1353"/>
      <c r="F56" s="1345"/>
      <c r="I56" s="1354" t="s">
        <v>842</v>
      </c>
      <c r="J56" s="1355" t="s">
        <v>3483</v>
      </c>
      <c r="K56" s="1328" t="s">
        <v>843</v>
      </c>
      <c r="L56" s="1331" t="str">
        <f ca="1">IF(L48&lt;J51,"——",L48-J53)</f>
        <v>——</v>
      </c>
      <c r="O56" s="1325" t="s">
        <v>403</v>
      </c>
      <c r="P56" s="1326" t="s">
        <v>817</v>
      </c>
      <c r="Q56" s="1327">
        <f ca="1">C40+J29</f>
        <v>63460</v>
      </c>
      <c r="R56" s="1327" t="s">
        <v>818</v>
      </c>
    </row>
    <row r="57" spans="1:18" s="1292" customFormat="1" ht="24.75" thickBot="1">
      <c r="A57" s="1356"/>
      <c r="B57" s="896" t="s">
        <v>767</v>
      </c>
      <c r="C57" s="230">
        <f ca="1">C29</f>
        <v>20491</v>
      </c>
      <c r="D57" s="1357"/>
      <c r="E57" s="1358"/>
      <c r="F57" s="1359"/>
      <c r="I57" s="1360" t="s">
        <v>844</v>
      </c>
      <c r="J57" s="1361">
        <f ca="1">IF(OR(M47="住宅",J51&lt;L48,J56="是"),"——",J51-L48)</f>
        <v>21.869999999999997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8196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0.77</v>
      </c>
      <c r="D62" s="911" t="s">
        <v>786</v>
      </c>
      <c r="E62" s="896" t="s">
        <v>787</v>
      </c>
      <c r="F62" s="317">
        <f t="shared" si="0"/>
        <v>1.5</v>
      </c>
      <c r="I62" s="1367" t="s">
        <v>858</v>
      </c>
      <c r="J62" s="610" t="s">
        <v>859</v>
      </c>
      <c r="K62" s="610" t="s">
        <v>860</v>
      </c>
      <c r="L62" s="610" t="s">
        <v>861</v>
      </c>
      <c r="M62" s="1368" t="s">
        <v>862</v>
      </c>
      <c r="O62" s="1325" t="s">
        <v>409</v>
      </c>
      <c r="P62" s="1326" t="s">
        <v>863</v>
      </c>
      <c r="Q62" s="1327">
        <f ca="1">Q56+Q57</f>
        <v>63460</v>
      </c>
      <c r="R62" s="1327" t="s">
        <v>410</v>
      </c>
    </row>
    <row r="63" spans="1:18" s="1292" customFormat="1" ht="13.5" thickBot="1">
      <c r="A63" s="318"/>
      <c r="B63" s="902"/>
      <c r="C63" s="26"/>
      <c r="D63" s="912"/>
      <c r="E63" s="896" t="s">
        <v>788</v>
      </c>
      <c r="F63" s="295">
        <f t="shared" ca="1" si="0"/>
        <v>5141.84</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204.91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18.850000000000001</v>
      </c>
      <c r="D65" s="910" t="s">
        <v>743</v>
      </c>
      <c r="E65" s="896" t="s">
        <v>744</v>
      </c>
      <c r="F65" s="321">
        <f t="shared" ca="1" si="0"/>
        <v>1E-3</v>
      </c>
      <c r="I65" s="1367" t="s">
        <v>867</v>
      </c>
      <c r="J65" s="610">
        <v>40</v>
      </c>
      <c r="K65" s="610">
        <v>30</v>
      </c>
      <c r="L65" s="610">
        <v>50</v>
      </c>
      <c r="M65" s="1369">
        <v>0.02</v>
      </c>
      <c r="O65" s="1325" t="s">
        <v>403</v>
      </c>
      <c r="P65" s="1326" t="s">
        <v>868</v>
      </c>
      <c r="Q65" s="1327">
        <f ca="1">C40+J29</f>
        <v>63460</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-225</v>
      </c>
      <c r="D67" s="909" t="s">
        <v>753</v>
      </c>
      <c r="E67" s="914"/>
      <c r="F67" s="915"/>
      <c r="O67" s="1334" t="s">
        <v>405</v>
      </c>
      <c r="P67" s="1326" t="s">
        <v>850</v>
      </c>
      <c r="Q67" s="1370">
        <f ca="1">L51</f>
        <v>24067</v>
      </c>
      <c r="R67" s="1327" t="s">
        <v>870</v>
      </c>
    </row>
    <row r="68" spans="1:18" s="1292" customFormat="1" ht="16.5" thickBot="1">
      <c r="A68" s="893" t="s">
        <v>395</v>
      </c>
      <c r="B68" s="894" t="s">
        <v>774</v>
      </c>
      <c r="C68" s="293">
        <f ca="1">ROUND(C67*(1-((1+F70)/(1+F68))^F69)/(F68-F70),0)</f>
        <v>-3397</v>
      </c>
      <c r="D68" s="911" t="s">
        <v>758</v>
      </c>
      <c r="E68" s="896" t="s">
        <v>759</v>
      </c>
      <c r="F68" s="304">
        <f ca="1">F40</f>
        <v>5.5E-2</v>
      </c>
      <c r="O68" s="1334" t="s">
        <v>406</v>
      </c>
      <c r="P68" s="1371" t="s">
        <v>871</v>
      </c>
      <c r="Q68" s="1327">
        <f ca="1">ROUND(Q69-Q70*Q71,0)</f>
        <v>1292</v>
      </c>
      <c r="R68" s="1327" t="s">
        <v>414</v>
      </c>
    </row>
    <row r="69" spans="1:18" s="1292" customFormat="1" ht="13.5" thickBot="1">
      <c r="A69" s="897"/>
      <c r="B69" s="898"/>
      <c r="C69" s="298"/>
      <c r="D69" s="916" t="s">
        <v>762</v>
      </c>
      <c r="E69" s="896" t="s">
        <v>763</v>
      </c>
      <c r="F69" s="324">
        <f ca="1">F41</f>
        <v>33.130000000000003</v>
      </c>
      <c r="O69" s="1334" t="s">
        <v>411</v>
      </c>
      <c r="P69" s="1371" t="s">
        <v>872</v>
      </c>
      <c r="Q69" s="1327">
        <f ca="1">C39</f>
        <v>2894</v>
      </c>
      <c r="R69" s="1327" t="s">
        <v>818</v>
      </c>
    </row>
    <row r="70" spans="1:18" s="1292" customFormat="1" ht="13.5" thickBot="1">
      <c r="A70" s="900"/>
      <c r="B70" s="901"/>
      <c r="C70" s="302"/>
      <c r="D70" s="912"/>
      <c r="E70" s="896" t="s">
        <v>766</v>
      </c>
      <c r="F70" s="991"/>
      <c r="O70" s="1334" t="s">
        <v>412</v>
      </c>
      <c r="P70" s="1371" t="s">
        <v>873</v>
      </c>
      <c r="Q70" s="1327">
        <f ca="1">C13</f>
        <v>18852</v>
      </c>
      <c r="R70" s="1327" t="s">
        <v>818</v>
      </c>
    </row>
    <row r="71" spans="1:18" s="1292" customFormat="1" ht="13.5" thickBot="1">
      <c r="A71" s="917" t="s">
        <v>396</v>
      </c>
      <c r="B71" s="918" t="s">
        <v>776</v>
      </c>
      <c r="C71" s="327">
        <f ca="1">ROUND(C68*10000/F71,0)</f>
        <v>-1055</v>
      </c>
      <c r="D71" s="919" t="s">
        <v>777</v>
      </c>
      <c r="E71" s="920" t="s">
        <v>778</v>
      </c>
      <c r="F71" s="330">
        <f ca="1">F43</f>
        <v>32206.960000000006</v>
      </c>
      <c r="O71" s="1334" t="s">
        <v>413</v>
      </c>
      <c r="P71" s="1371" t="s">
        <v>874</v>
      </c>
      <c r="Q71" s="1337">
        <f ca="1">C76</f>
        <v>8.5000000000000006E-2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1602</v>
      </c>
      <c r="D75" s="1292"/>
      <c r="E75" s="1292"/>
      <c r="F75" s="1292"/>
      <c r="K75" s="1309"/>
      <c r="L75" s="1292"/>
      <c r="O75" s="1325" t="s">
        <v>409</v>
      </c>
      <c r="P75" s="1326" t="s">
        <v>838</v>
      </c>
      <c r="Q75" s="1327">
        <f ca="1">Q65+Q66</f>
        <v>63460</v>
      </c>
      <c r="R75" s="1327" t="s">
        <v>410</v>
      </c>
    </row>
    <row r="76" spans="1:18">
      <c r="B76" s="333" t="s">
        <v>796</v>
      </c>
      <c r="C76" s="334">
        <f ca="1">INDIRECT("'数据-取费表'!j"&amp;$G$1)</f>
        <v>8.5000000000000006E-2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0.44599999999999995</v>
      </c>
    </row>
    <row r="80" spans="1:18">
      <c r="B80" s="331" t="s">
        <v>800</v>
      </c>
      <c r="C80" s="266">
        <f ca="1">ROUND(C75/C39,3)</f>
        <v>0.55400000000000005</v>
      </c>
    </row>
    <row r="81" spans="2:3">
      <c r="B81" s="262" t="s">
        <v>801</v>
      </c>
      <c r="C81" s="230"/>
    </row>
    <row r="82" spans="2:3">
      <c r="B82" s="265" t="s">
        <v>802</v>
      </c>
      <c r="C82" s="267">
        <f ca="1">1-C83</f>
        <v>0.70300000000000007</v>
      </c>
    </row>
    <row r="83" spans="2:3">
      <c r="B83" s="265" t="s">
        <v>803</v>
      </c>
      <c r="C83" s="266">
        <f ca="1">ROUND(C13/C40,3)</f>
        <v>0.29699999999999999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19" sqref="D1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64649</v>
      </c>
      <c r="C2" s="1729" t="s">
        <v>1651</v>
      </c>
      <c r="D2" s="1730" t="s">
        <v>1652</v>
      </c>
      <c r="E2" s="2392">
        <f>SUM(E6:E13)</f>
        <v>39707.960000000006</v>
      </c>
      <c r="F2" s="2479"/>
      <c r="G2" s="459"/>
      <c r="H2" s="459"/>
      <c r="I2" s="459"/>
      <c r="J2" s="459"/>
      <c r="K2" s="459"/>
      <c r="L2" s="459"/>
      <c r="M2" s="459"/>
      <c r="N2" s="459"/>
      <c r="O2" s="459"/>
      <c r="P2" s="459"/>
      <c r="Q2" s="459"/>
      <c r="R2" s="459"/>
      <c r="S2" s="459"/>
    </row>
    <row r="3" spans="1:22" ht="15.75">
      <c r="A3" s="1728" t="s">
        <v>686</v>
      </c>
      <c r="B3" s="2386">
        <f ca="1">ROUND(B2*10000/E2,0)</f>
        <v>16281</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1" t="s">
        <v>1654</v>
      </c>
      <c r="C5" s="3412"/>
      <c r="D5" s="2480"/>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64100</v>
      </c>
      <c r="C6" s="1729" t="s">
        <v>1651</v>
      </c>
      <c r="D6" s="2479"/>
      <c r="E6" s="2391">
        <f>IF(OR(A6=0,F6="否"),0,'数据-取费表'!K6+'数据-取费表'!S6)</f>
        <v>32437.300000000007</v>
      </c>
      <c r="F6" s="1732" t="s">
        <v>1657</v>
      </c>
      <c r="G6" s="459"/>
      <c r="H6" s="459"/>
      <c r="I6" s="459"/>
      <c r="J6" s="459"/>
      <c r="K6" s="459"/>
      <c r="L6" s="459"/>
      <c r="M6" s="459"/>
      <c r="N6" s="459"/>
      <c r="O6" s="459"/>
      <c r="P6" s="459"/>
      <c r="Q6" s="459"/>
      <c r="R6" s="459"/>
      <c r="S6" s="459"/>
    </row>
    <row r="7" spans="1:22">
      <c r="A7" s="2389" t="str">
        <f>'数据-取费表'!AN7</f>
        <v>收益法 (车库)</v>
      </c>
      <c r="B7" s="2387">
        <f ca="1">IF(F7="是",'数据-取费表'!AO7,0)</f>
        <v>549</v>
      </c>
      <c r="C7" s="1729" t="s">
        <v>1651</v>
      </c>
      <c r="D7" s="2479"/>
      <c r="E7" s="2391">
        <f>IF(OR(A7=0,F7="否"),0,'数据-取费表'!K7+'数据-取费表'!S7)</f>
        <v>7270.66</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4">
        <f ca="1">ROUND(IF(D2="——",C52/10000,C52/10000-E2),4)</f>
        <v>23858.775900000001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6009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7941592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7941592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7941592</v>
      </c>
      <c r="D10" s="795">
        <f ca="1">IF(B1="",'数据-汇总表'!E6,IF(INDIRECT("'数据-取费表'!c"&amp;$G$1)="住宅",INDIRECT("'数据-取费表'!s"&amp;$G$1),INDIRECT("'数据-取费表'!k"&amp;$G$1)+INDIRECT("'数据-取费表'!s"&amp;$G$1)))</f>
        <v>39707.960000000006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7941592</v>
      </c>
      <c r="D19" s="204">
        <f ca="1">D9+D10</f>
        <v>39707.960000000006</v>
      </c>
      <c r="E19" s="203">
        <f>'数据-取费表'!B31</f>
        <v>200</v>
      </c>
      <c r="F19" s="223"/>
      <c r="G19" s="1714"/>
    </row>
    <row r="20" spans="1:7" s="206" customFormat="1" ht="13.5" customHeight="1">
      <c r="A20" s="247" t="s">
        <v>1574</v>
      </c>
      <c r="B20" s="202" t="s">
        <v>1575</v>
      </c>
      <c r="C20" s="224">
        <f ca="1">ROUND((C5+C19)*F20,0)</f>
        <v>476496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1365435</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672830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672830</v>
      </c>
      <c r="D24" s="230"/>
      <c r="E24" s="230"/>
      <c r="F24" s="231"/>
      <c r="G24" s="232" t="s">
        <v>1586</v>
      </c>
    </row>
    <row r="25" spans="1:7" s="206" customFormat="1" ht="24">
      <c r="A25" s="734" t="s">
        <v>1476</v>
      </c>
      <c r="B25" s="207" t="s">
        <v>1587</v>
      </c>
      <c r="C25" s="230">
        <f ca="1">ROUND(IF('数据-取费表'!B22&lt;=1,C20*F22*'数据-取费表'!B22/2,C20*(POWER((1+F22),'数据-取费表'!B22/2)-1)),0)</f>
        <v>19775</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3599130</v>
      </c>
      <c r="D27" s="227">
        <f ca="1">C29</f>
        <v>4.4000000000000003E-3</v>
      </c>
      <c r="E27" s="228" t="s">
        <v>1514</v>
      </c>
      <c r="F27" s="238">
        <f ca="1">IF(B1="",'数据-取费表'!Q16,INDIRECT("'数据-取费表'!q"&amp;$G$1))</f>
        <v>0.22</v>
      </c>
      <c r="G27" s="239" t="s">
        <v>1515</v>
      </c>
    </row>
    <row r="28" spans="1:7" s="206" customFormat="1" ht="13.5" customHeight="1">
      <c r="A28" s="734" t="s">
        <v>346</v>
      </c>
      <c r="B28" s="240" t="s">
        <v>1516</v>
      </c>
      <c r="C28" s="241">
        <f ca="1">ROUND((C5+C19+C20)*F27,0)</f>
        <v>3599130</v>
      </c>
      <c r="D28" s="227"/>
      <c r="E28" s="228"/>
      <c r="F28" s="238"/>
      <c r="G28" s="239"/>
    </row>
    <row r="29" spans="1:7" s="206" customFormat="1" ht="13.5" customHeight="1">
      <c r="A29" s="734" t="s">
        <v>347</v>
      </c>
      <c r="B29" s="240" t="s">
        <v>1517</v>
      </c>
      <c r="C29" s="230">
        <f ca="1">ROUND(C21*F27,4)</f>
        <v>4.4000000000000003E-3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23140798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166082320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151330840</v>
      </c>
      <c r="D34" s="209"/>
      <c r="E34" s="212"/>
      <c r="F34" s="249"/>
      <c r="G34" s="211"/>
    </row>
    <row r="35" spans="1:7" ht="13.5" customHeight="1">
      <c r="A35" s="734" t="s">
        <v>351</v>
      </c>
      <c r="B35" s="207" t="s">
        <v>1527</v>
      </c>
      <c r="C35" s="212">
        <f ca="1">ROUND(C34*F35,0)</f>
        <v>4539925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7941592</v>
      </c>
      <c r="D37" s="209">
        <f ca="1">D19</f>
        <v>39707.960000000006</v>
      </c>
      <c r="E37" s="241">
        <f>'数据-取费表'!B35</f>
        <v>200</v>
      </c>
      <c r="F37" s="251"/>
      <c r="G37" s="253"/>
    </row>
    <row r="38" spans="1:7" ht="13.5" customHeight="1">
      <c r="A38" s="734" t="s">
        <v>354</v>
      </c>
      <c r="B38" s="207" t="s">
        <v>1533</v>
      </c>
      <c r="C38" s="212">
        <f ca="1">ROUND(C34*F38,0)</f>
        <v>2269963</v>
      </c>
      <c r="D38" s="212"/>
      <c r="E38" s="212"/>
      <c r="F38" s="251">
        <f>'数据-取费表'!B36</f>
        <v>1.4999999999999999E-2</v>
      </c>
      <c r="G38" s="211" t="s">
        <v>1528</v>
      </c>
    </row>
    <row r="39" spans="1:7" s="206" customFormat="1" ht="13.5" customHeight="1">
      <c r="A39" s="247" t="s">
        <v>1534</v>
      </c>
      <c r="B39" s="202" t="s">
        <v>1535</v>
      </c>
      <c r="C39" s="224">
        <f ca="1">ROUND(C33*F20,0)</f>
        <v>4982470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7099189</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6892416</v>
      </c>
      <c r="D42" s="230"/>
      <c r="E42" s="230"/>
      <c r="F42" s="231"/>
      <c r="G42" s="3342" t="s">
        <v>1591</v>
      </c>
    </row>
    <row r="43" spans="1:7" ht="13.5" customHeight="1">
      <c r="A43" s="734" t="s">
        <v>347</v>
      </c>
      <c r="B43" s="207" t="s">
        <v>1545</v>
      </c>
      <c r="C43" s="230">
        <f ca="1">ROUND(IF('数据-取费表'!B22&lt;=1,C39*F22*'数据-取费表'!B20/2,C39*(POWER((1+F22),'数据-取费表'!B20/2)-1)),0)</f>
        <v>206773</v>
      </c>
      <c r="D43" s="230"/>
      <c r="E43" s="230"/>
      <c r="F43" s="231"/>
      <c r="G43" s="3343"/>
    </row>
    <row r="44" spans="1:7" ht="13.5" customHeight="1">
      <c r="A44" s="734" t="s">
        <v>348</v>
      </c>
      <c r="B44" s="207" t="s">
        <v>1546</v>
      </c>
      <c r="C44" s="230">
        <f ca="1">ROUND(IF('数据-取费表'!B22&lt;=1,C40*F22*'数据-取费表'!B20/2,C40*(POWER((1+F22),'数据-取费表'!B20/2)-1)),4)</f>
        <v>8.0000000000000004E-4</v>
      </c>
      <c r="D44" s="230"/>
      <c r="E44" s="230"/>
      <c r="F44" s="231"/>
      <c r="G44" s="3344"/>
    </row>
    <row r="45" spans="1:7" s="206" customFormat="1" ht="13.5" customHeight="1">
      <c r="A45" s="247" t="s">
        <v>1547</v>
      </c>
      <c r="B45" s="236" t="s">
        <v>1513</v>
      </c>
      <c r="C45" s="237">
        <f ca="1">C46</f>
        <v>37634254</v>
      </c>
      <c r="D45" s="227">
        <f ca="1">C47</f>
        <v>4.4000000000000003E-3</v>
      </c>
      <c r="E45" s="228" t="s">
        <v>1539</v>
      </c>
      <c r="F45" s="238">
        <f ca="1">F27</f>
        <v>0.22</v>
      </c>
      <c r="G45" s="239" t="s">
        <v>1548</v>
      </c>
    </row>
    <row r="46" spans="1:7" s="206" customFormat="1" ht="13.5" customHeight="1">
      <c r="A46" s="734" t="s">
        <v>346</v>
      </c>
      <c r="B46" s="240" t="s">
        <v>1549</v>
      </c>
      <c r="C46" s="241">
        <f ca="1">ROUND((C33+C39)*F27,0)</f>
        <v>37634254</v>
      </c>
      <c r="D46" s="255"/>
      <c r="E46" s="228"/>
      <c r="F46" s="238"/>
      <c r="G46" s="239"/>
    </row>
    <row r="47" spans="1:7" s="206" customFormat="1" ht="13.5" customHeight="1">
      <c r="A47" s="734" t="s">
        <v>347</v>
      </c>
      <c r="B47" s="240" t="s">
        <v>1550</v>
      </c>
      <c r="C47" s="230">
        <f ca="1">ROUND(C40*F27,4)</f>
        <v>4.4000000000000003E-3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234181479</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215446961</v>
      </c>
      <c r="D51" s="224"/>
      <c r="E51" s="224"/>
      <c r="F51" s="256"/>
      <c r="G51" s="226" t="s">
        <v>1560</v>
      </c>
    </row>
    <row r="52" spans="1:7" s="200" customFormat="1" ht="16.5" thickBot="1">
      <c r="A52" s="257" t="s">
        <v>1561</v>
      </c>
      <c r="B52" s="258"/>
      <c r="C52" s="259">
        <f ca="1">C31+C51</f>
        <v>238587759</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8</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39707.960000000006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39707.960000000006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794</v>
      </c>
      <c r="D20" s="796">
        <f ca="1">IF(C1="",'数据-汇总表'!E6,IF(INDIRECT("'数据-取费表'!c"&amp;$K$1)="住宅",INDIRECT("'数据-取费表'!s"&amp;$K$1),INDIRECT("'数据-取费表'!k"&amp;$K$1)+INDIRECT("'数据-取费表'!s"&amp;$K$1)))</f>
        <v>39707.960000000006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5"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6" t="s">
        <v>694</v>
      </c>
      <c r="C6" s="1011">
        <f ca="1">ROUND(F6*F8*F7*(1-F9),0)</f>
        <v>0</v>
      </c>
      <c r="D6" s="147" t="s">
        <v>2104</v>
      </c>
      <c r="E6" s="294" t="s">
        <v>696</v>
      </c>
      <c r="F6" s="295">
        <f ca="1">INDIRECT("'数据-取费表'!u"&amp;$G$1)</f>
        <v>0</v>
      </c>
      <c r="G6" s="1292"/>
      <c r="H6" s="1006" t="s">
        <v>398</v>
      </c>
      <c r="I6" s="3406" t="s">
        <v>694</v>
      </c>
      <c r="J6" s="293">
        <f ca="1">ROUND(M6*M8*M7*(1-M9),0)</f>
        <v>0</v>
      </c>
      <c r="K6" s="1284" t="s">
        <v>2105</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0</v>
      </c>
      <c r="G7" s="1292"/>
      <c r="H7" s="296"/>
      <c r="I7" s="3407"/>
      <c r="J7" s="298"/>
      <c r="K7" s="299"/>
      <c r="L7" s="294" t="s">
        <v>697</v>
      </c>
      <c r="M7" s="295">
        <f ca="1">F7</f>
        <v>0</v>
      </c>
    </row>
    <row r="8" spans="1:37" ht="18" customHeight="1">
      <c r="A8" s="296"/>
      <c r="B8" s="3407"/>
      <c r="C8" s="298"/>
      <c r="D8" s="299"/>
      <c r="E8" s="294" t="s">
        <v>698</v>
      </c>
      <c r="F8" s="295">
        <f ca="1">INDIRECT("'数据-取费表'!ai"&amp;$G$1)</f>
        <v>0</v>
      </c>
      <c r="G8" s="1292"/>
      <c r="H8" s="296"/>
      <c r="I8" s="3407"/>
      <c r="J8" s="298"/>
      <c r="K8" s="299"/>
      <c r="L8" s="294" t="s">
        <v>698</v>
      </c>
      <c r="M8" s="295">
        <f ca="1">INDIRECT("'数据-取费表'!ai"&amp;$G$1)</f>
        <v>0</v>
      </c>
    </row>
    <row r="9" spans="1:37" ht="18" customHeight="1">
      <c r="A9" s="296"/>
      <c r="B9" s="3408"/>
      <c r="C9" s="298"/>
      <c r="D9" s="299"/>
      <c r="E9" s="294" t="s">
        <v>699</v>
      </c>
      <c r="F9" s="304">
        <f ca="1">INDIRECT("'数据-取费表'!w"&amp;$G$1)</f>
        <v>0</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31" t="s">
        <v>3350</v>
      </c>
      <c r="B45" s="1307"/>
      <c r="C45" s="1376" t="e">
        <f ca="1">ROUND((C68-C40)/10000,4)</f>
        <v>#DIV/0!</v>
      </c>
      <c r="D45" s="3132"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2022年12月27日（评估专业人员实地查勘之日）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3" t="s">
        <v>2307</v>
      </c>
      <c r="B2" s="2594" t="e">
        <f>IF(D2="——",C40,C40+E2)</f>
        <v>#DIV/0!</v>
      </c>
      <c r="C2" s="2595" t="s">
        <v>2308</v>
      </c>
      <c r="D2" s="3142" t="s">
        <v>3359</v>
      </c>
      <c r="E2" s="3143"/>
      <c r="F2" s="2597"/>
      <c r="G2" s="2598"/>
      <c r="H2" s="2599"/>
      <c r="I2" s="2600"/>
      <c r="J2" s="3419" t="s">
        <v>2309</v>
      </c>
      <c r="K2" s="3420"/>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421" t="s">
        <v>2319</v>
      </c>
      <c r="K3" s="3422"/>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421" t="s">
        <v>2321</v>
      </c>
      <c r="K4" s="3422"/>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427" t="s">
        <v>2325</v>
      </c>
      <c r="B6" s="3428"/>
      <c r="C6" s="3429"/>
      <c r="D6" s="2621"/>
      <c r="E6" s="2622"/>
      <c r="F6" s="2623"/>
      <c r="G6" s="2624"/>
      <c r="H6" s="2599"/>
      <c r="I6" s="2600"/>
      <c r="J6" s="3413">
        <v>1</v>
      </c>
      <c r="K6" s="3414"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413"/>
      <c r="K7" s="3415"/>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430" t="s">
        <v>2339</v>
      </c>
      <c r="C8" s="3431"/>
      <c r="D8" s="2640" t="s">
        <v>2340</v>
      </c>
      <c r="E8" s="2641" t="s">
        <v>2341</v>
      </c>
      <c r="F8" s="2642" t="s">
        <v>2342</v>
      </c>
      <c r="G8" s="2643"/>
      <c r="H8" s="2599"/>
      <c r="I8" s="2600"/>
      <c r="J8" s="3413"/>
      <c r="K8" s="3415"/>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430" t="s">
        <v>2345</v>
      </c>
      <c r="C9" s="3431"/>
      <c r="D9" s="2640">
        <f>ROUND(D6*E9,0)</f>
        <v>0</v>
      </c>
      <c r="E9" s="2644"/>
      <c r="F9" s="2645" t="s">
        <v>2346</v>
      </c>
      <c r="G9" s="2624"/>
      <c r="H9" s="2599"/>
      <c r="I9" s="2600"/>
      <c r="J9" s="3413"/>
      <c r="K9" s="3415"/>
      <c r="L9" s="2634" t="s">
        <v>2347</v>
      </c>
      <c r="M9" s="2635"/>
      <c r="N9" s="2611"/>
      <c r="O9" s="2636"/>
      <c r="P9" s="2636"/>
      <c r="Q9" s="2637">
        <v>365</v>
      </c>
      <c r="R9" s="2638">
        <f t="shared" si="0"/>
        <v>0</v>
      </c>
      <c r="S9" s="2592"/>
      <c r="T9" s="2592"/>
      <c r="U9" s="2592"/>
      <c r="V9" s="2600"/>
    </row>
    <row r="10" spans="1:22" s="2604" customFormat="1" ht="13.15" customHeight="1">
      <c r="A10" s="2639">
        <v>2</v>
      </c>
      <c r="B10" s="3430" t="s">
        <v>2348</v>
      </c>
      <c r="C10" s="3431"/>
      <c r="D10" s="2640">
        <f>ROUND(D6*E10,0)</f>
        <v>0</v>
      </c>
      <c r="E10" s="2644"/>
      <c r="F10" s="2645" t="s">
        <v>2349</v>
      </c>
      <c r="G10" s="2624"/>
      <c r="H10" s="2599"/>
      <c r="I10" s="2600"/>
      <c r="J10" s="3413"/>
      <c r="K10" s="3415"/>
      <c r="L10" s="2634" t="s">
        <v>2350</v>
      </c>
      <c r="M10" s="2635"/>
      <c r="N10" s="2611"/>
      <c r="O10" s="2636"/>
      <c r="P10" s="2636"/>
      <c r="Q10" s="2637">
        <v>365</v>
      </c>
      <c r="R10" s="2638">
        <f t="shared" si="0"/>
        <v>0</v>
      </c>
      <c r="S10" s="2592"/>
      <c r="T10" s="2592"/>
      <c r="U10" s="2592"/>
      <c r="V10" s="2600"/>
    </row>
    <row r="11" spans="1:22" s="2604" customFormat="1" ht="13.15" customHeight="1">
      <c r="A11" s="2639">
        <v>3</v>
      </c>
      <c r="B11" s="3430" t="s">
        <v>2351</v>
      </c>
      <c r="C11" s="3431"/>
      <c r="D11" s="2640">
        <f>D12+D14+D15+D16</f>
        <v>0</v>
      </c>
      <c r="E11" s="2646" t="e">
        <f>D11/D6</f>
        <v>#DIV/0!</v>
      </c>
      <c r="F11" s="2642"/>
      <c r="G11" s="2643"/>
      <c r="H11" s="2599"/>
      <c r="I11" s="2600"/>
      <c r="J11" s="3413"/>
      <c r="K11" s="3415"/>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423" t="s">
        <v>2354</v>
      </c>
      <c r="C12" s="3424"/>
      <c r="D12" s="2648">
        <f>ROUND(D13*1.2%*(1-30%),0)</f>
        <v>0</v>
      </c>
      <c r="E12" s="2649">
        <v>1.2E-2</v>
      </c>
      <c r="F12" s="2642" t="s">
        <v>2355</v>
      </c>
      <c r="G12" s="2643"/>
      <c r="H12" s="2599"/>
      <c r="I12" s="2600"/>
      <c r="J12" s="3413"/>
      <c r="K12" s="3415"/>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413"/>
      <c r="K13" s="3415"/>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423" t="s">
        <v>2360</v>
      </c>
      <c r="C14" s="3424"/>
      <c r="D14" s="2648">
        <f>ROUND(E14*B5/10000,0)</f>
        <v>0</v>
      </c>
      <c r="E14" s="2637"/>
      <c r="F14" s="2642" t="s">
        <v>2361</v>
      </c>
      <c r="G14" s="2643"/>
      <c r="H14" s="2599"/>
      <c r="I14" s="2600"/>
      <c r="J14" s="3413"/>
      <c r="K14" s="3416"/>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423" t="s">
        <v>2364</v>
      </c>
      <c r="C15" s="3424"/>
      <c r="D15" s="2648">
        <f>ROUND(D6*E15,0)</f>
        <v>0</v>
      </c>
      <c r="E15" s="2649">
        <v>5.5E-2</v>
      </c>
      <c r="F15" s="2642" t="s">
        <v>2365</v>
      </c>
      <c r="G15" s="2624"/>
      <c r="H15" s="2599"/>
      <c r="I15" s="2600"/>
      <c r="J15" s="3413">
        <v>2</v>
      </c>
      <c r="K15" s="3414"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423" t="s">
        <v>2373</v>
      </c>
      <c r="C16" s="3424"/>
      <c r="D16" s="2659">
        <f>D6*E16</f>
        <v>0</v>
      </c>
      <c r="E16" s="2660"/>
      <c r="F16" s="2645" t="s">
        <v>2374</v>
      </c>
      <c r="G16" s="2624"/>
      <c r="H16" s="2599"/>
      <c r="I16" s="2600"/>
      <c r="J16" s="3413"/>
      <c r="K16" s="3415"/>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425" t="s">
        <v>2376</v>
      </c>
      <c r="C17" s="3426"/>
      <c r="D17" s="2662">
        <f>ROUND(D6*E17,0)</f>
        <v>0</v>
      </c>
      <c r="E17" s="2663"/>
      <c r="F17" s="2664" t="s">
        <v>2377</v>
      </c>
      <c r="G17" s="2624"/>
      <c r="H17" s="2599"/>
      <c r="I17" s="2600"/>
      <c r="J17" s="3413"/>
      <c r="K17" s="3415"/>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413"/>
      <c r="K18" s="3415"/>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413"/>
      <c r="K19" s="3416"/>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3">
        <v>3</v>
      </c>
      <c r="K20" s="3414"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413"/>
      <c r="K21" s="3415"/>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413"/>
      <c r="K22" s="3415"/>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413"/>
      <c r="K23" s="3415"/>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413"/>
      <c r="K24" s="3416"/>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417">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41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419" t="s">
        <v>2309</v>
      </c>
      <c r="K32" s="3420"/>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421" t="s">
        <v>2319</v>
      </c>
      <c r="K33" s="3422"/>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421" t="s">
        <v>2321</v>
      </c>
      <c r="K34" s="342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413">
        <v>1</v>
      </c>
      <c r="K36" s="3414"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413"/>
      <c r="K37" s="3415"/>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3"/>
      <c r="K38" s="3415"/>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413"/>
      <c r="K39" s="3415"/>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413"/>
      <c r="K40" s="3416"/>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7">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41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6"/>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7"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39707.960000000006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49" t="s">
        <v>1667</v>
      </c>
      <c r="D4" s="3361"/>
      <c r="E4" s="3362" t="s">
        <v>1668</v>
      </c>
      <c r="F4" s="3363"/>
      <c r="G4" s="3349" t="s">
        <v>1669</v>
      </c>
      <c r="H4" s="3361"/>
      <c r="I4" s="3349" t="s">
        <v>1670</v>
      </c>
      <c r="J4" s="3361"/>
      <c r="K4" s="1744" t="s">
        <v>1671</v>
      </c>
      <c r="L4" s="2486"/>
      <c r="M4" s="2487"/>
      <c r="N4" s="2487"/>
      <c r="O4" s="2487"/>
      <c r="P4" s="3364" t="s">
        <v>1672</v>
      </c>
      <c r="Q4" s="3365"/>
      <c r="R4" s="3370" t="s">
        <v>1668</v>
      </c>
      <c r="S4" s="3371"/>
      <c r="T4" s="3370" t="s">
        <v>1669</v>
      </c>
      <c r="U4" s="3371"/>
      <c r="V4" s="3357" t="s">
        <v>1670</v>
      </c>
      <c r="W4" s="3357"/>
      <c r="X4" s="1265"/>
      <c r="Y4" s="3370" t="s">
        <v>1672</v>
      </c>
      <c r="Z4" s="3371"/>
      <c r="AA4" s="3358" t="s">
        <v>1668</v>
      </c>
      <c r="AB4" s="3358" t="s">
        <v>1669</v>
      </c>
      <c r="AC4" s="3358" t="s">
        <v>1670</v>
      </c>
    </row>
    <row r="5" spans="1:29" ht="15">
      <c r="A5" s="348"/>
      <c r="B5" s="349"/>
      <c r="C5" s="3378" t="s">
        <v>1673</v>
      </c>
      <c r="D5" s="3379"/>
      <c r="E5" s="3385" t="s">
        <v>1674</v>
      </c>
      <c r="F5" s="3386"/>
      <c r="G5" s="3378" t="s">
        <v>1675</v>
      </c>
      <c r="H5" s="3379"/>
      <c r="I5" s="3378" t="s">
        <v>1676</v>
      </c>
      <c r="J5" s="3379"/>
      <c r="K5" s="1745"/>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1745"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0" t="s">
        <v>1680</v>
      </c>
      <c r="Q7" s="3382"/>
      <c r="R7" s="664" t="s">
        <v>20</v>
      </c>
      <c r="S7" s="665">
        <f t="shared" ref="S7:S15" si="0">F7</f>
        <v>0</v>
      </c>
      <c r="T7" s="664" t="s">
        <v>20</v>
      </c>
      <c r="U7" s="665">
        <f t="shared" ref="U7:U15" si="1">H7</f>
        <v>0</v>
      </c>
      <c r="V7" s="664" t="s">
        <v>20</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1"/>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51"/>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51"/>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51"/>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7" t="s">
        <v>1691</v>
      </c>
      <c r="Q15" s="1263" t="str">
        <f t="shared" si="6"/>
        <v>居住社区成熟度</v>
      </c>
      <c r="R15" s="667" t="s">
        <v>18</v>
      </c>
      <c r="S15" s="668">
        <f t="shared" si="0"/>
        <v>100</v>
      </c>
      <c r="T15" s="667" t="s">
        <v>18</v>
      </c>
      <c r="U15" s="668">
        <f t="shared" si="1"/>
        <v>100</v>
      </c>
      <c r="V15" s="667" t="s">
        <v>18</v>
      </c>
      <c r="W15" s="668">
        <f t="shared" si="2"/>
        <v>100</v>
      </c>
      <c r="X15" s="1265"/>
      <c r="Y15" s="335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38"/>
      <c r="Q16" s="1263"/>
      <c r="R16" s="667"/>
      <c r="S16" s="668"/>
      <c r="T16" s="667"/>
      <c r="U16" s="668"/>
      <c r="V16" s="667"/>
      <c r="W16" s="668"/>
      <c r="X16" s="1265"/>
      <c r="Y16" s="3354"/>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8"/>
      <c r="Q17" s="1263" t="str">
        <f>B17</f>
        <v>交通便捷度</v>
      </c>
      <c r="R17" s="667" t="s">
        <v>18</v>
      </c>
      <c r="S17" s="668">
        <f>F17</f>
        <v>100</v>
      </c>
      <c r="T17" s="667" t="s">
        <v>18</v>
      </c>
      <c r="U17" s="668">
        <f>H17</f>
        <v>100</v>
      </c>
      <c r="V17" s="667" t="s">
        <v>18</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38"/>
      <c r="Q18" s="1263"/>
      <c r="R18" s="667"/>
      <c r="S18" s="668"/>
      <c r="T18" s="667"/>
      <c r="U18" s="668"/>
      <c r="V18" s="667"/>
      <c r="W18" s="668"/>
      <c r="X18" s="1265"/>
      <c r="Y18" s="3354"/>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8"/>
      <c r="Q19" s="1263" t="str">
        <f>B19</f>
        <v>公共配套设施</v>
      </c>
      <c r="R19" s="667" t="s">
        <v>18</v>
      </c>
      <c r="S19" s="668">
        <f>F19</f>
        <v>100</v>
      </c>
      <c r="T19" s="667" t="s">
        <v>18</v>
      </c>
      <c r="U19" s="668">
        <f>H19</f>
        <v>100</v>
      </c>
      <c r="V19" s="667" t="s">
        <v>18</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38"/>
      <c r="Q20" s="1263"/>
      <c r="R20" s="667"/>
      <c r="S20" s="668"/>
      <c r="T20" s="667"/>
      <c r="U20" s="668"/>
      <c r="V20" s="667"/>
      <c r="W20" s="668"/>
      <c r="X20" s="1265"/>
      <c r="Y20" s="3354"/>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38"/>
      <c r="Q22" s="1263"/>
      <c r="R22" s="667"/>
      <c r="S22" s="668"/>
      <c r="T22" s="667"/>
      <c r="U22" s="668"/>
      <c r="V22" s="667"/>
      <c r="W22" s="668"/>
      <c r="X22" s="1265"/>
      <c r="Y22" s="3354"/>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8"/>
      <c r="Q23" s="1263" t="str">
        <f>B23</f>
        <v>自然及人文环境</v>
      </c>
      <c r="R23" s="667" t="s">
        <v>18</v>
      </c>
      <c r="S23" s="668">
        <f>F23</f>
        <v>100</v>
      </c>
      <c r="T23" s="667" t="s">
        <v>18</v>
      </c>
      <c r="U23" s="668">
        <f>H23</f>
        <v>100</v>
      </c>
      <c r="V23" s="667" t="s">
        <v>18</v>
      </c>
      <c r="W23" s="668">
        <f>J23</f>
        <v>100</v>
      </c>
      <c r="X23" s="1265"/>
      <c r="Y23" s="335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38"/>
      <c r="Q24" s="1263"/>
      <c r="R24" s="667"/>
      <c r="S24" s="668"/>
      <c r="T24" s="667"/>
      <c r="U24" s="668"/>
      <c r="V24" s="667"/>
      <c r="W24" s="668"/>
      <c r="X24" s="1265"/>
      <c r="Y24" s="335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8"/>
      <c r="Q26" s="1263" t="str">
        <f t="shared" si="11"/>
        <v>朝向</v>
      </c>
      <c r="R26" s="667" t="s">
        <v>18</v>
      </c>
      <c r="S26" s="668">
        <f t="shared" si="12"/>
        <v>100</v>
      </c>
      <c r="T26" s="667" t="s">
        <v>18</v>
      </c>
      <c r="U26" s="668">
        <f t="shared" si="13"/>
        <v>100</v>
      </c>
      <c r="V26" s="667" t="s">
        <v>18</v>
      </c>
      <c r="W26" s="668">
        <f t="shared" si="14"/>
        <v>100</v>
      </c>
      <c r="X26" s="1265"/>
      <c r="Y26" s="335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38"/>
      <c r="Q27" s="530">
        <f t="shared" si="11"/>
        <v>111</v>
      </c>
      <c r="R27" s="664" t="s">
        <v>18</v>
      </c>
      <c r="S27" s="665">
        <f t="shared" si="12"/>
        <v>100</v>
      </c>
      <c r="T27" s="664" t="s">
        <v>18</v>
      </c>
      <c r="U27" s="665">
        <f t="shared" si="13"/>
        <v>100</v>
      </c>
      <c r="V27" s="664" t="s">
        <v>18</v>
      </c>
      <c r="W27" s="665">
        <f t="shared" si="14"/>
        <v>100</v>
      </c>
      <c r="X27" s="666"/>
      <c r="Y27" s="335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8"/>
      <c r="Q28" s="1263">
        <f t="shared" si="11"/>
        <v>111</v>
      </c>
      <c r="R28" s="667" t="s">
        <v>18</v>
      </c>
      <c r="S28" s="668">
        <f t="shared" si="12"/>
        <v>100</v>
      </c>
      <c r="T28" s="667" t="s">
        <v>18</v>
      </c>
      <c r="U28" s="668">
        <f t="shared" si="13"/>
        <v>100</v>
      </c>
      <c r="V28" s="667" t="s">
        <v>18</v>
      </c>
      <c r="W28" s="668">
        <f t="shared" si="14"/>
        <v>100</v>
      </c>
      <c r="X28" s="1265"/>
      <c r="Y28" s="335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8"/>
      <c r="Q29" s="1263">
        <f t="shared" si="11"/>
        <v>111</v>
      </c>
      <c r="R29" s="667" t="s">
        <v>18</v>
      </c>
      <c r="S29" s="668">
        <f t="shared" si="12"/>
        <v>100</v>
      </c>
      <c r="T29" s="667" t="s">
        <v>18</v>
      </c>
      <c r="U29" s="668">
        <f t="shared" si="13"/>
        <v>100</v>
      </c>
      <c r="V29" s="667" t="s">
        <v>18</v>
      </c>
      <c r="W29" s="668">
        <f t="shared" si="14"/>
        <v>100</v>
      </c>
      <c r="X29" s="1265"/>
      <c r="Y29" s="335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8"/>
      <c r="Q30" s="1263">
        <f t="shared" si="11"/>
        <v>111</v>
      </c>
      <c r="R30" s="667" t="s">
        <v>18</v>
      </c>
      <c r="S30" s="668">
        <f t="shared" si="12"/>
        <v>100</v>
      </c>
      <c r="T30" s="667" t="s">
        <v>18</v>
      </c>
      <c r="U30" s="668">
        <f t="shared" si="13"/>
        <v>100</v>
      </c>
      <c r="V30" s="667" t="s">
        <v>18</v>
      </c>
      <c r="W30" s="668">
        <f t="shared" si="14"/>
        <v>100</v>
      </c>
      <c r="X30" s="1265"/>
      <c r="Y30" s="335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8"/>
      <c r="Q31" s="1263">
        <f t="shared" si="11"/>
        <v>111</v>
      </c>
      <c r="R31" s="667" t="s">
        <v>18</v>
      </c>
      <c r="S31" s="668">
        <f t="shared" si="12"/>
        <v>100</v>
      </c>
      <c r="T31" s="667" t="s">
        <v>18</v>
      </c>
      <c r="U31" s="668">
        <f t="shared" si="13"/>
        <v>100</v>
      </c>
      <c r="V31" s="667" t="s">
        <v>18</v>
      </c>
      <c r="W31" s="668">
        <f t="shared" si="14"/>
        <v>100</v>
      </c>
      <c r="X31" s="1265"/>
      <c r="Y31" s="335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3" t="s">
        <v>1696</v>
      </c>
      <c r="Q32" s="1263" t="str">
        <f t="shared" si="11"/>
        <v>建筑类型</v>
      </c>
      <c r="R32" s="667" t="s">
        <v>18</v>
      </c>
      <c r="S32" s="668">
        <f t="shared" si="12"/>
        <v>100</v>
      </c>
      <c r="T32" s="667" t="s">
        <v>18</v>
      </c>
      <c r="U32" s="668">
        <f t="shared" si="13"/>
        <v>100</v>
      </c>
      <c r="V32" s="667" t="s">
        <v>18</v>
      </c>
      <c r="W32" s="668">
        <f t="shared" si="14"/>
        <v>100</v>
      </c>
      <c r="X32" s="1265"/>
      <c r="Y32" s="335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4"/>
      <c r="Q33" s="531" t="str">
        <f t="shared" si="11"/>
        <v>项目建筑规模</v>
      </c>
      <c r="R33" s="669" t="s">
        <v>18</v>
      </c>
      <c r="S33" s="670" t="e">
        <f t="shared" si="12"/>
        <v>#N/A</v>
      </c>
      <c r="T33" s="669" t="s">
        <v>18</v>
      </c>
      <c r="U33" s="670" t="e">
        <f t="shared" si="13"/>
        <v>#N/A</v>
      </c>
      <c r="V33" s="669" t="s">
        <v>18</v>
      </c>
      <c r="W33" s="670" t="e">
        <f t="shared" si="14"/>
        <v>#N/A</v>
      </c>
      <c r="X33" s="671"/>
      <c r="Y33" s="335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4"/>
      <c r="Q34" s="1263" t="str">
        <f t="shared" si="11"/>
        <v>建筑结构</v>
      </c>
      <c r="R34" s="667" t="s">
        <v>18</v>
      </c>
      <c r="S34" s="668">
        <f t="shared" si="12"/>
        <v>100</v>
      </c>
      <c r="T34" s="667" t="s">
        <v>18</v>
      </c>
      <c r="U34" s="668">
        <f t="shared" si="13"/>
        <v>100</v>
      </c>
      <c r="V34" s="667" t="s">
        <v>18</v>
      </c>
      <c r="W34" s="668">
        <f t="shared" si="14"/>
        <v>100</v>
      </c>
      <c r="X34" s="1265"/>
      <c r="Y34" s="335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4"/>
      <c r="Q35" s="1263" t="str">
        <f t="shared" si="11"/>
        <v>建筑品质</v>
      </c>
      <c r="R35" s="667" t="s">
        <v>18</v>
      </c>
      <c r="S35" s="668">
        <f t="shared" si="12"/>
        <v>100</v>
      </c>
      <c r="T35" s="667" t="s">
        <v>18</v>
      </c>
      <c r="U35" s="668">
        <f t="shared" si="13"/>
        <v>100</v>
      </c>
      <c r="V35" s="667" t="s">
        <v>18</v>
      </c>
      <c r="W35" s="668">
        <f t="shared" si="14"/>
        <v>100</v>
      </c>
      <c r="X35" s="1265"/>
      <c r="Y35" s="335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4"/>
      <c r="Q36" s="1263" t="str">
        <f t="shared" si="11"/>
        <v>公共部分装修</v>
      </c>
      <c r="R36" s="667" t="s">
        <v>18</v>
      </c>
      <c r="S36" s="668">
        <f t="shared" si="12"/>
        <v>100</v>
      </c>
      <c r="T36" s="667" t="s">
        <v>18</v>
      </c>
      <c r="U36" s="668">
        <f t="shared" si="13"/>
        <v>100</v>
      </c>
      <c r="V36" s="667" t="s">
        <v>18</v>
      </c>
      <c r="W36" s="668">
        <f t="shared" si="14"/>
        <v>100</v>
      </c>
      <c r="X36" s="1265"/>
      <c r="Y36" s="335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34"/>
      <c r="Q37" s="530" t="str">
        <f t="shared" si="11"/>
        <v>成新度</v>
      </c>
      <c r="R37" s="664" t="s">
        <v>18</v>
      </c>
      <c r="S37" s="665" t="e">
        <f t="shared" si="12"/>
        <v>#N/A</v>
      </c>
      <c r="T37" s="664" t="s">
        <v>18</v>
      </c>
      <c r="U37" s="665" t="e">
        <f t="shared" si="13"/>
        <v>#N/A</v>
      </c>
      <c r="V37" s="664" t="s">
        <v>18</v>
      </c>
      <c r="W37" s="665" t="e">
        <f t="shared" si="14"/>
        <v>#N/A</v>
      </c>
      <c r="X37" s="666"/>
      <c r="Y37" s="335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4" t="s">
        <v>1696</v>
      </c>
      <c r="Q38" s="1263" t="str">
        <f t="shared" si="11"/>
        <v>物业管理</v>
      </c>
      <c r="R38" s="667" t="s">
        <v>18</v>
      </c>
      <c r="S38" s="668">
        <f t="shared" si="12"/>
        <v>100</v>
      </c>
      <c r="T38" s="667" t="s">
        <v>18</v>
      </c>
      <c r="U38" s="668">
        <f t="shared" si="13"/>
        <v>100</v>
      </c>
      <c r="V38" s="667" t="s">
        <v>18</v>
      </c>
      <c r="W38" s="668">
        <f t="shared" si="14"/>
        <v>100</v>
      </c>
      <c r="X38" s="1265"/>
      <c r="Y38" s="335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4"/>
      <c r="Q39" s="1263" t="str">
        <f t="shared" si="11"/>
        <v>市政基础设施</v>
      </c>
      <c r="R39" s="667" t="s">
        <v>18</v>
      </c>
      <c r="S39" s="668">
        <f t="shared" si="12"/>
        <v>100</v>
      </c>
      <c r="T39" s="667" t="s">
        <v>18</v>
      </c>
      <c r="U39" s="668">
        <f t="shared" si="13"/>
        <v>100</v>
      </c>
      <c r="V39" s="667" t="s">
        <v>18</v>
      </c>
      <c r="W39" s="668">
        <f t="shared" si="14"/>
        <v>100</v>
      </c>
      <c r="X39" s="1265"/>
      <c r="Y39" s="335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4"/>
      <c r="Q40" s="1263" t="str">
        <f t="shared" si="11"/>
        <v>房型</v>
      </c>
      <c r="R40" s="667" t="s">
        <v>18</v>
      </c>
      <c r="S40" s="668">
        <f t="shared" si="12"/>
        <v>100</v>
      </c>
      <c r="T40" s="667" t="s">
        <v>18</v>
      </c>
      <c r="U40" s="668">
        <f t="shared" si="13"/>
        <v>100</v>
      </c>
      <c r="V40" s="667" t="s">
        <v>18</v>
      </c>
      <c r="W40" s="668">
        <f t="shared" si="14"/>
        <v>100</v>
      </c>
      <c r="X40" s="1265"/>
      <c r="Y40" s="335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4"/>
      <c r="Q41" s="531" t="str">
        <f t="shared" si="11"/>
        <v>单套/主力户型建筑面积</v>
      </c>
      <c r="R41" s="669" t="s">
        <v>18</v>
      </c>
      <c r="S41" s="670">
        <f t="shared" si="12"/>
        <v>100</v>
      </c>
      <c r="T41" s="669" t="s">
        <v>18</v>
      </c>
      <c r="U41" s="670">
        <f t="shared" si="13"/>
        <v>100</v>
      </c>
      <c r="V41" s="669" t="s">
        <v>18</v>
      </c>
      <c r="W41" s="670">
        <f t="shared" si="14"/>
        <v>100</v>
      </c>
      <c r="X41" s="671"/>
      <c r="Y41" s="335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4"/>
      <c r="Q42" s="1263" t="str">
        <f t="shared" si="11"/>
        <v>内部装修</v>
      </c>
      <c r="R42" s="667" t="s">
        <v>18</v>
      </c>
      <c r="S42" s="668">
        <f t="shared" si="12"/>
        <v>100</v>
      </c>
      <c r="T42" s="667" t="s">
        <v>18</v>
      </c>
      <c r="U42" s="668">
        <f t="shared" si="13"/>
        <v>100</v>
      </c>
      <c r="V42" s="667" t="s">
        <v>18</v>
      </c>
      <c r="W42" s="668">
        <f t="shared" si="14"/>
        <v>100</v>
      </c>
      <c r="X42" s="1265"/>
      <c r="Y42" s="335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4"/>
      <c r="Q43" s="1263" t="str">
        <f t="shared" si="11"/>
        <v>内部装修维护情况</v>
      </c>
      <c r="R43" s="667" t="s">
        <v>18</v>
      </c>
      <c r="S43" s="668">
        <f t="shared" si="12"/>
        <v>100</v>
      </c>
      <c r="T43" s="667" t="s">
        <v>18</v>
      </c>
      <c r="U43" s="668">
        <f t="shared" si="13"/>
        <v>100</v>
      </c>
      <c r="V43" s="667" t="s">
        <v>18</v>
      </c>
      <c r="W43" s="668">
        <f t="shared" si="14"/>
        <v>100</v>
      </c>
      <c r="X43" s="1265"/>
      <c r="Y43" s="33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34"/>
      <c r="Q44" s="530">
        <f t="shared" si="11"/>
        <v>111</v>
      </c>
      <c r="R44" s="664" t="s">
        <v>18</v>
      </c>
      <c r="S44" s="665">
        <f t="shared" si="12"/>
        <v>100</v>
      </c>
      <c r="T44" s="664" t="s">
        <v>18</v>
      </c>
      <c r="U44" s="665">
        <f t="shared" si="13"/>
        <v>100</v>
      </c>
      <c r="V44" s="664" t="s">
        <v>18</v>
      </c>
      <c r="W44" s="665">
        <f t="shared" si="14"/>
        <v>100</v>
      </c>
      <c r="X44" s="666"/>
      <c r="Y44" s="33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4"/>
      <c r="Q45" s="1263">
        <f t="shared" si="11"/>
        <v>111</v>
      </c>
      <c r="R45" s="667" t="s">
        <v>18</v>
      </c>
      <c r="S45" s="668">
        <f t="shared" si="12"/>
        <v>100</v>
      </c>
      <c r="T45" s="667" t="s">
        <v>18</v>
      </c>
      <c r="U45" s="668">
        <f t="shared" si="13"/>
        <v>100</v>
      </c>
      <c r="V45" s="667" t="s">
        <v>18</v>
      </c>
      <c r="W45" s="668">
        <f t="shared" si="14"/>
        <v>100</v>
      </c>
      <c r="X45" s="1265"/>
      <c r="Y45" s="33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5"/>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52" t="str">
        <f>A47</f>
        <v>成交单价（元/平方米）</v>
      </c>
      <c r="Q47" s="3352"/>
      <c r="R47" s="3357">
        <f>E47</f>
        <v>0</v>
      </c>
      <c r="S47" s="3357"/>
      <c r="T47" s="3357">
        <f>G47</f>
        <v>0</v>
      </c>
      <c r="U47" s="3357"/>
      <c r="V47" s="3357">
        <f>I47</f>
        <v>0</v>
      </c>
      <c r="W47" s="3357"/>
      <c r="X47" s="385"/>
      <c r="Y47" s="673"/>
      <c r="Z47" s="385"/>
      <c r="AA47" s="385"/>
      <c r="AB47" s="385"/>
      <c r="AC47" s="385"/>
    </row>
    <row r="48" spans="1:29" ht="15.75" thickBot="1">
      <c r="A48" s="423" t="s">
        <v>1709</v>
      </c>
      <c r="B48" s="424"/>
      <c r="C48" s="1082" t="e">
        <f>R49</f>
        <v>#DIV/0!</v>
      </c>
      <c r="D48" s="2141" t="s">
        <v>2136</v>
      </c>
      <c r="E48" s="1083" t="e">
        <f>R48</f>
        <v>#DIV/0!</v>
      </c>
      <c r="F48" s="2142"/>
      <c r="G48" s="1082" t="e">
        <f>T48</f>
        <v>#DIV/0!</v>
      </c>
      <c r="H48" s="2142"/>
      <c r="I48" s="1083" t="e">
        <f>V48</f>
        <v>#DIV/0!</v>
      </c>
      <c r="J48" s="2142"/>
      <c r="K48" s="2143">
        <f>F48+H48+J48</f>
        <v>0</v>
      </c>
      <c r="L48" s="2494"/>
      <c r="M48" s="2487"/>
      <c r="N48" s="2487"/>
      <c r="O48" s="2487"/>
      <c r="P48" s="3352" t="str">
        <f>A48</f>
        <v>比较价值（元/平方米）</v>
      </c>
      <c r="Q48" s="3352"/>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46" t="str">
        <f>A49</f>
        <v>估价对象XX用房的比较价值（楼面单价，元/平方米）</v>
      </c>
      <c r="Q49" s="3347"/>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6"/>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39707.960000000006</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7"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7"/>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57"/>
      <c r="AC6" s="3360"/>
    </row>
    <row r="7" spans="1:29" s="102" customFormat="1" ht="15.75" thickBot="1">
      <c r="A7" s="352" t="s">
        <v>1679</v>
      </c>
      <c r="B7" s="353"/>
      <c r="C7" s="354">
        <f>'数据-取费表'!B2</f>
        <v>44922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51"/>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1"/>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1"/>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1"/>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7" t="s">
        <v>1691</v>
      </c>
      <c r="Q15" s="1263" t="str">
        <f t="shared" si="6"/>
        <v>商业繁华度</v>
      </c>
      <c r="R15" s="667" t="s">
        <v>14</v>
      </c>
      <c r="S15" s="668">
        <f t="shared" si="0"/>
        <v>100</v>
      </c>
      <c r="T15" s="667" t="s">
        <v>14</v>
      </c>
      <c r="U15" s="668">
        <f t="shared" si="1"/>
        <v>100</v>
      </c>
      <c r="V15" s="667" t="s">
        <v>14</v>
      </c>
      <c r="W15" s="668">
        <f t="shared" si="2"/>
        <v>100</v>
      </c>
      <c r="X15" s="1265"/>
      <c r="Y15" s="335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8"/>
      <c r="Q16" s="1263"/>
      <c r="R16" s="667"/>
      <c r="S16" s="668"/>
      <c r="T16" s="667"/>
      <c r="U16" s="668"/>
      <c r="V16" s="667"/>
      <c r="W16" s="668"/>
      <c r="X16" s="1265"/>
      <c r="Y16" s="3354"/>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8"/>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38"/>
      <c r="Q18" s="1263"/>
      <c r="R18" s="667"/>
      <c r="S18" s="668"/>
      <c r="T18" s="667"/>
      <c r="U18" s="668"/>
      <c r="V18" s="667"/>
      <c r="W18" s="668"/>
      <c r="X18" s="1265"/>
      <c r="Y18" s="3354"/>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8"/>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38"/>
      <c r="Q20" s="1263"/>
      <c r="R20" s="667"/>
      <c r="S20" s="668"/>
      <c r="T20" s="667"/>
      <c r="U20" s="668"/>
      <c r="V20" s="667"/>
      <c r="W20" s="668"/>
      <c r="X20" s="1265"/>
      <c r="Y20" s="3354"/>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38"/>
      <c r="Q22" s="1263"/>
      <c r="R22" s="667"/>
      <c r="S22" s="668"/>
      <c r="T22" s="667"/>
      <c r="U22" s="668"/>
      <c r="V22" s="667"/>
      <c r="W22" s="668"/>
      <c r="X22" s="1265"/>
      <c r="Y22" s="3354"/>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8"/>
      <c r="Q23" s="1263" t="str">
        <f>B23</f>
        <v>自然及人文环境</v>
      </c>
      <c r="R23" s="667" t="s">
        <v>14</v>
      </c>
      <c r="S23" s="668">
        <f>F23</f>
        <v>100</v>
      </c>
      <c r="T23" s="667" t="s">
        <v>14</v>
      </c>
      <c r="U23" s="668">
        <f>H23</f>
        <v>100</v>
      </c>
      <c r="V23" s="667" t="s">
        <v>14</v>
      </c>
      <c r="W23" s="668">
        <f>J23</f>
        <v>100</v>
      </c>
      <c r="X23" s="1265"/>
      <c r="Y23" s="335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38"/>
      <c r="Q24" s="1263"/>
      <c r="R24" s="667"/>
      <c r="S24" s="668"/>
      <c r="T24" s="667"/>
      <c r="U24" s="668"/>
      <c r="V24" s="667"/>
      <c r="W24" s="668"/>
      <c r="X24" s="1265"/>
      <c r="Y24" s="335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8"/>
      <c r="Q25" s="1263" t="str">
        <f t="shared" ref="Q25:Q46" si="11">B25</f>
        <v>临街状况</v>
      </c>
      <c r="R25" s="667" t="s">
        <v>14</v>
      </c>
      <c r="S25" s="668">
        <f>F25</f>
        <v>100</v>
      </c>
      <c r="T25" s="667" t="s">
        <v>14</v>
      </c>
      <c r="U25" s="668">
        <f>H25</f>
        <v>100</v>
      </c>
      <c r="V25" s="667" t="s">
        <v>14</v>
      </c>
      <c r="W25" s="668">
        <f>J25</f>
        <v>100</v>
      </c>
      <c r="X25" s="1265"/>
      <c r="Y25" s="335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8"/>
      <c r="Q26" s="1263" t="str">
        <f t="shared" si="11"/>
        <v>平面位置/可视性</v>
      </c>
      <c r="R26" s="667" t="s">
        <v>14</v>
      </c>
      <c r="S26" s="668">
        <f>F26</f>
        <v>100</v>
      </c>
      <c r="T26" s="667" t="s">
        <v>14</v>
      </c>
      <c r="U26" s="668">
        <f>H26</f>
        <v>100</v>
      </c>
      <c r="V26" s="667" t="s">
        <v>14</v>
      </c>
      <c r="W26" s="668">
        <f>J26</f>
        <v>100</v>
      </c>
      <c r="X26" s="1265"/>
      <c r="Y26" s="335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38"/>
      <c r="Q27" s="530" t="str">
        <f t="shared" si="11"/>
        <v>人流量</v>
      </c>
      <c r="R27" s="664" t="s">
        <v>14</v>
      </c>
      <c r="S27" s="665">
        <f>F27</f>
        <v>100</v>
      </c>
      <c r="T27" s="664" t="s">
        <v>14</v>
      </c>
      <c r="U27" s="665">
        <f>H27</f>
        <v>100</v>
      </c>
      <c r="V27" s="664" t="s">
        <v>14</v>
      </c>
      <c r="W27" s="665">
        <f>J27</f>
        <v>100</v>
      </c>
      <c r="X27" s="666"/>
      <c r="Y27" s="335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8"/>
      <c r="Q29" s="1263">
        <f t="shared" si="11"/>
        <v>111</v>
      </c>
      <c r="R29" s="667" t="s">
        <v>14</v>
      </c>
      <c r="S29" s="668">
        <f t="shared" si="12"/>
        <v>100</v>
      </c>
      <c r="T29" s="667" t="s">
        <v>14</v>
      </c>
      <c r="U29" s="668">
        <f t="shared" si="13"/>
        <v>100</v>
      </c>
      <c r="V29" s="667" t="s">
        <v>14</v>
      </c>
      <c r="W29" s="668">
        <f t="shared" si="14"/>
        <v>100</v>
      </c>
      <c r="X29" s="1265"/>
      <c r="Y29" s="335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8"/>
      <c r="Q30" s="1263">
        <f t="shared" si="11"/>
        <v>111</v>
      </c>
      <c r="R30" s="667" t="s">
        <v>14</v>
      </c>
      <c r="S30" s="668">
        <f t="shared" si="12"/>
        <v>100</v>
      </c>
      <c r="T30" s="667" t="s">
        <v>14</v>
      </c>
      <c r="U30" s="668">
        <f t="shared" si="13"/>
        <v>100</v>
      </c>
      <c r="V30" s="667" t="s">
        <v>14</v>
      </c>
      <c r="W30" s="668">
        <f t="shared" si="14"/>
        <v>100</v>
      </c>
      <c r="X30" s="1265"/>
      <c r="Y30" s="335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8"/>
      <c r="Q31" s="1263">
        <f t="shared" si="11"/>
        <v>111</v>
      </c>
      <c r="R31" s="667" t="s">
        <v>14</v>
      </c>
      <c r="S31" s="668">
        <f t="shared" si="12"/>
        <v>100</v>
      </c>
      <c r="T31" s="667" t="s">
        <v>14</v>
      </c>
      <c r="U31" s="668">
        <f t="shared" si="13"/>
        <v>100</v>
      </c>
      <c r="V31" s="667" t="s">
        <v>14</v>
      </c>
      <c r="W31" s="668">
        <f t="shared" si="14"/>
        <v>100</v>
      </c>
      <c r="X31" s="1265"/>
      <c r="Y31" s="335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3" t="s">
        <v>1696</v>
      </c>
      <c r="Q32" s="1263" t="str">
        <f t="shared" si="11"/>
        <v>商业类型</v>
      </c>
      <c r="R32" s="667" t="s">
        <v>14</v>
      </c>
      <c r="S32" s="668">
        <f t="shared" si="12"/>
        <v>100</v>
      </c>
      <c r="T32" s="667" t="s">
        <v>14</v>
      </c>
      <c r="U32" s="668">
        <f t="shared" si="13"/>
        <v>100</v>
      </c>
      <c r="V32" s="667" t="s">
        <v>14</v>
      </c>
      <c r="W32" s="668">
        <f t="shared" si="14"/>
        <v>100</v>
      </c>
      <c r="X32" s="1265"/>
      <c r="Y32" s="335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4"/>
      <c r="Q33" s="531" t="str">
        <f t="shared" si="11"/>
        <v>项目建筑规模</v>
      </c>
      <c r="R33" s="669" t="s">
        <v>14</v>
      </c>
      <c r="S33" s="670" t="e">
        <f t="shared" si="12"/>
        <v>#N/A</v>
      </c>
      <c r="T33" s="669" t="s">
        <v>14</v>
      </c>
      <c r="U33" s="670" t="e">
        <f t="shared" si="13"/>
        <v>#N/A</v>
      </c>
      <c r="V33" s="669" t="s">
        <v>14</v>
      </c>
      <c r="W33" s="670" t="e">
        <f t="shared" si="14"/>
        <v>#N/A</v>
      </c>
      <c r="X33" s="671"/>
      <c r="Y33" s="335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4"/>
      <c r="Q34" s="1263" t="str">
        <f t="shared" si="11"/>
        <v>建筑结构</v>
      </c>
      <c r="R34" s="667" t="s">
        <v>14</v>
      </c>
      <c r="S34" s="668">
        <f t="shared" si="12"/>
        <v>100</v>
      </c>
      <c r="T34" s="667" t="s">
        <v>14</v>
      </c>
      <c r="U34" s="668">
        <f t="shared" si="13"/>
        <v>100</v>
      </c>
      <c r="V34" s="667" t="s">
        <v>14</v>
      </c>
      <c r="W34" s="668">
        <f t="shared" si="14"/>
        <v>100</v>
      </c>
      <c r="X34" s="1265"/>
      <c r="Y34" s="335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4"/>
      <c r="Q35" s="1263" t="str">
        <f t="shared" si="11"/>
        <v>公共部分装修</v>
      </c>
      <c r="R35" s="667" t="s">
        <v>14</v>
      </c>
      <c r="S35" s="668">
        <f t="shared" si="12"/>
        <v>100</v>
      </c>
      <c r="T35" s="667" t="s">
        <v>14</v>
      </c>
      <c r="U35" s="668">
        <f t="shared" si="13"/>
        <v>100</v>
      </c>
      <c r="V35" s="667" t="s">
        <v>14</v>
      </c>
      <c r="W35" s="668">
        <f t="shared" si="14"/>
        <v>100</v>
      </c>
      <c r="X35" s="1265"/>
      <c r="Y35" s="335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4"/>
      <c r="Q36" s="1263" t="str">
        <f t="shared" si="11"/>
        <v>成新度</v>
      </c>
      <c r="R36" s="667" t="s">
        <v>14</v>
      </c>
      <c r="S36" s="668" t="e">
        <f t="shared" si="12"/>
        <v>#N/A</v>
      </c>
      <c r="T36" s="667" t="s">
        <v>14</v>
      </c>
      <c r="U36" s="668" t="e">
        <f t="shared" si="13"/>
        <v>#N/A</v>
      </c>
      <c r="V36" s="667" t="s">
        <v>14</v>
      </c>
      <c r="W36" s="668" t="e">
        <f t="shared" si="14"/>
        <v>#N/A</v>
      </c>
      <c r="X36" s="1265"/>
      <c r="Y36" s="335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35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4" t="s">
        <v>1696</v>
      </c>
      <c r="Q38" s="1263" t="str">
        <f t="shared" si="11"/>
        <v>业态</v>
      </c>
      <c r="R38" s="667" t="s">
        <v>14</v>
      </c>
      <c r="S38" s="668">
        <f t="shared" si="12"/>
        <v>100</v>
      </c>
      <c r="T38" s="667" t="s">
        <v>14</v>
      </c>
      <c r="U38" s="668">
        <f t="shared" si="13"/>
        <v>100</v>
      </c>
      <c r="V38" s="667" t="s">
        <v>14</v>
      </c>
      <c r="W38" s="668">
        <f t="shared" si="14"/>
        <v>100</v>
      </c>
      <c r="X38" s="1265"/>
      <c r="Y38" s="335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4"/>
      <c r="Q39" s="1263" t="str">
        <f t="shared" si="11"/>
        <v>层高</v>
      </c>
      <c r="R39" s="667" t="s">
        <v>14</v>
      </c>
      <c r="S39" s="668">
        <f t="shared" si="12"/>
        <v>100</v>
      </c>
      <c r="T39" s="667" t="s">
        <v>14</v>
      </c>
      <c r="U39" s="668">
        <f t="shared" si="13"/>
        <v>100</v>
      </c>
      <c r="V39" s="667" t="s">
        <v>14</v>
      </c>
      <c r="W39" s="668">
        <f t="shared" si="14"/>
        <v>100</v>
      </c>
      <c r="X39" s="1265"/>
      <c r="Y39" s="335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4"/>
      <c r="Q40" s="1263" t="str">
        <f t="shared" si="11"/>
        <v>单套建筑面积</v>
      </c>
      <c r="R40" s="667" t="s">
        <v>14</v>
      </c>
      <c r="S40" s="668">
        <f t="shared" si="12"/>
        <v>100</v>
      </c>
      <c r="T40" s="667" t="s">
        <v>14</v>
      </c>
      <c r="U40" s="668">
        <f t="shared" si="13"/>
        <v>100</v>
      </c>
      <c r="V40" s="667" t="s">
        <v>14</v>
      </c>
      <c r="W40" s="668">
        <f t="shared" si="14"/>
        <v>100</v>
      </c>
      <c r="X40" s="1265"/>
      <c r="Y40" s="335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4"/>
      <c r="Q41" s="531" t="str">
        <f t="shared" si="11"/>
        <v>进深比</v>
      </c>
      <c r="R41" s="669" t="s">
        <v>14</v>
      </c>
      <c r="S41" s="670">
        <f t="shared" si="12"/>
        <v>100</v>
      </c>
      <c r="T41" s="669" t="s">
        <v>14</v>
      </c>
      <c r="U41" s="670">
        <f t="shared" si="13"/>
        <v>100</v>
      </c>
      <c r="V41" s="669" t="s">
        <v>14</v>
      </c>
      <c r="W41" s="670">
        <f t="shared" si="14"/>
        <v>100</v>
      </c>
      <c r="X41" s="671"/>
      <c r="Y41" s="335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4"/>
      <c r="Q42" s="1263" t="str">
        <f t="shared" si="11"/>
        <v>内部装修</v>
      </c>
      <c r="R42" s="667" t="s">
        <v>14</v>
      </c>
      <c r="S42" s="668">
        <f t="shared" si="12"/>
        <v>100</v>
      </c>
      <c r="T42" s="667" t="s">
        <v>14</v>
      </c>
      <c r="U42" s="668">
        <f t="shared" si="13"/>
        <v>100</v>
      </c>
      <c r="V42" s="667" t="s">
        <v>14</v>
      </c>
      <c r="W42" s="668">
        <f t="shared" si="14"/>
        <v>100</v>
      </c>
      <c r="X42" s="1265"/>
      <c r="Y42" s="335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4"/>
      <c r="Q43" s="1263" t="str">
        <f t="shared" si="11"/>
        <v>内部装修维护情况</v>
      </c>
      <c r="R43" s="667" t="s">
        <v>14</v>
      </c>
      <c r="S43" s="668">
        <f t="shared" si="12"/>
        <v>100</v>
      </c>
      <c r="T43" s="667" t="s">
        <v>14</v>
      </c>
      <c r="U43" s="668">
        <f t="shared" si="13"/>
        <v>100</v>
      </c>
      <c r="V43" s="667" t="s">
        <v>14</v>
      </c>
      <c r="W43" s="668">
        <f t="shared" si="14"/>
        <v>100</v>
      </c>
      <c r="X43" s="1265"/>
      <c r="Y43" s="33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3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4"/>
      <c r="Q45" s="1263">
        <f t="shared" si="11"/>
        <v>111</v>
      </c>
      <c r="R45" s="667" t="s">
        <v>14</v>
      </c>
      <c r="S45" s="668">
        <f t="shared" si="12"/>
        <v>100</v>
      </c>
      <c r="T45" s="667" t="s">
        <v>14</v>
      </c>
      <c r="U45" s="668">
        <f t="shared" si="13"/>
        <v>100</v>
      </c>
      <c r="V45" s="667" t="s">
        <v>14</v>
      </c>
      <c r="W45" s="668">
        <f t="shared" si="14"/>
        <v>100</v>
      </c>
      <c r="X45" s="1265"/>
      <c r="Y45" s="33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5"/>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52" t="str">
        <f>A47</f>
        <v>成交单价（元/平方米）</v>
      </c>
      <c r="Q47" s="3352"/>
      <c r="R47" s="3357">
        <f>E47</f>
        <v>0</v>
      </c>
      <c r="S47" s="3357"/>
      <c r="T47" s="3357">
        <f>G47</f>
        <v>0</v>
      </c>
      <c r="U47" s="3357"/>
      <c r="V47" s="3357">
        <f>I47</f>
        <v>0</v>
      </c>
      <c r="W47" s="3357"/>
      <c r="X47" s="385"/>
      <c r="Y47" s="673"/>
      <c r="Z47" s="385"/>
      <c r="AA47" s="385"/>
      <c r="AB47" s="385"/>
      <c r="AC47" s="385"/>
    </row>
    <row r="48" spans="1:29" ht="15.75" thickBot="1">
      <c r="A48" s="423" t="s">
        <v>1793</v>
      </c>
      <c r="B48" s="424"/>
      <c r="C48" s="1082" t="e">
        <f>R49</f>
        <v>#DIV/0!</v>
      </c>
      <c r="D48" s="2141" t="s">
        <v>2136</v>
      </c>
      <c r="E48" s="1083" t="e">
        <f>R48</f>
        <v>#DIV/0!</v>
      </c>
      <c r="F48" s="2142"/>
      <c r="G48" s="1082" t="e">
        <f>T48</f>
        <v>#DIV/0!</v>
      </c>
      <c r="H48" s="2142"/>
      <c r="I48" s="1083" t="e">
        <f>V48</f>
        <v>#DIV/0!</v>
      </c>
      <c r="J48" s="2142"/>
      <c r="K48" s="2144">
        <f>F48+H48+J48</f>
        <v>0</v>
      </c>
      <c r="L48" s="2494"/>
      <c r="M48" s="2487"/>
      <c r="N48" s="2487"/>
      <c r="O48" s="2487"/>
      <c r="P48" s="3352" t="str">
        <f>A48</f>
        <v>比较价值（元/平方米）</v>
      </c>
      <c r="Q48" s="3352"/>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46" t="str">
        <f>A49</f>
        <v>估价对象XX用房的比较价值（楼面单价，元/平方米）</v>
      </c>
      <c r="Q49" s="3347"/>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D1" sqref="D1:F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39707.960000000006</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445" t="s">
        <v>1775</v>
      </c>
      <c r="Q4" s="3446"/>
      <c r="R4" s="3449" t="s">
        <v>1771</v>
      </c>
      <c r="S4" s="3450"/>
      <c r="T4" s="3449" t="s">
        <v>1772</v>
      </c>
      <c r="U4" s="3450"/>
      <c r="V4" s="3451" t="s">
        <v>1773</v>
      </c>
      <c r="W4" s="3451"/>
      <c r="X4" s="1809"/>
      <c r="Y4" s="3449" t="s">
        <v>1775</v>
      </c>
      <c r="Z4" s="3450"/>
      <c r="AA4" s="3453" t="s">
        <v>1771</v>
      </c>
      <c r="AB4" s="3453" t="s">
        <v>1772</v>
      </c>
      <c r="AC4" s="3442" t="s">
        <v>1773</v>
      </c>
    </row>
    <row r="5" spans="1:29" ht="15">
      <c r="A5" s="348"/>
      <c r="B5" s="349"/>
      <c r="C5" s="3378" t="s">
        <v>1673</v>
      </c>
      <c r="D5" s="3379"/>
      <c r="E5" s="3385" t="s">
        <v>1674</v>
      </c>
      <c r="F5" s="3386"/>
      <c r="G5" s="3378" t="s">
        <v>1675</v>
      </c>
      <c r="H5" s="3379"/>
      <c r="I5" s="3378" t="s">
        <v>1676</v>
      </c>
      <c r="J5" s="3379"/>
      <c r="K5" s="537"/>
      <c r="L5" s="2486"/>
      <c r="M5" s="2487"/>
      <c r="N5" s="2487"/>
      <c r="O5" s="2487"/>
      <c r="P5" s="3447"/>
      <c r="Q5" s="3367"/>
      <c r="R5" s="3372"/>
      <c r="S5" s="3373"/>
      <c r="T5" s="3372"/>
      <c r="U5" s="3373"/>
      <c r="V5" s="3357"/>
      <c r="W5" s="3357"/>
      <c r="X5" s="1265"/>
      <c r="Y5" s="3372"/>
      <c r="Z5" s="3373"/>
      <c r="AA5" s="3359"/>
      <c r="AB5" s="3359"/>
      <c r="AC5" s="3443"/>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448"/>
      <c r="Q6" s="3369"/>
      <c r="R6" s="3372"/>
      <c r="S6" s="3373"/>
      <c r="T6" s="3374"/>
      <c r="U6" s="3375"/>
      <c r="V6" s="3357"/>
      <c r="W6" s="3357"/>
      <c r="X6" s="1265"/>
      <c r="Y6" s="3374"/>
      <c r="Z6" s="3375"/>
      <c r="AA6" s="3360"/>
      <c r="AB6" s="3360"/>
      <c r="AC6" s="3444"/>
    </row>
    <row r="7" spans="1:29" s="102" customFormat="1" ht="15.75" thickBot="1">
      <c r="A7" s="352" t="s">
        <v>1679</v>
      </c>
      <c r="B7" s="353"/>
      <c r="C7" s="354">
        <f>'数据-取费表'!B2</f>
        <v>44922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2"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2"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1"/>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1"/>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1"/>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1"/>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7" t="s">
        <v>1691</v>
      </c>
      <c r="Q15" s="1263" t="str">
        <f t="shared" si="6"/>
        <v>办公集聚程度</v>
      </c>
      <c r="R15" s="667" t="s">
        <v>14</v>
      </c>
      <c r="S15" s="668">
        <f t="shared" si="0"/>
        <v>100</v>
      </c>
      <c r="T15" s="667" t="s">
        <v>14</v>
      </c>
      <c r="U15" s="668">
        <f t="shared" si="1"/>
        <v>100</v>
      </c>
      <c r="V15" s="667" t="s">
        <v>14</v>
      </c>
      <c r="W15" s="668">
        <f t="shared" si="2"/>
        <v>100</v>
      </c>
      <c r="X15" s="1265"/>
      <c r="Y15" s="335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38"/>
      <c r="Q16" s="1263"/>
      <c r="R16" s="667"/>
      <c r="S16" s="668"/>
      <c r="T16" s="667"/>
      <c r="U16" s="668"/>
      <c r="V16" s="667"/>
      <c r="W16" s="668"/>
      <c r="X16" s="1265"/>
      <c r="Y16" s="3354"/>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8"/>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38"/>
      <c r="Q18" s="1263"/>
      <c r="R18" s="667"/>
      <c r="S18" s="668"/>
      <c r="T18" s="667"/>
      <c r="U18" s="668"/>
      <c r="V18" s="667"/>
      <c r="W18" s="668"/>
      <c r="X18" s="1265"/>
      <c r="Y18" s="3354"/>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8"/>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38"/>
      <c r="Q20" s="1263"/>
      <c r="R20" s="667"/>
      <c r="S20" s="668"/>
      <c r="T20" s="667"/>
      <c r="U20" s="668"/>
      <c r="V20" s="667"/>
      <c r="W20" s="668"/>
      <c r="X20" s="1265"/>
      <c r="Y20" s="3354"/>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38"/>
      <c r="Q22" s="1263"/>
      <c r="R22" s="667"/>
      <c r="S22" s="668"/>
      <c r="T22" s="667"/>
      <c r="U22" s="668"/>
      <c r="V22" s="667"/>
      <c r="W22" s="668"/>
      <c r="X22" s="1265"/>
      <c r="Y22" s="3354"/>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8"/>
      <c r="Q23" s="1263" t="str">
        <f>B23</f>
        <v>环境质量</v>
      </c>
      <c r="R23" s="667" t="s">
        <v>14</v>
      </c>
      <c r="S23" s="668">
        <f>F23</f>
        <v>100</v>
      </c>
      <c r="T23" s="667" t="s">
        <v>14</v>
      </c>
      <c r="U23" s="668">
        <f>H23</f>
        <v>100</v>
      </c>
      <c r="V23" s="667" t="s">
        <v>14</v>
      </c>
      <c r="W23" s="668">
        <f>J23</f>
        <v>100</v>
      </c>
      <c r="X23" s="1265"/>
      <c r="Y23" s="335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38"/>
      <c r="Q24" s="1263"/>
      <c r="R24" s="667"/>
      <c r="S24" s="668"/>
      <c r="T24" s="667"/>
      <c r="U24" s="668"/>
      <c r="V24" s="667"/>
      <c r="W24" s="668"/>
      <c r="X24" s="1265"/>
      <c r="Y24" s="335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38"/>
      <c r="Q25" s="1263" t="str">
        <f>B25</f>
        <v>毗邻道路的类型与等级</v>
      </c>
      <c r="R25" s="667" t="s">
        <v>14</v>
      </c>
      <c r="S25" s="668">
        <f>F25</f>
        <v>100</v>
      </c>
      <c r="T25" s="667" t="s">
        <v>14</v>
      </c>
      <c r="U25" s="668">
        <f>H25</f>
        <v>100</v>
      </c>
      <c r="V25" s="667" t="s">
        <v>14</v>
      </c>
      <c r="W25" s="668">
        <f>J25</f>
        <v>100</v>
      </c>
      <c r="X25" s="1265"/>
      <c r="Y25" s="335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38"/>
      <c r="Q26" s="1263"/>
      <c r="R26" s="667"/>
      <c r="S26" s="668"/>
      <c r="T26" s="667"/>
      <c r="U26" s="668"/>
      <c r="V26" s="667"/>
      <c r="W26" s="668"/>
      <c r="X26" s="1265"/>
      <c r="Y26" s="335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8"/>
      <c r="Q27" s="1263" t="str">
        <f t="shared" ref="Q27:Q47" si="11">B27</f>
        <v>楼层</v>
      </c>
      <c r="R27" s="667" t="s">
        <v>14</v>
      </c>
      <c r="S27" s="668">
        <f>F27</f>
        <v>100</v>
      </c>
      <c r="T27" s="667" t="s">
        <v>14</v>
      </c>
      <c r="U27" s="668">
        <f>H27</f>
        <v>100</v>
      </c>
      <c r="V27" s="667" t="s">
        <v>14</v>
      </c>
      <c r="W27" s="668">
        <f>J27</f>
        <v>100</v>
      </c>
      <c r="X27" s="1265"/>
      <c r="Y27" s="335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38"/>
      <c r="Q28" s="530" t="str">
        <f t="shared" si="11"/>
        <v>朝向</v>
      </c>
      <c r="R28" s="664" t="s">
        <v>14</v>
      </c>
      <c r="S28" s="665">
        <f>F28</f>
        <v>100</v>
      </c>
      <c r="T28" s="664" t="s">
        <v>14</v>
      </c>
      <c r="U28" s="665">
        <f>H28</f>
        <v>100</v>
      </c>
      <c r="V28" s="664" t="s">
        <v>14</v>
      </c>
      <c r="W28" s="665">
        <f>J28</f>
        <v>100</v>
      </c>
      <c r="X28" s="666"/>
      <c r="Y28" s="335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35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8"/>
      <c r="Q30" s="1263">
        <f t="shared" si="11"/>
        <v>111</v>
      </c>
      <c r="R30" s="667" t="s">
        <v>14</v>
      </c>
      <c r="S30" s="668">
        <f t="shared" si="12"/>
        <v>100</v>
      </c>
      <c r="T30" s="667" t="s">
        <v>14</v>
      </c>
      <c r="U30" s="668">
        <f t="shared" si="13"/>
        <v>100</v>
      </c>
      <c r="V30" s="667" t="s">
        <v>14</v>
      </c>
      <c r="W30" s="668">
        <f t="shared" si="14"/>
        <v>100</v>
      </c>
      <c r="X30" s="1265"/>
      <c r="Y30" s="335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8"/>
      <c r="Q31" s="1263">
        <f t="shared" si="11"/>
        <v>111</v>
      </c>
      <c r="R31" s="667" t="s">
        <v>14</v>
      </c>
      <c r="S31" s="668">
        <f t="shared" si="12"/>
        <v>100</v>
      </c>
      <c r="T31" s="667" t="s">
        <v>14</v>
      </c>
      <c r="U31" s="668">
        <f t="shared" si="13"/>
        <v>100</v>
      </c>
      <c r="V31" s="667" t="s">
        <v>14</v>
      </c>
      <c r="W31" s="668">
        <f t="shared" si="14"/>
        <v>100</v>
      </c>
      <c r="X31" s="1265"/>
      <c r="Y31" s="335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8"/>
      <c r="Q32" s="1263">
        <f t="shared" si="11"/>
        <v>111</v>
      </c>
      <c r="R32" s="667" t="s">
        <v>14</v>
      </c>
      <c r="S32" s="668">
        <f t="shared" si="12"/>
        <v>100</v>
      </c>
      <c r="T32" s="667" t="s">
        <v>14</v>
      </c>
      <c r="U32" s="668">
        <f t="shared" si="13"/>
        <v>100</v>
      </c>
      <c r="V32" s="667" t="s">
        <v>14</v>
      </c>
      <c r="W32" s="668">
        <f t="shared" si="14"/>
        <v>100</v>
      </c>
      <c r="X32" s="1265"/>
      <c r="Y32" s="335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3" t="s">
        <v>1696</v>
      </c>
      <c r="Q33" s="1263" t="str">
        <f t="shared" si="11"/>
        <v>建筑类型</v>
      </c>
      <c r="R33" s="667" t="s">
        <v>14</v>
      </c>
      <c r="S33" s="668">
        <f t="shared" si="12"/>
        <v>100</v>
      </c>
      <c r="T33" s="667" t="s">
        <v>14</v>
      </c>
      <c r="U33" s="668">
        <f t="shared" si="13"/>
        <v>100</v>
      </c>
      <c r="V33" s="667" t="s">
        <v>14</v>
      </c>
      <c r="W33" s="668">
        <f t="shared" si="14"/>
        <v>100</v>
      </c>
      <c r="X33" s="1265"/>
      <c r="Y33" s="335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4"/>
      <c r="Q34" s="531" t="str">
        <f t="shared" si="11"/>
        <v>项目建筑规模</v>
      </c>
      <c r="R34" s="669" t="s">
        <v>14</v>
      </c>
      <c r="S34" s="670" t="e">
        <f t="shared" si="12"/>
        <v>#N/A</v>
      </c>
      <c r="T34" s="669" t="s">
        <v>14</v>
      </c>
      <c r="U34" s="670" t="e">
        <f t="shared" si="13"/>
        <v>#N/A</v>
      </c>
      <c r="V34" s="669" t="s">
        <v>14</v>
      </c>
      <c r="W34" s="670" t="e">
        <f t="shared" si="14"/>
        <v>#N/A</v>
      </c>
      <c r="X34" s="671"/>
      <c r="Y34" s="335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4"/>
      <c r="Q35" s="1263" t="str">
        <f t="shared" si="11"/>
        <v>建筑结构</v>
      </c>
      <c r="R35" s="667" t="s">
        <v>14</v>
      </c>
      <c r="S35" s="668">
        <f t="shared" si="12"/>
        <v>100</v>
      </c>
      <c r="T35" s="667" t="s">
        <v>14</v>
      </c>
      <c r="U35" s="668">
        <f t="shared" si="13"/>
        <v>100</v>
      </c>
      <c r="V35" s="667" t="s">
        <v>14</v>
      </c>
      <c r="W35" s="668">
        <f t="shared" si="14"/>
        <v>100</v>
      </c>
      <c r="X35" s="1265"/>
      <c r="Y35" s="335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4"/>
      <c r="Q36" s="1263" t="str">
        <f t="shared" si="11"/>
        <v>公共部分装修</v>
      </c>
      <c r="R36" s="667" t="s">
        <v>14</v>
      </c>
      <c r="S36" s="668">
        <f t="shared" si="12"/>
        <v>100</v>
      </c>
      <c r="T36" s="667" t="s">
        <v>14</v>
      </c>
      <c r="U36" s="668">
        <f t="shared" si="13"/>
        <v>100</v>
      </c>
      <c r="V36" s="667" t="s">
        <v>14</v>
      </c>
      <c r="W36" s="668">
        <f t="shared" si="14"/>
        <v>100</v>
      </c>
      <c r="X36" s="1265"/>
      <c r="Y36" s="335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4"/>
      <c r="Q37" s="1263" t="str">
        <f t="shared" si="11"/>
        <v>成新度</v>
      </c>
      <c r="R37" s="667" t="s">
        <v>14</v>
      </c>
      <c r="S37" s="668" t="e">
        <f t="shared" si="12"/>
        <v>#N/A</v>
      </c>
      <c r="T37" s="667" t="s">
        <v>14</v>
      </c>
      <c r="U37" s="668" t="e">
        <f t="shared" si="13"/>
        <v>#N/A</v>
      </c>
      <c r="V37" s="667" t="s">
        <v>14</v>
      </c>
      <c r="W37" s="668" t="e">
        <f t="shared" si="14"/>
        <v>#N/A</v>
      </c>
      <c r="X37" s="1265"/>
      <c r="Y37" s="335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4"/>
      <c r="Q38" s="530" t="str">
        <f t="shared" si="11"/>
        <v>写字楼等级</v>
      </c>
      <c r="R38" s="664" t="s">
        <v>14</v>
      </c>
      <c r="S38" s="665">
        <f t="shared" si="12"/>
        <v>100</v>
      </c>
      <c r="T38" s="664" t="s">
        <v>14</v>
      </c>
      <c r="U38" s="665">
        <f t="shared" si="13"/>
        <v>100</v>
      </c>
      <c r="V38" s="664" t="s">
        <v>14</v>
      </c>
      <c r="W38" s="665">
        <f t="shared" si="14"/>
        <v>100</v>
      </c>
      <c r="X38" s="666"/>
      <c r="Y38" s="335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4" t="s">
        <v>1696</v>
      </c>
      <c r="Q39" s="1263" t="str">
        <f t="shared" si="11"/>
        <v>物业管理</v>
      </c>
      <c r="R39" s="667" t="s">
        <v>14</v>
      </c>
      <c r="S39" s="668">
        <f t="shared" si="12"/>
        <v>100</v>
      </c>
      <c r="T39" s="667" t="s">
        <v>14</v>
      </c>
      <c r="U39" s="668">
        <f t="shared" si="13"/>
        <v>100</v>
      </c>
      <c r="V39" s="667" t="s">
        <v>14</v>
      </c>
      <c r="W39" s="668">
        <f t="shared" si="14"/>
        <v>100</v>
      </c>
      <c r="X39" s="1265"/>
      <c r="Y39" s="335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4"/>
      <c r="Q40" s="1263" t="str">
        <f t="shared" si="11"/>
        <v>市政基础设施</v>
      </c>
      <c r="R40" s="667" t="s">
        <v>14</v>
      </c>
      <c r="S40" s="668">
        <f t="shared" si="12"/>
        <v>100</v>
      </c>
      <c r="T40" s="667" t="s">
        <v>14</v>
      </c>
      <c r="U40" s="668">
        <f t="shared" si="13"/>
        <v>100</v>
      </c>
      <c r="V40" s="667" t="s">
        <v>14</v>
      </c>
      <c r="W40" s="668">
        <f t="shared" si="14"/>
        <v>100</v>
      </c>
      <c r="X40" s="1265"/>
      <c r="Y40" s="335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4"/>
      <c r="Q41" s="1263" t="str">
        <f t="shared" si="11"/>
        <v>层高</v>
      </c>
      <c r="R41" s="667" t="s">
        <v>14</v>
      </c>
      <c r="S41" s="668">
        <f t="shared" si="12"/>
        <v>100</v>
      </c>
      <c r="T41" s="667" t="s">
        <v>14</v>
      </c>
      <c r="U41" s="668">
        <f t="shared" si="13"/>
        <v>100</v>
      </c>
      <c r="V41" s="667" t="s">
        <v>14</v>
      </c>
      <c r="W41" s="668">
        <f t="shared" si="14"/>
        <v>100</v>
      </c>
      <c r="X41" s="1265"/>
      <c r="Y41" s="335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4"/>
      <c r="Q42" s="531" t="str">
        <f t="shared" si="11"/>
        <v>单套建筑面积</v>
      </c>
      <c r="R42" s="669" t="s">
        <v>14</v>
      </c>
      <c r="S42" s="670">
        <f t="shared" si="12"/>
        <v>100</v>
      </c>
      <c r="T42" s="669" t="s">
        <v>14</v>
      </c>
      <c r="U42" s="670">
        <f t="shared" si="13"/>
        <v>100</v>
      </c>
      <c r="V42" s="669" t="s">
        <v>14</v>
      </c>
      <c r="W42" s="670">
        <f t="shared" si="14"/>
        <v>100</v>
      </c>
      <c r="X42" s="671"/>
      <c r="Y42" s="335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4"/>
      <c r="Q43" s="1263" t="str">
        <f t="shared" si="11"/>
        <v>内部装修</v>
      </c>
      <c r="R43" s="667" t="s">
        <v>14</v>
      </c>
      <c r="S43" s="668">
        <f t="shared" si="12"/>
        <v>100</v>
      </c>
      <c r="T43" s="667" t="s">
        <v>14</v>
      </c>
      <c r="U43" s="668">
        <f t="shared" si="13"/>
        <v>100</v>
      </c>
      <c r="V43" s="667" t="s">
        <v>14</v>
      </c>
      <c r="W43" s="668">
        <f t="shared" si="14"/>
        <v>100</v>
      </c>
      <c r="X43" s="1265"/>
      <c r="Y43" s="335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4"/>
      <c r="Q44" s="1263" t="str">
        <f t="shared" si="11"/>
        <v>内部装修维护情况</v>
      </c>
      <c r="R44" s="667" t="s">
        <v>14</v>
      </c>
      <c r="S44" s="668">
        <f t="shared" si="12"/>
        <v>100</v>
      </c>
      <c r="T44" s="667" t="s">
        <v>14</v>
      </c>
      <c r="U44" s="668">
        <f t="shared" si="13"/>
        <v>100</v>
      </c>
      <c r="V44" s="667" t="s">
        <v>14</v>
      </c>
      <c r="W44" s="668">
        <f t="shared" si="14"/>
        <v>100</v>
      </c>
      <c r="X44" s="1265"/>
      <c r="Y44" s="33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4"/>
      <c r="Q45" s="530">
        <f t="shared" si="11"/>
        <v>111</v>
      </c>
      <c r="R45" s="664" t="s">
        <v>14</v>
      </c>
      <c r="S45" s="665">
        <f t="shared" si="12"/>
        <v>100</v>
      </c>
      <c r="T45" s="664" t="s">
        <v>14</v>
      </c>
      <c r="U45" s="665">
        <f t="shared" si="13"/>
        <v>100</v>
      </c>
      <c r="V45" s="664" t="s">
        <v>14</v>
      </c>
      <c r="W45" s="665">
        <f t="shared" si="14"/>
        <v>100</v>
      </c>
      <c r="X45" s="666"/>
      <c r="Y45" s="33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4"/>
      <c r="Q46" s="1263">
        <f t="shared" si="11"/>
        <v>111</v>
      </c>
      <c r="R46" s="667" t="s">
        <v>14</v>
      </c>
      <c r="S46" s="668">
        <f t="shared" si="12"/>
        <v>100</v>
      </c>
      <c r="T46" s="667" t="s">
        <v>14</v>
      </c>
      <c r="U46" s="668">
        <f t="shared" si="13"/>
        <v>100</v>
      </c>
      <c r="V46" s="667" t="s">
        <v>14</v>
      </c>
      <c r="W46" s="668">
        <f t="shared" si="14"/>
        <v>100</v>
      </c>
      <c r="X46" s="1265"/>
      <c r="Y46" s="33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5"/>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51" t="str">
        <f>A48</f>
        <v>成交单价（元/平方米）</v>
      </c>
      <c r="Q48" s="3352"/>
      <c r="R48" s="3357">
        <f>E48</f>
        <v>0</v>
      </c>
      <c r="S48" s="3357"/>
      <c r="T48" s="3357">
        <f>G48</f>
        <v>0</v>
      </c>
      <c r="U48" s="3357"/>
      <c r="V48" s="3357">
        <f>I48</f>
        <v>0</v>
      </c>
      <c r="W48" s="3357"/>
      <c r="X48" s="385"/>
      <c r="Y48" s="673"/>
      <c r="Z48" s="385"/>
      <c r="AA48" s="385"/>
      <c r="AB48" s="385"/>
      <c r="AC48" s="555"/>
    </row>
    <row r="49" spans="1:29" ht="15.75" thickBot="1">
      <c r="A49" s="423" t="s">
        <v>1793</v>
      </c>
      <c r="B49" s="424"/>
      <c r="C49" s="1082" t="e">
        <f>R50</f>
        <v>#DIV/0!</v>
      </c>
      <c r="D49" s="2141" t="s">
        <v>2136</v>
      </c>
      <c r="E49" s="1083" t="e">
        <f>R49</f>
        <v>#DIV/0!</v>
      </c>
      <c r="F49" s="2142"/>
      <c r="G49" s="1082" t="e">
        <f>T49</f>
        <v>#DIV/0!</v>
      </c>
      <c r="H49" s="2142"/>
      <c r="I49" s="1083" t="e">
        <f>V49</f>
        <v>#DIV/0!</v>
      </c>
      <c r="J49" s="2142"/>
      <c r="K49" s="2144">
        <f>F49+H49+J49</f>
        <v>0</v>
      </c>
      <c r="L49" s="2494"/>
      <c r="M49" s="2487"/>
      <c r="N49" s="2487"/>
      <c r="O49" s="2487"/>
      <c r="P49" s="3351" t="str">
        <f>A49</f>
        <v>比较价值（元/平方米）</v>
      </c>
      <c r="Q49" s="3352"/>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39707.960000000006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860"/>
      <c r="M4" s="861"/>
      <c r="N4" s="861"/>
      <c r="O4" s="861"/>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860"/>
      <c r="M5" s="861"/>
      <c r="N5" s="861"/>
      <c r="O5" s="861"/>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860"/>
      <c r="M6" s="861"/>
      <c r="N6" s="861"/>
      <c r="O6" s="861"/>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SUMIF(52:52,YEAR(E7)&amp;"-"&amp;MONTH(E7),53:53)</f>
        <v>0</v>
      </c>
      <c r="G7" s="356"/>
      <c r="H7" s="355">
        <f>SUMIF(52:52,YEAR(G7)&amp;"-"&amp;MONTH(G7),53:53)</f>
        <v>0</v>
      </c>
      <c r="I7" s="356"/>
      <c r="J7" s="355">
        <f>SUMIF(52:52,YEAR(I7)&amp;"-"&amp;MONTH(I7),53:53)</f>
        <v>0</v>
      </c>
      <c r="K7" s="38"/>
      <c r="L7" s="862"/>
      <c r="M7" s="863"/>
      <c r="N7" s="863"/>
      <c r="O7" s="863"/>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2"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2"/>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3" t="s">
        <v>1691</v>
      </c>
      <c r="Q15" s="1263" t="str">
        <f t="shared" si="6"/>
        <v>产业集聚程度</v>
      </c>
      <c r="R15" s="667" t="s">
        <v>14</v>
      </c>
      <c r="S15" s="668">
        <f t="shared" si="0"/>
        <v>100</v>
      </c>
      <c r="T15" s="667" t="s">
        <v>14</v>
      </c>
      <c r="U15" s="668">
        <f t="shared" si="1"/>
        <v>100</v>
      </c>
      <c r="V15" s="667" t="s">
        <v>14</v>
      </c>
      <c r="W15" s="668">
        <f t="shared" si="2"/>
        <v>100</v>
      </c>
      <c r="X15" s="1265"/>
      <c r="Y15" s="335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4"/>
      <c r="Q16" s="1263"/>
      <c r="R16" s="667"/>
      <c r="S16" s="668"/>
      <c r="T16" s="667"/>
      <c r="U16" s="668"/>
      <c r="V16" s="667"/>
      <c r="W16" s="668"/>
      <c r="X16" s="1265"/>
      <c r="Y16" s="335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4"/>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4"/>
      <c r="Q18" s="1263"/>
      <c r="R18" s="667"/>
      <c r="S18" s="668"/>
      <c r="T18" s="667"/>
      <c r="U18" s="668"/>
      <c r="V18" s="667"/>
      <c r="W18" s="668"/>
      <c r="X18" s="1265"/>
      <c r="Y18" s="335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4"/>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4"/>
      <c r="Q20" s="1263"/>
      <c r="R20" s="667"/>
      <c r="S20" s="668"/>
      <c r="T20" s="667"/>
      <c r="U20" s="668"/>
      <c r="V20" s="667"/>
      <c r="W20" s="668"/>
      <c r="X20" s="1265"/>
      <c r="Y20" s="335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4"/>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4"/>
      <c r="Q22" s="1263"/>
      <c r="R22" s="667"/>
      <c r="S22" s="668"/>
      <c r="T22" s="667"/>
      <c r="U22" s="668"/>
      <c r="V22" s="667"/>
      <c r="W22" s="668"/>
      <c r="X22" s="1265"/>
      <c r="Y22" s="335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4"/>
      <c r="Q23" s="1263" t="str">
        <f>B23</f>
        <v>环境质量</v>
      </c>
      <c r="R23" s="667" t="s">
        <v>14</v>
      </c>
      <c r="S23" s="668">
        <f>F23</f>
        <v>100</v>
      </c>
      <c r="T23" s="667" t="s">
        <v>14</v>
      </c>
      <c r="U23" s="668">
        <f>H23</f>
        <v>100</v>
      </c>
      <c r="V23" s="667" t="s">
        <v>14</v>
      </c>
      <c r="W23" s="668">
        <f>J23</f>
        <v>100</v>
      </c>
      <c r="X23" s="1265"/>
      <c r="Y23" s="335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4"/>
      <c r="Q24" s="1263"/>
      <c r="R24" s="667"/>
      <c r="S24" s="668"/>
      <c r="T24" s="667"/>
      <c r="U24" s="668"/>
      <c r="V24" s="667"/>
      <c r="W24" s="668"/>
      <c r="X24" s="1265"/>
      <c r="Y24" s="335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4"/>
      <c r="Q25" s="1263">
        <f>B25</f>
        <v>111</v>
      </c>
      <c r="R25" s="667" t="s">
        <v>14</v>
      </c>
      <c r="S25" s="668">
        <f>F25</f>
        <v>100</v>
      </c>
      <c r="T25" s="667" t="s">
        <v>14</v>
      </c>
      <c r="U25" s="668">
        <f>H25</f>
        <v>100</v>
      </c>
      <c r="V25" s="667" t="s">
        <v>14</v>
      </c>
      <c r="W25" s="668">
        <f>J25</f>
        <v>100</v>
      </c>
      <c r="X25" s="1265"/>
      <c r="Y25" s="335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4"/>
      <c r="Q26" s="1263">
        <f t="shared" ref="Q26:Q40" si="11">B26</f>
        <v>111</v>
      </c>
      <c r="R26" s="667" t="s">
        <v>14</v>
      </c>
      <c r="S26" s="668">
        <f>F26</f>
        <v>100</v>
      </c>
      <c r="T26" s="667" t="s">
        <v>14</v>
      </c>
      <c r="U26" s="668">
        <f>H26</f>
        <v>100</v>
      </c>
      <c r="V26" s="667" t="s">
        <v>14</v>
      </c>
      <c r="W26" s="668">
        <f>J26</f>
        <v>100</v>
      </c>
      <c r="X26" s="1265"/>
      <c r="Y26" s="335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4"/>
      <c r="Q27" s="530">
        <f t="shared" si="11"/>
        <v>111</v>
      </c>
      <c r="R27" s="664" t="s">
        <v>14</v>
      </c>
      <c r="S27" s="665">
        <f>F27</f>
        <v>100</v>
      </c>
      <c r="T27" s="664" t="s">
        <v>14</v>
      </c>
      <c r="U27" s="665">
        <f>H27</f>
        <v>100</v>
      </c>
      <c r="V27" s="664" t="s">
        <v>14</v>
      </c>
      <c r="W27" s="665">
        <f>J27</f>
        <v>100</v>
      </c>
      <c r="X27" s="666"/>
      <c r="Y27" s="335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4"/>
      <c r="Q28" s="1263">
        <f t="shared" si="11"/>
        <v>111</v>
      </c>
      <c r="R28" s="667" t="s">
        <v>14</v>
      </c>
      <c r="S28" s="668">
        <f t="shared" ref="S28:S40" si="12">F28</f>
        <v>100</v>
      </c>
      <c r="T28" s="667" t="s">
        <v>14</v>
      </c>
      <c r="U28" s="668">
        <f t="shared" ref="U28:U40" si="13">H28</f>
        <v>100</v>
      </c>
      <c r="V28" s="667" t="s">
        <v>14</v>
      </c>
      <c r="W28" s="668">
        <f t="shared" ref="W28:W40" si="14">J28</f>
        <v>100</v>
      </c>
      <c r="X28" s="1265"/>
      <c r="Y28" s="335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5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6"/>
      <c r="Q30" s="531" t="str">
        <f t="shared" si="11"/>
        <v>项目建筑规模</v>
      </c>
      <c r="R30" s="669" t="s">
        <v>14</v>
      </c>
      <c r="S30" s="670" t="e">
        <f t="shared" si="12"/>
        <v>#N/A</v>
      </c>
      <c r="T30" s="669" t="s">
        <v>14</v>
      </c>
      <c r="U30" s="670" t="e">
        <f t="shared" si="13"/>
        <v>#N/A</v>
      </c>
      <c r="V30" s="669" t="s">
        <v>14</v>
      </c>
      <c r="W30" s="670" t="e">
        <f t="shared" si="14"/>
        <v>#N/A</v>
      </c>
      <c r="X30" s="671"/>
      <c r="Y30" s="335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6"/>
      <c r="Q31" s="1263" t="str">
        <f t="shared" si="11"/>
        <v>建筑结构</v>
      </c>
      <c r="R31" s="667" t="s">
        <v>14</v>
      </c>
      <c r="S31" s="668">
        <f t="shared" si="12"/>
        <v>100</v>
      </c>
      <c r="T31" s="667" t="s">
        <v>14</v>
      </c>
      <c r="U31" s="668">
        <f t="shared" si="13"/>
        <v>100</v>
      </c>
      <c r="V31" s="667" t="s">
        <v>14</v>
      </c>
      <c r="W31" s="668">
        <f t="shared" si="14"/>
        <v>100</v>
      </c>
      <c r="X31" s="1265"/>
      <c r="Y31" s="335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6"/>
      <c r="Q32" s="1263" t="str">
        <f t="shared" si="11"/>
        <v>公共部分装修</v>
      </c>
      <c r="R32" s="667" t="s">
        <v>14</v>
      </c>
      <c r="S32" s="668">
        <f t="shared" si="12"/>
        <v>100</v>
      </c>
      <c r="T32" s="667" t="s">
        <v>14</v>
      </c>
      <c r="U32" s="668">
        <f t="shared" si="13"/>
        <v>100</v>
      </c>
      <c r="V32" s="667" t="s">
        <v>14</v>
      </c>
      <c r="W32" s="668">
        <f t="shared" si="14"/>
        <v>100</v>
      </c>
      <c r="X32" s="1265"/>
      <c r="Y32" s="335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6"/>
      <c r="Q33" s="1263" t="str">
        <f t="shared" si="11"/>
        <v>成新度</v>
      </c>
      <c r="R33" s="667" t="s">
        <v>14</v>
      </c>
      <c r="S33" s="668" t="e">
        <f t="shared" si="12"/>
        <v>#N/A</v>
      </c>
      <c r="T33" s="667" t="s">
        <v>14</v>
      </c>
      <c r="U33" s="668" t="e">
        <f t="shared" si="13"/>
        <v>#N/A</v>
      </c>
      <c r="V33" s="667" t="s">
        <v>14</v>
      </c>
      <c r="W33" s="668" t="e">
        <f t="shared" si="14"/>
        <v>#N/A</v>
      </c>
      <c r="X33" s="1265"/>
      <c r="Y33" s="335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6"/>
      <c r="Q34" s="530" t="str">
        <f t="shared" si="11"/>
        <v>物业管理</v>
      </c>
      <c r="R34" s="664" t="s">
        <v>14</v>
      </c>
      <c r="S34" s="665">
        <f t="shared" si="12"/>
        <v>100</v>
      </c>
      <c r="T34" s="664" t="s">
        <v>14</v>
      </c>
      <c r="U34" s="665">
        <f t="shared" si="13"/>
        <v>100</v>
      </c>
      <c r="V34" s="664" t="s">
        <v>14</v>
      </c>
      <c r="W34" s="665">
        <f t="shared" si="14"/>
        <v>100</v>
      </c>
      <c r="X34" s="666"/>
      <c r="Y34" s="335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6" t="s">
        <v>1696</v>
      </c>
      <c r="Q35" s="1263" t="str">
        <f t="shared" si="11"/>
        <v>市政基础设施</v>
      </c>
      <c r="R35" s="667" t="s">
        <v>14</v>
      </c>
      <c r="S35" s="668">
        <f t="shared" si="12"/>
        <v>100</v>
      </c>
      <c r="T35" s="667" t="s">
        <v>14</v>
      </c>
      <c r="U35" s="668">
        <f t="shared" si="13"/>
        <v>100</v>
      </c>
      <c r="V35" s="667" t="s">
        <v>14</v>
      </c>
      <c r="W35" s="668">
        <f t="shared" si="14"/>
        <v>100</v>
      </c>
      <c r="X35" s="1265"/>
      <c r="Y35" s="335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6"/>
      <c r="Q36" s="1263" t="str">
        <f t="shared" si="11"/>
        <v>内部装修</v>
      </c>
      <c r="R36" s="667" t="s">
        <v>14</v>
      </c>
      <c r="S36" s="668">
        <f t="shared" si="12"/>
        <v>100</v>
      </c>
      <c r="T36" s="667" t="s">
        <v>14</v>
      </c>
      <c r="U36" s="668">
        <f t="shared" si="13"/>
        <v>100</v>
      </c>
      <c r="V36" s="667" t="s">
        <v>14</v>
      </c>
      <c r="W36" s="668">
        <f t="shared" si="14"/>
        <v>100</v>
      </c>
      <c r="X36" s="1265"/>
      <c r="Y36" s="335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6"/>
      <c r="Q37" s="1263" t="str">
        <f t="shared" si="11"/>
        <v>内部装修状况</v>
      </c>
      <c r="R37" s="667" t="s">
        <v>14</v>
      </c>
      <c r="S37" s="668">
        <f t="shared" si="12"/>
        <v>100</v>
      </c>
      <c r="T37" s="667" t="s">
        <v>14</v>
      </c>
      <c r="U37" s="668">
        <f t="shared" si="13"/>
        <v>100</v>
      </c>
      <c r="V37" s="667" t="s">
        <v>14</v>
      </c>
      <c r="W37" s="668">
        <f t="shared" si="14"/>
        <v>100</v>
      </c>
      <c r="X37" s="1265"/>
      <c r="Y37" s="33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6"/>
      <c r="Q38" s="531">
        <f t="shared" si="11"/>
        <v>111</v>
      </c>
      <c r="R38" s="669" t="s">
        <v>14</v>
      </c>
      <c r="S38" s="670">
        <f t="shared" si="12"/>
        <v>100</v>
      </c>
      <c r="T38" s="669" t="s">
        <v>14</v>
      </c>
      <c r="U38" s="670">
        <f t="shared" si="13"/>
        <v>100</v>
      </c>
      <c r="V38" s="669" t="s">
        <v>14</v>
      </c>
      <c r="W38" s="670">
        <f t="shared" si="14"/>
        <v>100</v>
      </c>
      <c r="X38" s="671"/>
      <c r="Y38" s="33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6"/>
      <c r="Q39" s="1263">
        <f t="shared" si="11"/>
        <v>111</v>
      </c>
      <c r="R39" s="667" t="s">
        <v>14</v>
      </c>
      <c r="S39" s="668">
        <f t="shared" si="12"/>
        <v>100</v>
      </c>
      <c r="T39" s="667" t="s">
        <v>14</v>
      </c>
      <c r="U39" s="668">
        <f t="shared" si="13"/>
        <v>100</v>
      </c>
      <c r="V39" s="667" t="s">
        <v>14</v>
      </c>
      <c r="W39" s="668">
        <f t="shared" si="14"/>
        <v>100</v>
      </c>
      <c r="X39" s="1265"/>
      <c r="Y39" s="33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2" t="str">
        <f>A41</f>
        <v>成交单价（元/平方米）</v>
      </c>
      <c r="Q41" s="3352"/>
      <c r="R41" s="3357">
        <f>E41</f>
        <v>0</v>
      </c>
      <c r="S41" s="3357"/>
      <c r="T41" s="3357">
        <f>G41</f>
        <v>0</v>
      </c>
      <c r="U41" s="3357"/>
      <c r="V41" s="3357">
        <f>I41</f>
        <v>0</v>
      </c>
      <c r="W41" s="3357"/>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52" t="str">
        <f>A42</f>
        <v>比较价值（元/平方米）</v>
      </c>
      <c r="Q42" s="3352"/>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6" t="str">
        <f>A43</f>
        <v>估价对象XX用房的比较价值（楼面单价，元/平方米）</v>
      </c>
      <c r="Q43" s="3347"/>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0" t="s">
        <v>1680</v>
      </c>
      <c r="Q7" s="3382"/>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52"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89"/>
      <c r="M10" s="2490"/>
      <c r="N10" s="2490"/>
      <c r="O10" s="2490"/>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52"/>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3" t="s">
        <v>1691</v>
      </c>
      <c r="Q14" s="1263" t="str">
        <f t="shared" si="6"/>
        <v>交通便捷度</v>
      </c>
      <c r="R14" s="667" t="s">
        <v>14</v>
      </c>
      <c r="S14" s="668">
        <f t="shared" si="0"/>
        <v>100</v>
      </c>
      <c r="T14" s="667" t="s">
        <v>14</v>
      </c>
      <c r="U14" s="668">
        <f t="shared" si="1"/>
        <v>100</v>
      </c>
      <c r="V14" s="667" t="s">
        <v>14</v>
      </c>
      <c r="W14" s="668">
        <f t="shared" si="2"/>
        <v>100</v>
      </c>
      <c r="X14" s="1265"/>
      <c r="Y14" s="335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54"/>
      <c r="Q15" s="1263"/>
      <c r="R15" s="667"/>
      <c r="S15" s="668"/>
      <c r="T15" s="667"/>
      <c r="U15" s="668"/>
      <c r="V15" s="667"/>
      <c r="W15" s="668"/>
      <c r="X15" s="1265"/>
      <c r="Y15" s="3354"/>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4"/>
      <c r="Q16" s="1263" t="str">
        <f>B16</f>
        <v>公共配套设施</v>
      </c>
      <c r="R16" s="667" t="s">
        <v>14</v>
      </c>
      <c r="S16" s="668">
        <f>F16</f>
        <v>100</v>
      </c>
      <c r="T16" s="667" t="s">
        <v>14</v>
      </c>
      <c r="U16" s="668">
        <f>H16</f>
        <v>100</v>
      </c>
      <c r="V16" s="667" t="s">
        <v>14</v>
      </c>
      <c r="W16" s="668">
        <f>J16</f>
        <v>100</v>
      </c>
      <c r="X16" s="1265"/>
      <c r="Y16" s="335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54"/>
      <c r="Q17" s="1263"/>
      <c r="R17" s="667"/>
      <c r="S17" s="668"/>
      <c r="T17" s="667"/>
      <c r="U17" s="668"/>
      <c r="V17" s="667"/>
      <c r="W17" s="668"/>
      <c r="X17" s="1265"/>
      <c r="Y17" s="3354"/>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4"/>
      <c r="Q18" s="1263" t="str">
        <f>B18</f>
        <v>基础设施水平</v>
      </c>
      <c r="R18" s="667" t="s">
        <v>14</v>
      </c>
      <c r="S18" s="668">
        <f>F18</f>
        <v>100</v>
      </c>
      <c r="T18" s="667" t="s">
        <v>14</v>
      </c>
      <c r="U18" s="668">
        <f>H18</f>
        <v>100</v>
      </c>
      <c r="V18" s="667" t="s">
        <v>14</v>
      </c>
      <c r="W18" s="668">
        <f>J18</f>
        <v>100</v>
      </c>
      <c r="X18" s="1265"/>
      <c r="Y18" s="335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54"/>
      <c r="Q19" s="1263"/>
      <c r="R19" s="667"/>
      <c r="S19" s="668"/>
      <c r="T19" s="667"/>
      <c r="U19" s="668"/>
      <c r="V19" s="667"/>
      <c r="W19" s="668"/>
      <c r="X19" s="1265"/>
      <c r="Y19" s="3354"/>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4"/>
      <c r="Q20" s="1263" t="str">
        <f>B20</f>
        <v>自然及人文环境</v>
      </c>
      <c r="R20" s="667" t="s">
        <v>14</v>
      </c>
      <c r="S20" s="668">
        <f>F20</f>
        <v>100</v>
      </c>
      <c r="T20" s="667" t="s">
        <v>14</v>
      </c>
      <c r="U20" s="668">
        <f>H20</f>
        <v>100</v>
      </c>
      <c r="V20" s="667" t="s">
        <v>14</v>
      </c>
      <c r="W20" s="668">
        <f>J20</f>
        <v>100</v>
      </c>
      <c r="X20" s="1265"/>
      <c r="Y20" s="335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54"/>
      <c r="Q21" s="1263"/>
      <c r="R21" s="667"/>
      <c r="S21" s="668"/>
      <c r="T21" s="667"/>
      <c r="U21" s="668"/>
      <c r="V21" s="667"/>
      <c r="W21" s="668"/>
      <c r="X21" s="1265"/>
      <c r="Y21" s="335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4"/>
      <c r="Q22" s="1263" t="str">
        <f>B22</f>
        <v>楼层</v>
      </c>
      <c r="R22" s="667" t="s">
        <v>14</v>
      </c>
      <c r="S22" s="668">
        <f>F22</f>
        <v>100</v>
      </c>
      <c r="T22" s="667" t="s">
        <v>14</v>
      </c>
      <c r="U22" s="668">
        <f>H22</f>
        <v>100</v>
      </c>
      <c r="V22" s="667" t="s">
        <v>14</v>
      </c>
      <c r="W22" s="668">
        <f>J22</f>
        <v>100</v>
      </c>
      <c r="X22" s="1265"/>
      <c r="Y22" s="335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4"/>
      <c r="Q23" s="1263">
        <f>B23</f>
        <v>111</v>
      </c>
      <c r="R23" s="667" t="s">
        <v>14</v>
      </c>
      <c r="S23" s="668">
        <f>F23</f>
        <v>100</v>
      </c>
      <c r="T23" s="667" t="s">
        <v>14</v>
      </c>
      <c r="U23" s="668">
        <f>H23</f>
        <v>100</v>
      </c>
      <c r="V23" s="667" t="s">
        <v>14</v>
      </c>
      <c r="W23" s="668">
        <f>J23</f>
        <v>100</v>
      </c>
      <c r="X23" s="1265"/>
      <c r="Y23" s="335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4"/>
      <c r="Q24" s="1263">
        <f t="shared" ref="Q24:Q36" si="11">B24</f>
        <v>111</v>
      </c>
      <c r="R24" s="667" t="s">
        <v>14</v>
      </c>
      <c r="S24" s="668">
        <f>F24</f>
        <v>100</v>
      </c>
      <c r="T24" s="667" t="s">
        <v>14</v>
      </c>
      <c r="U24" s="668">
        <f>H24</f>
        <v>100</v>
      </c>
      <c r="V24" s="667" t="s">
        <v>14</v>
      </c>
      <c r="W24" s="668">
        <f>J24</f>
        <v>100</v>
      </c>
      <c r="X24" s="1265"/>
      <c r="Y24" s="335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4"/>
      <c r="Q25" s="530">
        <f t="shared" si="11"/>
        <v>111</v>
      </c>
      <c r="R25" s="664" t="s">
        <v>14</v>
      </c>
      <c r="S25" s="665">
        <f>F25</f>
        <v>100</v>
      </c>
      <c r="T25" s="664" t="s">
        <v>14</v>
      </c>
      <c r="U25" s="665">
        <f>H25</f>
        <v>100</v>
      </c>
      <c r="V25" s="664" t="s">
        <v>14</v>
      </c>
      <c r="W25" s="665">
        <f>J25</f>
        <v>100</v>
      </c>
      <c r="X25" s="666"/>
      <c r="Y25" s="335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6"/>
      <c r="Q27" s="531" t="str">
        <f t="shared" si="11"/>
        <v>项目停车位配比</v>
      </c>
      <c r="R27" s="669" t="s">
        <v>14</v>
      </c>
      <c r="S27" s="670">
        <f t="shared" si="12"/>
        <v>100</v>
      </c>
      <c r="T27" s="669" t="s">
        <v>14</v>
      </c>
      <c r="U27" s="670">
        <f t="shared" si="13"/>
        <v>100</v>
      </c>
      <c r="V27" s="669" t="s">
        <v>14</v>
      </c>
      <c r="W27" s="670">
        <f t="shared" si="14"/>
        <v>100</v>
      </c>
      <c r="X27" s="671"/>
      <c r="Y27" s="335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6"/>
      <c r="Q28" s="1263" t="str">
        <f t="shared" si="11"/>
        <v>公共部分装修</v>
      </c>
      <c r="R28" s="667" t="s">
        <v>14</v>
      </c>
      <c r="S28" s="668">
        <f t="shared" si="12"/>
        <v>100</v>
      </c>
      <c r="T28" s="667" t="s">
        <v>14</v>
      </c>
      <c r="U28" s="668">
        <f t="shared" si="13"/>
        <v>100</v>
      </c>
      <c r="V28" s="667" t="s">
        <v>14</v>
      </c>
      <c r="W28" s="668">
        <f t="shared" si="14"/>
        <v>100</v>
      </c>
      <c r="X28" s="1265"/>
      <c r="Y28" s="335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6"/>
      <c r="Q29" s="1263" t="str">
        <f t="shared" si="11"/>
        <v>成新率</v>
      </c>
      <c r="R29" s="667" t="s">
        <v>14</v>
      </c>
      <c r="S29" s="668" t="e">
        <f t="shared" si="12"/>
        <v>#N/A</v>
      </c>
      <c r="T29" s="667" t="s">
        <v>14</v>
      </c>
      <c r="U29" s="668" t="e">
        <f t="shared" si="13"/>
        <v>#N/A</v>
      </c>
      <c r="V29" s="667" t="s">
        <v>14</v>
      </c>
      <c r="W29" s="668" t="e">
        <f t="shared" si="14"/>
        <v>#N/A</v>
      </c>
      <c r="X29" s="1265"/>
      <c r="Y29" s="335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6"/>
      <c r="Q30" s="1263" t="str">
        <f t="shared" si="11"/>
        <v>物业等级</v>
      </c>
      <c r="R30" s="667" t="s">
        <v>14</v>
      </c>
      <c r="S30" s="668">
        <f t="shared" si="12"/>
        <v>100</v>
      </c>
      <c r="T30" s="667" t="s">
        <v>14</v>
      </c>
      <c r="U30" s="668">
        <f t="shared" si="13"/>
        <v>100</v>
      </c>
      <c r="V30" s="667" t="s">
        <v>14</v>
      </c>
      <c r="W30" s="668">
        <f t="shared" si="14"/>
        <v>100</v>
      </c>
      <c r="X30" s="1265"/>
      <c r="Y30" s="335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6"/>
      <c r="Q31" s="530" t="str">
        <f t="shared" si="11"/>
        <v>停车位面积</v>
      </c>
      <c r="R31" s="664" t="s">
        <v>14</v>
      </c>
      <c r="S31" s="665" t="e">
        <f t="shared" si="12"/>
        <v>#N/A</v>
      </c>
      <c r="T31" s="664" t="s">
        <v>14</v>
      </c>
      <c r="U31" s="665" t="e">
        <f t="shared" si="13"/>
        <v>#N/A</v>
      </c>
      <c r="V31" s="664" t="s">
        <v>14</v>
      </c>
      <c r="W31" s="665" t="e">
        <f t="shared" si="14"/>
        <v>#N/A</v>
      </c>
      <c r="X31" s="666"/>
      <c r="Y31" s="335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6" t="s">
        <v>1696</v>
      </c>
      <c r="Q32" s="1263" t="str">
        <f t="shared" si="11"/>
        <v>车位类型</v>
      </c>
      <c r="R32" s="667" t="s">
        <v>14</v>
      </c>
      <c r="S32" s="668">
        <f t="shared" si="12"/>
        <v>100</v>
      </c>
      <c r="T32" s="667" t="s">
        <v>14</v>
      </c>
      <c r="U32" s="668">
        <f t="shared" si="13"/>
        <v>100</v>
      </c>
      <c r="V32" s="667" t="s">
        <v>14</v>
      </c>
      <c r="W32" s="668">
        <f t="shared" si="14"/>
        <v>100</v>
      </c>
      <c r="X32" s="1265"/>
      <c r="Y32" s="335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6"/>
      <c r="Q33" s="1263" t="str">
        <f t="shared" si="11"/>
        <v>是否直接入户</v>
      </c>
      <c r="R33" s="667" t="s">
        <v>14</v>
      </c>
      <c r="S33" s="668">
        <f t="shared" si="12"/>
        <v>100</v>
      </c>
      <c r="T33" s="667" t="s">
        <v>14</v>
      </c>
      <c r="U33" s="668">
        <f t="shared" si="13"/>
        <v>100</v>
      </c>
      <c r="V33" s="667" t="s">
        <v>14</v>
      </c>
      <c r="W33" s="668">
        <f t="shared" si="14"/>
        <v>100</v>
      </c>
      <c r="X33" s="1265"/>
      <c r="Y33" s="33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6"/>
      <c r="Q35" s="531">
        <f t="shared" si="11"/>
        <v>111</v>
      </c>
      <c r="R35" s="669" t="s">
        <v>14</v>
      </c>
      <c r="S35" s="670">
        <f t="shared" si="12"/>
        <v>100</v>
      </c>
      <c r="T35" s="669" t="s">
        <v>14</v>
      </c>
      <c r="U35" s="670">
        <f t="shared" si="13"/>
        <v>100</v>
      </c>
      <c r="V35" s="669" t="s">
        <v>14</v>
      </c>
      <c r="W35" s="670">
        <f t="shared" si="14"/>
        <v>100</v>
      </c>
      <c r="X35" s="671"/>
      <c r="Y35" s="33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6"/>
      <c r="Q36" s="1263">
        <f t="shared" si="11"/>
        <v>111</v>
      </c>
      <c r="R36" s="667" t="s">
        <v>14</v>
      </c>
      <c r="S36" s="668">
        <f t="shared" si="12"/>
        <v>100</v>
      </c>
      <c r="T36" s="667" t="s">
        <v>14</v>
      </c>
      <c r="U36" s="668">
        <f t="shared" si="13"/>
        <v>100</v>
      </c>
      <c r="V36" s="667" t="s">
        <v>14</v>
      </c>
      <c r="W36" s="668">
        <f t="shared" si="14"/>
        <v>100</v>
      </c>
      <c r="X36" s="1265"/>
      <c r="Y36" s="335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352" t="str">
        <f>A37</f>
        <v>成交单价</v>
      </c>
      <c r="Q37" s="3352"/>
      <c r="R37" s="3357">
        <f>E37</f>
        <v>0</v>
      </c>
      <c r="S37" s="3357"/>
      <c r="T37" s="3357">
        <f>G37</f>
        <v>0</v>
      </c>
      <c r="U37" s="3357"/>
      <c r="V37" s="3357">
        <f>I37</f>
        <v>0</v>
      </c>
      <c r="W37" s="3357"/>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4"/>
      <c r="M38" s="2487"/>
      <c r="N38" s="2487"/>
      <c r="O38" s="2487"/>
      <c r="P38" s="3352" t="str">
        <f>A38</f>
        <v>比较价值（元/平方米）</v>
      </c>
      <c r="Q38" s="3352"/>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46" t="str">
        <f>A39</f>
        <v>估价对象XX用房的比较价值（楼面单价，元/平方米）</v>
      </c>
      <c r="Q39" s="3347"/>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0" t="s">
        <v>1680</v>
      </c>
      <c r="Q7" s="3382"/>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52"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89"/>
      <c r="M10" s="2490"/>
      <c r="N10" s="2490"/>
      <c r="O10" s="2541"/>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52"/>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3" t="s">
        <v>1691</v>
      </c>
      <c r="Q14" s="1263" t="str">
        <f t="shared" si="6"/>
        <v>交通便捷度</v>
      </c>
      <c r="R14" s="667" t="s">
        <v>14</v>
      </c>
      <c r="S14" s="668">
        <f t="shared" si="0"/>
        <v>100</v>
      </c>
      <c r="T14" s="667" t="s">
        <v>14</v>
      </c>
      <c r="U14" s="668">
        <f t="shared" si="1"/>
        <v>100</v>
      </c>
      <c r="V14" s="667" t="s">
        <v>14</v>
      </c>
      <c r="W14" s="668">
        <f t="shared" si="2"/>
        <v>100</v>
      </c>
      <c r="X14" s="1265"/>
      <c r="Y14" s="335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54"/>
      <c r="Q15" s="1263"/>
      <c r="R15" s="667"/>
      <c r="S15" s="668"/>
      <c r="T15" s="667"/>
      <c r="U15" s="668"/>
      <c r="V15" s="667"/>
      <c r="W15" s="668"/>
      <c r="X15" s="1265"/>
      <c r="Y15" s="3354"/>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4"/>
      <c r="Q16" s="1263" t="str">
        <f>B16</f>
        <v>公共配套设施</v>
      </c>
      <c r="R16" s="667" t="s">
        <v>14</v>
      </c>
      <c r="S16" s="668">
        <f>F16</f>
        <v>100</v>
      </c>
      <c r="T16" s="667" t="s">
        <v>14</v>
      </c>
      <c r="U16" s="668">
        <f>H16</f>
        <v>100</v>
      </c>
      <c r="V16" s="667" t="s">
        <v>14</v>
      </c>
      <c r="W16" s="668">
        <f>J16</f>
        <v>100</v>
      </c>
      <c r="X16" s="1265"/>
      <c r="Y16" s="335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54"/>
      <c r="Q17" s="1263"/>
      <c r="R17" s="667"/>
      <c r="S17" s="668"/>
      <c r="T17" s="667"/>
      <c r="U17" s="668"/>
      <c r="V17" s="667"/>
      <c r="W17" s="668"/>
      <c r="X17" s="1265"/>
      <c r="Y17" s="3354"/>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4"/>
      <c r="Q18" s="1263" t="str">
        <f>B18</f>
        <v>基础设施水平</v>
      </c>
      <c r="R18" s="667" t="s">
        <v>14</v>
      </c>
      <c r="S18" s="668">
        <f>F18</f>
        <v>100</v>
      </c>
      <c r="T18" s="667" t="s">
        <v>14</v>
      </c>
      <c r="U18" s="668">
        <f>H18</f>
        <v>100</v>
      </c>
      <c r="V18" s="667" t="s">
        <v>14</v>
      </c>
      <c r="W18" s="668">
        <f>J18</f>
        <v>100</v>
      </c>
      <c r="X18" s="1265"/>
      <c r="Y18" s="335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54"/>
      <c r="Q19" s="1263"/>
      <c r="R19" s="667"/>
      <c r="S19" s="668"/>
      <c r="T19" s="667"/>
      <c r="U19" s="668"/>
      <c r="V19" s="667"/>
      <c r="W19" s="668"/>
      <c r="X19" s="1265"/>
      <c r="Y19" s="3354"/>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4"/>
      <c r="Q20" s="1263" t="str">
        <f>B20</f>
        <v>自然及人文环境</v>
      </c>
      <c r="R20" s="667" t="s">
        <v>14</v>
      </c>
      <c r="S20" s="668">
        <f>F20</f>
        <v>100</v>
      </c>
      <c r="T20" s="667" t="s">
        <v>14</v>
      </c>
      <c r="U20" s="668">
        <f>H20</f>
        <v>100</v>
      </c>
      <c r="V20" s="667" t="s">
        <v>14</v>
      </c>
      <c r="W20" s="668">
        <f>J20</f>
        <v>100</v>
      </c>
      <c r="X20" s="1265"/>
      <c r="Y20" s="335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54"/>
      <c r="Q21" s="1263"/>
      <c r="R21" s="667"/>
      <c r="S21" s="668"/>
      <c r="T21" s="667"/>
      <c r="U21" s="668"/>
      <c r="V21" s="667"/>
      <c r="W21" s="668"/>
      <c r="X21" s="1265"/>
      <c r="Y21" s="335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4"/>
      <c r="Q22" s="1263" t="str">
        <f>B22</f>
        <v>楼层</v>
      </c>
      <c r="R22" s="667" t="s">
        <v>14</v>
      </c>
      <c r="S22" s="668">
        <f>F22</f>
        <v>100</v>
      </c>
      <c r="T22" s="667" t="s">
        <v>14</v>
      </c>
      <c r="U22" s="668">
        <f>H22</f>
        <v>100</v>
      </c>
      <c r="V22" s="667" t="s">
        <v>14</v>
      </c>
      <c r="W22" s="668">
        <f>J22</f>
        <v>100</v>
      </c>
      <c r="X22" s="1265"/>
      <c r="Y22" s="335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4"/>
      <c r="Q23" s="1263">
        <f>B23</f>
        <v>111</v>
      </c>
      <c r="R23" s="667" t="s">
        <v>14</v>
      </c>
      <c r="S23" s="668">
        <f>F23</f>
        <v>100</v>
      </c>
      <c r="T23" s="667" t="s">
        <v>14</v>
      </c>
      <c r="U23" s="668">
        <f>H23</f>
        <v>100</v>
      </c>
      <c r="V23" s="667" t="s">
        <v>14</v>
      </c>
      <c r="W23" s="668">
        <f>J23</f>
        <v>100</v>
      </c>
      <c r="X23" s="1265"/>
      <c r="Y23" s="335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4"/>
      <c r="Q24" s="1263">
        <f t="shared" ref="Q24:Q34" si="11">B24</f>
        <v>111</v>
      </c>
      <c r="R24" s="667" t="s">
        <v>14</v>
      </c>
      <c r="S24" s="668">
        <f>F24</f>
        <v>100</v>
      </c>
      <c r="T24" s="667" t="s">
        <v>14</v>
      </c>
      <c r="U24" s="668">
        <f>H24</f>
        <v>100</v>
      </c>
      <c r="V24" s="667" t="s">
        <v>14</v>
      </c>
      <c r="W24" s="668">
        <f>J24</f>
        <v>100</v>
      </c>
      <c r="X24" s="1265"/>
      <c r="Y24" s="335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54"/>
      <c r="Q25" s="530">
        <f t="shared" si="11"/>
        <v>111</v>
      </c>
      <c r="R25" s="664" t="s">
        <v>14</v>
      </c>
      <c r="S25" s="665">
        <f>F25</f>
        <v>100</v>
      </c>
      <c r="T25" s="664" t="s">
        <v>14</v>
      </c>
      <c r="U25" s="665">
        <f>H25</f>
        <v>100</v>
      </c>
      <c r="V25" s="664" t="s">
        <v>14</v>
      </c>
      <c r="W25" s="665">
        <f>J25</f>
        <v>100</v>
      </c>
      <c r="X25" s="666"/>
      <c r="Y25" s="335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6"/>
      <c r="Q27" s="531" t="str">
        <f t="shared" si="11"/>
        <v>成新率</v>
      </c>
      <c r="R27" s="669" t="s">
        <v>14</v>
      </c>
      <c r="S27" s="670" t="e">
        <f t="shared" si="12"/>
        <v>#N/A</v>
      </c>
      <c r="T27" s="669" t="s">
        <v>14</v>
      </c>
      <c r="U27" s="670" t="e">
        <f t="shared" si="13"/>
        <v>#N/A</v>
      </c>
      <c r="V27" s="669" t="s">
        <v>14</v>
      </c>
      <c r="W27" s="670" t="e">
        <f t="shared" si="14"/>
        <v>#N/A</v>
      </c>
      <c r="X27" s="671"/>
      <c r="Y27" s="335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6"/>
      <c r="Q28" s="1263" t="str">
        <f t="shared" si="11"/>
        <v>物业等级</v>
      </c>
      <c r="R28" s="667" t="s">
        <v>14</v>
      </c>
      <c r="S28" s="668">
        <f t="shared" si="12"/>
        <v>100</v>
      </c>
      <c r="T28" s="667" t="s">
        <v>14</v>
      </c>
      <c r="U28" s="668">
        <f t="shared" si="13"/>
        <v>100</v>
      </c>
      <c r="V28" s="667" t="s">
        <v>14</v>
      </c>
      <c r="W28" s="668">
        <f t="shared" si="14"/>
        <v>100</v>
      </c>
      <c r="X28" s="1265"/>
      <c r="Y28" s="335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6"/>
      <c r="Q29" s="1263" t="str">
        <f t="shared" si="11"/>
        <v>有无电梯</v>
      </c>
      <c r="R29" s="667" t="s">
        <v>14</v>
      </c>
      <c r="S29" s="668">
        <f t="shared" si="12"/>
        <v>100</v>
      </c>
      <c r="T29" s="667" t="s">
        <v>14</v>
      </c>
      <c r="U29" s="668">
        <f t="shared" si="13"/>
        <v>100</v>
      </c>
      <c r="V29" s="667" t="s">
        <v>14</v>
      </c>
      <c r="W29" s="668">
        <f t="shared" si="14"/>
        <v>100</v>
      </c>
      <c r="X29" s="1265"/>
      <c r="Y29" s="335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6"/>
      <c r="Q30" s="1263" t="str">
        <f t="shared" si="11"/>
        <v>建筑面积</v>
      </c>
      <c r="R30" s="667" t="s">
        <v>14</v>
      </c>
      <c r="S30" s="668" t="e">
        <f t="shared" si="12"/>
        <v>#N/A</v>
      </c>
      <c r="T30" s="667" t="s">
        <v>14</v>
      </c>
      <c r="U30" s="668" t="e">
        <f t="shared" si="13"/>
        <v>#N/A</v>
      </c>
      <c r="V30" s="667" t="s">
        <v>14</v>
      </c>
      <c r="W30" s="668" t="e">
        <f t="shared" si="14"/>
        <v>#N/A</v>
      </c>
      <c r="X30" s="1265"/>
      <c r="Y30" s="335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6"/>
      <c r="Q31" s="530" t="str">
        <f t="shared" si="11"/>
        <v>是否封闭</v>
      </c>
      <c r="R31" s="664" t="s">
        <v>14</v>
      </c>
      <c r="S31" s="665">
        <f t="shared" si="12"/>
        <v>100</v>
      </c>
      <c r="T31" s="664" t="s">
        <v>14</v>
      </c>
      <c r="U31" s="665">
        <f t="shared" si="13"/>
        <v>100</v>
      </c>
      <c r="V31" s="664" t="s">
        <v>14</v>
      </c>
      <c r="W31" s="665">
        <f t="shared" si="14"/>
        <v>100</v>
      </c>
      <c r="X31" s="666"/>
      <c r="Y31" s="33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6" t="s">
        <v>1696</v>
      </c>
      <c r="Q32" s="1263">
        <f t="shared" si="11"/>
        <v>111</v>
      </c>
      <c r="R32" s="667" t="s">
        <v>14</v>
      </c>
      <c r="S32" s="668">
        <f t="shared" si="12"/>
        <v>100</v>
      </c>
      <c r="T32" s="667" t="s">
        <v>14</v>
      </c>
      <c r="U32" s="668">
        <f t="shared" si="13"/>
        <v>100</v>
      </c>
      <c r="V32" s="667" t="s">
        <v>14</v>
      </c>
      <c r="W32" s="668">
        <f t="shared" si="14"/>
        <v>100</v>
      </c>
      <c r="X32" s="1265"/>
      <c r="Y32" s="335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6"/>
      <c r="Q33" s="1263">
        <f t="shared" si="11"/>
        <v>111</v>
      </c>
      <c r="R33" s="667" t="s">
        <v>14</v>
      </c>
      <c r="S33" s="668">
        <f t="shared" si="12"/>
        <v>100</v>
      </c>
      <c r="T33" s="667" t="s">
        <v>14</v>
      </c>
      <c r="U33" s="668">
        <f t="shared" si="13"/>
        <v>100</v>
      </c>
      <c r="V33" s="667" t="s">
        <v>14</v>
      </c>
      <c r="W33" s="668">
        <f t="shared" si="14"/>
        <v>100</v>
      </c>
      <c r="X33" s="1265"/>
      <c r="Y33" s="33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52" t="str">
        <f>A35</f>
        <v>成交单价（元/平方米）</v>
      </c>
      <c r="Q35" s="3352"/>
      <c r="R35" s="3357">
        <f>E35</f>
        <v>0</v>
      </c>
      <c r="S35" s="3357"/>
      <c r="T35" s="3357">
        <f>G35</f>
        <v>0</v>
      </c>
      <c r="U35" s="3357"/>
      <c r="V35" s="3357">
        <f>I35</f>
        <v>0</v>
      </c>
      <c r="W35" s="3357"/>
      <c r="X35" s="385"/>
      <c r="Y35" s="673"/>
      <c r="Z35" s="385"/>
      <c r="AA35" s="385"/>
      <c r="AB35" s="385"/>
      <c r="AC35" s="385"/>
    </row>
    <row r="36" spans="1:30" ht="15.75" thickBot="1">
      <c r="A36" s="423" t="s">
        <v>1793</v>
      </c>
      <c r="B36" s="424"/>
      <c r="C36" s="1082" t="e">
        <f>R37</f>
        <v>#DIV/0!</v>
      </c>
      <c r="D36" s="2141" t="s">
        <v>2136</v>
      </c>
      <c r="E36" s="1083" t="e">
        <f>R36</f>
        <v>#DIV/0!</v>
      </c>
      <c r="F36" s="2142"/>
      <c r="G36" s="1082" t="e">
        <f>T36</f>
        <v>#DIV/0!</v>
      </c>
      <c r="H36" s="2142"/>
      <c r="I36" s="1083" t="e">
        <f>V36</f>
        <v>#DIV/0!</v>
      </c>
      <c r="J36" s="2142"/>
      <c r="K36" s="2144">
        <f>F36+H36+J36</f>
        <v>0</v>
      </c>
      <c r="L36" s="2494"/>
      <c r="M36" s="2487"/>
      <c r="N36" s="2487"/>
      <c r="O36" s="2487"/>
      <c r="P36" s="3352" t="str">
        <f>A36</f>
        <v>比较价值（元/平方米）</v>
      </c>
      <c r="Q36" s="3352"/>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46" t="str">
        <f>A37</f>
        <v>估价对象XX用房的比较价值（楼面单价，元/平方米）</v>
      </c>
      <c r="Q37" s="3347"/>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1916</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455" t="s">
        <v>1917</v>
      </c>
      <c r="D6" s="3456"/>
      <c r="E6" s="3457" t="s">
        <v>1917</v>
      </c>
      <c r="F6" s="3458"/>
      <c r="G6" s="3455" t="s">
        <v>1917</v>
      </c>
      <c r="H6" s="3456"/>
      <c r="I6" s="3455" t="s">
        <v>1917</v>
      </c>
      <c r="J6" s="3456"/>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52"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52"/>
      <c r="Q10" s="530" t="str">
        <f t="shared" si="6"/>
        <v>土地使用年限（年）</v>
      </c>
      <c r="R10" s="664" t="s">
        <v>14</v>
      </c>
      <c r="S10" s="665">
        <f t="shared" si="0"/>
        <v>114</v>
      </c>
      <c r="T10" s="664" t="s">
        <v>14</v>
      </c>
      <c r="U10" s="665">
        <f t="shared" si="1"/>
        <v>114</v>
      </c>
      <c r="V10" s="664" t="s">
        <v>14</v>
      </c>
      <c r="W10" s="665">
        <f t="shared" si="2"/>
        <v>114</v>
      </c>
      <c r="X10" s="666"/>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52"/>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3" t="s">
        <v>1691</v>
      </c>
      <c r="Q15" s="1263" t="str">
        <f t="shared" si="6"/>
        <v>产业集聚程度</v>
      </c>
      <c r="R15" s="667" t="s">
        <v>14</v>
      </c>
      <c r="S15" s="668">
        <f t="shared" si="0"/>
        <v>100</v>
      </c>
      <c r="T15" s="667" t="s">
        <v>14</v>
      </c>
      <c r="U15" s="668">
        <f t="shared" si="1"/>
        <v>100</v>
      </c>
      <c r="V15" s="667" t="s">
        <v>14</v>
      </c>
      <c r="W15" s="668">
        <f t="shared" si="2"/>
        <v>100</v>
      </c>
      <c r="X15" s="1265"/>
      <c r="Y15" s="335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54"/>
      <c r="Q16" s="1263"/>
      <c r="R16" s="667"/>
      <c r="S16" s="668"/>
      <c r="T16" s="667"/>
      <c r="U16" s="668"/>
      <c r="V16" s="667"/>
      <c r="W16" s="668"/>
      <c r="X16" s="1265"/>
      <c r="Y16" s="335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4"/>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54"/>
      <c r="Q18" s="1263"/>
      <c r="R18" s="667"/>
      <c r="S18" s="668"/>
      <c r="T18" s="667"/>
      <c r="U18" s="668"/>
      <c r="V18" s="667"/>
      <c r="W18" s="668"/>
      <c r="X18" s="1265"/>
      <c r="Y18" s="3354"/>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4"/>
      <c r="Q19" s="1263" t="str">
        <f t="shared" ref="Q19:Q33" si="8">B19</f>
        <v>区域土地利用方向</v>
      </c>
      <c r="R19" s="667" t="s">
        <v>14</v>
      </c>
      <c r="S19" s="668">
        <f>F19</f>
        <v>100</v>
      </c>
      <c r="T19" s="667" t="s">
        <v>14</v>
      </c>
      <c r="U19" s="668">
        <f>H19</f>
        <v>100</v>
      </c>
      <c r="V19" s="667" t="s">
        <v>14</v>
      </c>
      <c r="W19" s="668">
        <f>J19</f>
        <v>100</v>
      </c>
      <c r="X19" s="1265"/>
      <c r="Y19" s="335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54"/>
      <c r="Q20" s="1263"/>
      <c r="R20" s="667"/>
      <c r="S20" s="668"/>
      <c r="T20" s="667"/>
      <c r="U20" s="668"/>
      <c r="V20" s="667"/>
      <c r="W20" s="668"/>
      <c r="X20" s="1265"/>
      <c r="Y20" s="3354"/>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4"/>
      <c r="Q21" s="1263" t="str">
        <f t="shared" si="8"/>
        <v>环境状况</v>
      </c>
      <c r="R21" s="667" t="s">
        <v>14</v>
      </c>
      <c r="S21" s="668">
        <f>F21</f>
        <v>100</v>
      </c>
      <c r="T21" s="667" t="s">
        <v>14</v>
      </c>
      <c r="U21" s="668">
        <f>H21</f>
        <v>100</v>
      </c>
      <c r="V21" s="667" t="s">
        <v>14</v>
      </c>
      <c r="W21" s="668">
        <f>J21</f>
        <v>100</v>
      </c>
      <c r="X21" s="1265"/>
      <c r="Y21" s="335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54"/>
      <c r="Q22" s="1263"/>
      <c r="R22" s="667"/>
      <c r="S22" s="668"/>
      <c r="T22" s="667"/>
      <c r="U22" s="668"/>
      <c r="V22" s="667"/>
      <c r="W22" s="668"/>
      <c r="X22" s="1265"/>
      <c r="Y22" s="335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4"/>
      <c r="Q23" s="530" t="str">
        <f t="shared" si="8"/>
        <v>公共配套设施</v>
      </c>
      <c r="R23" s="664" t="s">
        <v>14</v>
      </c>
      <c r="S23" s="665">
        <f>F23</f>
        <v>100</v>
      </c>
      <c r="T23" s="664" t="s">
        <v>14</v>
      </c>
      <c r="U23" s="665">
        <f>H23</f>
        <v>100</v>
      </c>
      <c r="V23" s="664" t="s">
        <v>14</v>
      </c>
      <c r="W23" s="665">
        <f>J23</f>
        <v>100</v>
      </c>
      <c r="X23" s="666"/>
      <c r="Y23" s="335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54"/>
      <c r="Q24" s="530"/>
      <c r="R24" s="664"/>
      <c r="S24" s="665"/>
      <c r="T24" s="664"/>
      <c r="U24" s="665"/>
      <c r="V24" s="664"/>
      <c r="W24" s="665"/>
      <c r="X24" s="666"/>
      <c r="Y24" s="335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4"/>
      <c r="Q25" s="530" t="str">
        <f t="shared" ref="Q25" si="9">B25</f>
        <v>基础设施水平</v>
      </c>
      <c r="R25" s="664" t="s">
        <v>14</v>
      </c>
      <c r="S25" s="665">
        <f>F25</f>
        <v>100</v>
      </c>
      <c r="T25" s="664" t="s">
        <v>14</v>
      </c>
      <c r="U25" s="665">
        <f>H25</f>
        <v>100</v>
      </c>
      <c r="V25" s="664" t="s">
        <v>14</v>
      </c>
      <c r="W25" s="665">
        <f>J25</f>
        <v>100</v>
      </c>
      <c r="X25" s="666"/>
      <c r="Y25" s="335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54"/>
      <c r="Q26" s="530"/>
      <c r="R26" s="664"/>
      <c r="S26" s="665"/>
      <c r="T26" s="664"/>
      <c r="U26" s="665"/>
      <c r="V26" s="664"/>
      <c r="W26" s="665"/>
      <c r="X26" s="666"/>
      <c r="Y26" s="33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4"/>
      <c r="Q28" s="1263" t="str">
        <f t="shared" si="8"/>
        <v>毗邻道路的类型与等级</v>
      </c>
      <c r="R28" s="667" t="s">
        <v>14</v>
      </c>
      <c r="S28" s="668">
        <f t="shared" si="10"/>
        <v>100</v>
      </c>
      <c r="T28" s="667" t="s">
        <v>14</v>
      </c>
      <c r="U28" s="668">
        <f t="shared" si="11"/>
        <v>100</v>
      </c>
      <c r="V28" s="667" t="s">
        <v>14</v>
      </c>
      <c r="W28" s="668">
        <f t="shared" si="12"/>
        <v>100</v>
      </c>
      <c r="X28" s="1265"/>
      <c r="Y28" s="335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54"/>
      <c r="Q29" s="1263"/>
      <c r="R29" s="667"/>
      <c r="S29" s="668"/>
      <c r="T29" s="667"/>
      <c r="U29" s="668"/>
      <c r="V29" s="667"/>
      <c r="W29" s="668"/>
      <c r="X29" s="1265"/>
      <c r="Y29" s="3354"/>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4"/>
      <c r="Q30" s="1263" t="str">
        <f t="shared" si="8"/>
        <v>土地级别</v>
      </c>
      <c r="R30" s="667" t="s">
        <v>14</v>
      </c>
      <c r="S30" s="668">
        <f t="shared" si="10"/>
        <v>100</v>
      </c>
      <c r="T30" s="667" t="s">
        <v>14</v>
      </c>
      <c r="U30" s="668">
        <f t="shared" si="11"/>
        <v>100</v>
      </c>
      <c r="V30" s="667" t="s">
        <v>14</v>
      </c>
      <c r="W30" s="668">
        <f t="shared" si="12"/>
        <v>100</v>
      </c>
      <c r="X30" s="1265"/>
      <c r="Y30" s="335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4"/>
      <c r="Q31" s="1263">
        <f t="shared" si="8"/>
        <v>111</v>
      </c>
      <c r="R31" s="667" t="s">
        <v>14</v>
      </c>
      <c r="S31" s="668">
        <f t="shared" si="10"/>
        <v>100</v>
      </c>
      <c r="T31" s="667" t="s">
        <v>14</v>
      </c>
      <c r="U31" s="668">
        <f t="shared" si="11"/>
        <v>100</v>
      </c>
      <c r="V31" s="667" t="s">
        <v>14</v>
      </c>
      <c r="W31" s="668">
        <f t="shared" si="12"/>
        <v>100</v>
      </c>
      <c r="X31" s="1265"/>
      <c r="Y31" s="335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5" t="s">
        <v>1696</v>
      </c>
      <c r="Q32" s="1263">
        <f t="shared" si="8"/>
        <v>111</v>
      </c>
      <c r="R32" s="667" t="s">
        <v>14</v>
      </c>
      <c r="S32" s="668">
        <f t="shared" si="10"/>
        <v>100</v>
      </c>
      <c r="T32" s="667" t="s">
        <v>14</v>
      </c>
      <c r="U32" s="668">
        <f t="shared" si="11"/>
        <v>100</v>
      </c>
      <c r="V32" s="667" t="s">
        <v>14</v>
      </c>
      <c r="W32" s="668">
        <f t="shared" si="12"/>
        <v>100</v>
      </c>
      <c r="X32" s="1265"/>
      <c r="Y32" s="335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6"/>
      <c r="Q33" s="1263">
        <f t="shared" si="8"/>
        <v>111</v>
      </c>
      <c r="R33" s="669" t="s">
        <v>14</v>
      </c>
      <c r="S33" s="670">
        <f t="shared" si="10"/>
        <v>100</v>
      </c>
      <c r="T33" s="669" t="s">
        <v>14</v>
      </c>
      <c r="U33" s="670">
        <f t="shared" si="11"/>
        <v>100</v>
      </c>
      <c r="V33" s="669" t="s">
        <v>14</v>
      </c>
      <c r="W33" s="670">
        <f t="shared" si="12"/>
        <v>100</v>
      </c>
      <c r="X33" s="671"/>
      <c r="Y33" s="3356"/>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6"/>
      <c r="Q34" s="1263" t="str">
        <f>B34</f>
        <v>宗地面积</v>
      </c>
      <c r="R34" s="667" t="s">
        <v>14</v>
      </c>
      <c r="S34" s="668" t="e">
        <f t="shared" si="10"/>
        <v>#N/A</v>
      </c>
      <c r="T34" s="667" t="s">
        <v>14</v>
      </c>
      <c r="U34" s="668" t="e">
        <f t="shared" si="11"/>
        <v>#N/A</v>
      </c>
      <c r="V34" s="667" t="s">
        <v>14</v>
      </c>
      <c r="W34" s="668" t="e">
        <f t="shared" si="12"/>
        <v>#N/A</v>
      </c>
      <c r="X34" s="1265"/>
      <c r="Y34" s="3356"/>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56"/>
      <c r="Q35" s="1263" t="str">
        <f t="shared" ref="Q35:Q40" si="14">B35</f>
        <v>宗地形状</v>
      </c>
      <c r="R35" s="667" t="s">
        <v>14</v>
      </c>
      <c r="S35" s="668">
        <f t="shared" si="10"/>
        <v>100</v>
      </c>
      <c r="T35" s="667" t="s">
        <v>14</v>
      </c>
      <c r="U35" s="668">
        <f t="shared" si="11"/>
        <v>100</v>
      </c>
      <c r="V35" s="667" t="s">
        <v>14</v>
      </c>
      <c r="W35" s="668">
        <f t="shared" si="12"/>
        <v>100</v>
      </c>
      <c r="X35" s="1265"/>
      <c r="Y35" s="3356"/>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56"/>
      <c r="Q36" s="1263" t="str">
        <f t="shared" si="14"/>
        <v>宗地开发程度</v>
      </c>
      <c r="R36" s="664" t="s">
        <v>14</v>
      </c>
      <c r="S36" s="665">
        <f t="shared" si="10"/>
        <v>100</v>
      </c>
      <c r="T36" s="664" t="s">
        <v>14</v>
      </c>
      <c r="U36" s="665">
        <f t="shared" si="11"/>
        <v>100</v>
      </c>
      <c r="V36" s="664" t="s">
        <v>14</v>
      </c>
      <c r="W36" s="665">
        <f t="shared" si="12"/>
        <v>100</v>
      </c>
      <c r="X36" s="666"/>
      <c r="Y36" s="3356"/>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56" t="s">
        <v>1696</v>
      </c>
      <c r="Q37" s="1263" t="str">
        <f t="shared" si="14"/>
        <v>工程地质条件</v>
      </c>
      <c r="R37" s="667" t="s">
        <v>14</v>
      </c>
      <c r="S37" s="668">
        <f t="shared" si="10"/>
        <v>100</v>
      </c>
      <c r="T37" s="667" t="s">
        <v>14</v>
      </c>
      <c r="U37" s="668">
        <f t="shared" si="11"/>
        <v>100</v>
      </c>
      <c r="V37" s="667" t="s">
        <v>14</v>
      </c>
      <c r="W37" s="668">
        <f t="shared" si="12"/>
        <v>100</v>
      </c>
      <c r="X37" s="1265"/>
      <c r="Y37" s="335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6"/>
      <c r="Q38" s="1263">
        <f t="shared" si="14"/>
        <v>111</v>
      </c>
      <c r="R38" s="667" t="s">
        <v>14</v>
      </c>
      <c r="S38" s="668">
        <f t="shared" si="10"/>
        <v>100</v>
      </c>
      <c r="T38" s="667" t="s">
        <v>14</v>
      </c>
      <c r="U38" s="668">
        <f t="shared" si="11"/>
        <v>100</v>
      </c>
      <c r="V38" s="667" t="s">
        <v>14</v>
      </c>
      <c r="W38" s="668">
        <f t="shared" si="12"/>
        <v>100</v>
      </c>
      <c r="X38" s="1265"/>
      <c r="Y38" s="33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6"/>
      <c r="Q39" s="1263">
        <f t="shared" si="14"/>
        <v>111</v>
      </c>
      <c r="R39" s="667" t="s">
        <v>14</v>
      </c>
      <c r="S39" s="668">
        <f t="shared" si="10"/>
        <v>100</v>
      </c>
      <c r="T39" s="667" t="s">
        <v>14</v>
      </c>
      <c r="U39" s="668">
        <f t="shared" si="11"/>
        <v>100</v>
      </c>
      <c r="V39" s="667" t="s">
        <v>14</v>
      </c>
      <c r="W39" s="668">
        <f t="shared" si="12"/>
        <v>100</v>
      </c>
      <c r="X39" s="1265"/>
      <c r="Y39" s="33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6"/>
      <c r="Q40" s="1263">
        <f t="shared" si="14"/>
        <v>111</v>
      </c>
      <c r="R40" s="669" t="s">
        <v>14</v>
      </c>
      <c r="S40" s="670">
        <f t="shared" si="10"/>
        <v>100</v>
      </c>
      <c r="T40" s="669" t="s">
        <v>14</v>
      </c>
      <c r="U40" s="670">
        <f t="shared" si="11"/>
        <v>100</v>
      </c>
      <c r="V40" s="669" t="s">
        <v>14</v>
      </c>
      <c r="W40" s="670">
        <f t="shared" si="12"/>
        <v>100</v>
      </c>
      <c r="X40" s="671"/>
      <c r="Y40" s="3356"/>
      <c r="Z40" s="672">
        <f t="shared" si="13"/>
        <v>111</v>
      </c>
      <c r="AA40" s="1264">
        <f t="shared" si="3"/>
        <v>1</v>
      </c>
      <c r="AB40" s="1264">
        <f t="shared" si="4"/>
        <v>1</v>
      </c>
      <c r="AC40" s="1264">
        <f t="shared" si="5"/>
        <v>1</v>
      </c>
    </row>
    <row r="41" spans="1:31" ht="15">
      <c r="A41" s="416" t="s">
        <v>1844</v>
      </c>
      <c r="B41" s="1830" t="s">
        <v>1920</v>
      </c>
      <c r="C41" s="602" t="s">
        <v>0</v>
      </c>
      <c r="D41" s="418"/>
      <c r="E41" s="419"/>
      <c r="F41" s="420"/>
      <c r="G41" s="421"/>
      <c r="H41" s="422"/>
      <c r="I41" s="419"/>
      <c r="J41" s="422"/>
      <c r="K41" s="674"/>
      <c r="L41" s="2494"/>
      <c r="M41" s="2487"/>
      <c r="N41" s="2487"/>
      <c r="O41" s="2487"/>
      <c r="P41" s="3352" t="str">
        <f>A41</f>
        <v>成交单价</v>
      </c>
      <c r="Q41" s="3352"/>
      <c r="R41" s="3357">
        <f>E41</f>
        <v>0</v>
      </c>
      <c r="S41" s="3357"/>
      <c r="T41" s="3357">
        <f>G41</f>
        <v>0</v>
      </c>
      <c r="U41" s="3357"/>
      <c r="V41" s="3357">
        <f>I41</f>
        <v>0</v>
      </c>
      <c r="W41" s="3357"/>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4"/>
      <c r="M42" s="2487"/>
      <c r="N42" s="2487"/>
      <c r="O42" s="2487"/>
      <c r="P42" s="3352" t="str">
        <f>A42</f>
        <v>比较价值（元/平方米）</v>
      </c>
      <c r="Q42" s="3352"/>
      <c r="R42" s="3345" t="e">
        <f>ROUND(PRODUCT(R41,AA7:AA40),0)</f>
        <v>#DIV/0!</v>
      </c>
      <c r="S42" s="3345"/>
      <c r="T42" s="3345" t="e">
        <f>ROUND(PRODUCT(T41,AB7:AB40),0)</f>
        <v>#DIV/0!</v>
      </c>
      <c r="U42" s="3345"/>
      <c r="V42" s="3345" t="e">
        <f>ROUND(PRODUCT(V41,AC7:AC40),0)</f>
        <v>#DIV/0!</v>
      </c>
      <c r="W42" s="33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46" t="str">
        <f>A43</f>
        <v>估价对象XX用房的比较价值（楼面单价，元/平方米）</v>
      </c>
      <c r="Q43" s="3347"/>
      <c r="R43" s="3348" t="e">
        <f>ROUND(IF(D42="简单平均",AVERAGE(R42:W42),R42*F42+T42*H42+V42*J42),0)</f>
        <v>#DIV/0!</v>
      </c>
      <c r="S43" s="3348"/>
      <c r="T43" s="3348"/>
      <c r="U43" s="3348"/>
      <c r="V43" s="3348"/>
      <c r="W43" s="33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1" t="s">
        <v>1882</v>
      </c>
      <c r="D50" s="1832" t="s">
        <v>1883</v>
      </c>
      <c r="E50" s="606" t="s">
        <v>1884</v>
      </c>
      <c r="F50" s="607" t="s">
        <v>1885</v>
      </c>
      <c r="G50" s="3349" t="s">
        <v>1886</v>
      </c>
      <c r="H50" s="3350"/>
      <c r="I50" s="1264" t="s">
        <v>1921</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32206.960000000006</v>
      </c>
      <c r="F51" s="611" t="e">
        <f t="shared" ref="F51:F60" si="15">ROUND(B51*E51/10000,0)</f>
        <v>#DIV/0!</v>
      </c>
      <c r="G51" s="3351"/>
      <c r="H51" s="335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0.25</v>
      </c>
      <c r="D56" s="891">
        <v>0.25</v>
      </c>
      <c r="E56" s="209">
        <f>'数据-汇总表'!E11</f>
        <v>0</v>
      </c>
      <c r="F56" s="611" t="e">
        <f t="shared" si="15"/>
        <v>#DIV/0!</v>
      </c>
      <c r="G56" s="1835" t="s">
        <v>1895</v>
      </c>
      <c r="H56" s="834" t="str">
        <f>项目基本情况!C37</f>
        <v>六级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0.25</v>
      </c>
      <c r="D57" s="891">
        <v>0.25</v>
      </c>
      <c r="E57" s="209">
        <f>'数据-汇总表'!E12</f>
        <v>0</v>
      </c>
      <c r="F57" s="611" t="e">
        <f t="shared" si="15"/>
        <v>#DIV/0!</v>
      </c>
      <c r="G57" s="839" t="s">
        <v>1897</v>
      </c>
      <c r="H57" s="834" t="str">
        <f>IF(G57="商业",项目基本情况!B37,IF(G57="办公",项目基本情况!C37,IF(G57="住宅",项目基本情况!D37,项目基本情况!E37)))</f>
        <v>六级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0.15</v>
      </c>
      <c r="D58" s="891">
        <v>0.25</v>
      </c>
      <c r="E58" s="209">
        <f>'数据-汇总表'!E13</f>
        <v>7219.03</v>
      </c>
      <c r="F58" s="611" t="e">
        <f t="shared" si="15"/>
        <v>#DIV/0!</v>
      </c>
      <c r="G58" s="839" t="s">
        <v>1899</v>
      </c>
      <c r="H58" s="834" t="str">
        <f>IF(G58="商业",项目基本情况!B37,IF(G58="办公",项目基本情况!C37,IF(G58="住宅",项目基本情况!D37,项目基本情况!E37)))</f>
        <v>六级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0.15</v>
      </c>
      <c r="D60" s="891">
        <v>0.25</v>
      </c>
      <c r="E60" s="209">
        <f>'数据-汇总表'!E15</f>
        <v>0</v>
      </c>
      <c r="F60" s="611" t="e">
        <f t="shared" si="15"/>
        <v>#DIV/0!</v>
      </c>
      <c r="G60" s="1836" t="s">
        <v>1895</v>
      </c>
      <c r="H60" s="844" t="str">
        <f>项目基本情况!C37</f>
        <v>六级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6294.36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1903</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1922</v>
      </c>
      <c r="B66" s="280" t="str">
        <f>"北京市平均增长率"&amp;TEXT(基准地价修正!P28,"0.00%")</f>
        <v>北京市平均增长率1.10%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1905</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1906</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1923</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62" t="s">
        <v>2082</v>
      </c>
      <c r="D1" s="3463"/>
      <c r="E1" s="3463"/>
      <c r="F1" s="3463"/>
      <c r="G1" s="3463"/>
      <c r="H1" s="3463"/>
      <c r="I1" s="3463"/>
      <c r="J1" s="3463"/>
      <c r="K1" s="3463"/>
      <c r="L1" s="3463"/>
      <c r="M1" s="3463"/>
      <c r="N1" s="3463"/>
      <c r="O1" s="3463"/>
      <c r="P1" s="3463"/>
      <c r="Q1" s="3463"/>
      <c r="R1" s="3463"/>
      <c r="S1" s="346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4"/>
      <c r="G1" s="2544"/>
      <c r="H1" s="2544"/>
      <c r="I1" s="2544"/>
      <c r="J1" s="2544"/>
      <c r="K1" s="2544"/>
      <c r="L1" s="2544"/>
      <c r="M1" s="2544"/>
      <c r="N1" s="2544"/>
      <c r="O1" s="2544"/>
      <c r="P1" s="2544"/>
    </row>
    <row r="2" spans="1:16" ht="15.75">
      <c r="A2" s="1984" t="s">
        <v>2071</v>
      </c>
      <c r="B2" s="2387" t="e">
        <f ca="1">SUMIF(B6:B13,"&lt;&gt;#ref!",B6:B13)</f>
        <v>#DIV/0!</v>
      </c>
      <c r="C2" s="1984" t="s">
        <v>2072</v>
      </c>
      <c r="D2" s="1984" t="s">
        <v>2073</v>
      </c>
      <c r="E2" s="2397">
        <f ca="1">SUMIF(E6:E13,"&lt;&gt;#ref!",E6:E13)</f>
        <v>0</v>
      </c>
      <c r="F2" s="2544"/>
      <c r="G2" s="2544"/>
      <c r="H2" s="2544"/>
      <c r="I2" s="2544"/>
      <c r="J2" s="2544"/>
      <c r="K2" s="2544"/>
      <c r="L2" s="2544"/>
      <c r="M2" s="2544"/>
      <c r="N2" s="2544"/>
      <c r="O2" s="2544"/>
      <c r="P2" s="2544"/>
    </row>
    <row r="3" spans="1:16" ht="15.75">
      <c r="A3" s="1984" t="s">
        <v>2074</v>
      </c>
      <c r="B3" s="2387" t="e">
        <f ca="1">ROUND(B2*10000/E2,0)</f>
        <v>#DIV/0!</v>
      </c>
      <c r="C3" s="1984"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5"/>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4"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68824</v>
      </c>
    </row>
    <row r="6" spans="1:5" ht="15.75">
      <c r="B6" s="3162"/>
      <c r="C6" s="1392" t="s">
        <v>911</v>
      </c>
      <c r="D6" s="797" t="str">
        <f ca="1">NUMBERSTRING(INT(D5*10000),2)&amp;"元整"</f>
        <v>陆亿捌仟捌佰贰拾肆万元整</v>
      </c>
    </row>
    <row r="7" spans="1:5" ht="15.75">
      <c r="B7" s="3167"/>
      <c r="C7" s="1393" t="s">
        <v>912</v>
      </c>
      <c r="D7" s="798">
        <f ca="1">结果表!H102</f>
        <v>17333</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68824</v>
      </c>
    </row>
    <row r="14" spans="1:5" ht="15.75">
      <c r="B14" s="3162"/>
      <c r="C14" s="1392" t="s">
        <v>911</v>
      </c>
      <c r="D14" s="797" t="str">
        <f ca="1">NUMBERSTRING(INT(D13*10000),2)&amp;"元整"</f>
        <v>陆亿捌仟捌佰贰拾肆万元整</v>
      </c>
    </row>
    <row r="15" spans="1:5" ht="15">
      <c r="B15" s="3167"/>
      <c r="C15" s="1393" t="s">
        <v>921</v>
      </c>
      <c r="D15" s="806">
        <f ca="1">结果表!H108</f>
        <v>17333</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v>
      </c>
      <c r="C19" s="1397" t="s">
        <v>910</v>
      </c>
      <c r="D19" s="798" t="str">
        <f>结果表!H111</f>
        <v>——</v>
      </c>
    </row>
    <row r="20" spans="1:5" ht="15.75">
      <c r="B20" s="3162"/>
      <c r="C20" s="1392" t="s">
        <v>923</v>
      </c>
      <c r="D20" s="797" t="e">
        <f>NUMBERSTRING(INT(D19*10000),2)&amp;"元整"</f>
        <v>#VALUE!</v>
      </c>
    </row>
    <row r="21" spans="1:5" ht="15.75" thickBot="1">
      <c r="B21" s="316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4" t="s">
        <v>2599</v>
      </c>
      <c r="B20" s="3469" t="s">
        <v>2620</v>
      </c>
      <c r="C20" s="2842" t="s">
        <v>2431</v>
      </c>
      <c r="D20" s="2843"/>
      <c r="E20" s="2844">
        <v>1</v>
      </c>
      <c r="F20" s="2845" t="s">
        <v>2432</v>
      </c>
      <c r="G20" s="2845"/>
    </row>
    <row r="21" spans="1:13" ht="19.5" customHeight="1">
      <c r="A21" s="3475"/>
      <c r="B21" s="3468"/>
      <c r="C21" s="2846" t="s">
        <v>2433</v>
      </c>
      <c r="D21" s="2847"/>
      <c r="E21" s="2848">
        <v>1</v>
      </c>
      <c r="F21" s="2845" t="s">
        <v>2434</v>
      </c>
      <c r="G21" s="2845"/>
    </row>
    <row r="22" spans="1:13" ht="19.5" customHeight="1">
      <c r="A22" s="3475"/>
      <c r="B22" s="3468"/>
      <c r="C22" s="2846" t="s">
        <v>2435</v>
      </c>
      <c r="D22" s="2847"/>
      <c r="E22" s="2848">
        <v>0.9</v>
      </c>
      <c r="F22" s="2845" t="s">
        <v>2436</v>
      </c>
      <c r="G22" s="2845"/>
    </row>
    <row r="23" spans="1:13" ht="19.5" customHeight="1">
      <c r="A23" s="3475"/>
      <c r="B23" s="3468"/>
      <c r="C23" s="2846" t="s">
        <v>2437</v>
      </c>
      <c r="D23" s="2847"/>
      <c r="E23" s="2848">
        <v>0.9</v>
      </c>
      <c r="F23" s="2845" t="s">
        <v>2438</v>
      </c>
      <c r="G23" s="2845"/>
    </row>
    <row r="24" spans="1:13" ht="19.5" customHeight="1">
      <c r="A24" s="3475"/>
      <c r="B24" s="3468"/>
      <c r="C24" s="2846" t="s">
        <v>2439</v>
      </c>
      <c r="D24" s="2847"/>
      <c r="E24" s="2848">
        <v>0.8</v>
      </c>
      <c r="F24" s="2845" t="s">
        <v>2440</v>
      </c>
      <c r="G24" s="2845"/>
    </row>
    <row r="25" spans="1:13" ht="19.5" customHeight="1" thickBot="1">
      <c r="A25" s="3476"/>
      <c r="B25" s="3470"/>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71" t="s">
        <v>2623</v>
      </c>
      <c r="B27" s="3469" t="s">
        <v>2604</v>
      </c>
      <c r="C27" s="2842" t="s">
        <v>2444</v>
      </c>
      <c r="D27" s="2843"/>
      <c r="E27" s="2844">
        <v>1</v>
      </c>
      <c r="F27" s="2845" t="s">
        <v>2445</v>
      </c>
      <c r="G27" s="2845"/>
    </row>
    <row r="28" spans="1:13" ht="19.5" customHeight="1">
      <c r="A28" s="3472"/>
      <c r="B28" s="3468"/>
      <c r="C28" s="2846" t="s">
        <v>2446</v>
      </c>
      <c r="D28" s="2847"/>
      <c r="E28" s="2848">
        <v>1</v>
      </c>
      <c r="F28" s="2845" t="s">
        <v>2447</v>
      </c>
      <c r="G28" s="2845"/>
    </row>
    <row r="29" spans="1:13" ht="19.5" customHeight="1">
      <c r="A29" s="3472"/>
      <c r="B29" s="3468"/>
      <c r="C29" s="2846" t="s">
        <v>2448</v>
      </c>
      <c r="D29" s="2847"/>
      <c r="E29" s="2848">
        <v>0.8</v>
      </c>
      <c r="F29" s="2845" t="s">
        <v>2449</v>
      </c>
      <c r="G29" s="2845"/>
    </row>
    <row r="30" spans="1:13" ht="19.5" customHeight="1">
      <c r="A30" s="3472"/>
      <c r="B30" s="3468"/>
      <c r="C30" s="2846" t="s">
        <v>2450</v>
      </c>
      <c r="D30" s="2847"/>
      <c r="E30" s="2848">
        <v>0.8</v>
      </c>
      <c r="F30" s="2845" t="s">
        <v>2451</v>
      </c>
      <c r="G30" s="2845"/>
    </row>
    <row r="31" spans="1:13" ht="19.5" customHeight="1">
      <c r="A31" s="3472"/>
      <c r="B31" s="3468"/>
      <c r="C31" s="2846" t="s">
        <v>2452</v>
      </c>
      <c r="D31" s="2847"/>
      <c r="E31" s="2848">
        <v>0.8</v>
      </c>
      <c r="F31" s="2845" t="s">
        <v>2453</v>
      </c>
      <c r="G31" s="2845"/>
    </row>
    <row r="32" spans="1:13" ht="19.5" customHeight="1">
      <c r="A32" s="3472"/>
      <c r="B32" s="3468"/>
      <c r="C32" s="2846" t="s">
        <v>2454</v>
      </c>
      <c r="D32" s="2847"/>
      <c r="E32" s="2848">
        <v>0.7</v>
      </c>
      <c r="F32" s="2845" t="s">
        <v>2455</v>
      </c>
      <c r="G32" s="2845"/>
    </row>
    <row r="33" spans="1:7" ht="19.5" customHeight="1">
      <c r="A33" s="3472"/>
      <c r="B33" s="3468"/>
      <c r="C33" s="2846" t="s">
        <v>2456</v>
      </c>
      <c r="D33" s="2847"/>
      <c r="E33" s="2848">
        <v>0.8</v>
      </c>
      <c r="F33" s="2845" t="s">
        <v>2457</v>
      </c>
      <c r="G33" s="2845"/>
    </row>
    <row r="34" spans="1:7" ht="19.5" customHeight="1">
      <c r="A34" s="3472"/>
      <c r="B34" s="3468"/>
      <c r="C34" s="2846" t="s">
        <v>2458</v>
      </c>
      <c r="D34" s="2847"/>
      <c r="E34" s="2848">
        <v>0.6</v>
      </c>
      <c r="F34" s="2845" t="s">
        <v>2459</v>
      </c>
      <c r="G34" s="2845"/>
    </row>
    <row r="35" spans="1:7" ht="19.5" customHeight="1">
      <c r="A35" s="3472"/>
      <c r="B35" s="3468"/>
      <c r="C35" s="2846" t="s">
        <v>2460</v>
      </c>
      <c r="D35" s="2847"/>
      <c r="E35" s="2848">
        <v>0.2</v>
      </c>
      <c r="F35" s="2845" t="s">
        <v>2461</v>
      </c>
      <c r="G35" s="2845"/>
    </row>
    <row r="36" spans="1:7" ht="19.5" customHeight="1">
      <c r="A36" s="3472"/>
      <c r="B36" s="3468"/>
      <c r="C36" s="2846" t="s">
        <v>2462</v>
      </c>
      <c r="D36" s="2847"/>
      <c r="E36" s="2848">
        <v>0.2</v>
      </c>
      <c r="F36" s="2845" t="s">
        <v>2463</v>
      </c>
      <c r="G36" s="2845"/>
    </row>
    <row r="37" spans="1:7" ht="19.5" customHeight="1">
      <c r="A37" s="3472"/>
      <c r="B37" s="3466" t="s">
        <v>2624</v>
      </c>
      <c r="C37" s="2846" t="s">
        <v>2464</v>
      </c>
      <c r="D37" s="2847"/>
      <c r="E37" s="2848">
        <v>0.6</v>
      </c>
      <c r="F37" s="2845" t="s">
        <v>2465</v>
      </c>
      <c r="G37" s="2845"/>
    </row>
    <row r="38" spans="1:7" ht="19.5" customHeight="1">
      <c r="A38" s="3472"/>
      <c r="B38" s="3468"/>
      <c r="C38" s="2846" t="s">
        <v>2466</v>
      </c>
      <c r="D38" s="2847"/>
      <c r="E38" s="2848">
        <v>0.6</v>
      </c>
      <c r="F38" s="2845" t="s">
        <v>2467</v>
      </c>
      <c r="G38" s="2845"/>
    </row>
    <row r="39" spans="1:7" ht="19.5" customHeight="1" thickBot="1">
      <c r="A39" s="3473"/>
      <c r="B39" s="3470"/>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4" t="s">
        <v>2602</v>
      </c>
      <c r="B41" s="3469" t="s">
        <v>2626</v>
      </c>
      <c r="C41" s="2842" t="s">
        <v>2471</v>
      </c>
      <c r="D41" s="2843"/>
      <c r="E41" s="2844">
        <v>1</v>
      </c>
      <c r="F41" s="2845" t="s">
        <v>2472</v>
      </c>
      <c r="G41" s="2845"/>
    </row>
    <row r="42" spans="1:7" ht="19.5" customHeight="1">
      <c r="A42" s="3475"/>
      <c r="B42" s="3468"/>
      <c r="C42" s="2846" t="s">
        <v>2473</v>
      </c>
      <c r="D42" s="2847"/>
      <c r="E42" s="2848">
        <v>1</v>
      </c>
      <c r="F42" s="2845" t="s">
        <v>2474</v>
      </c>
      <c r="G42" s="2845"/>
    </row>
    <row r="43" spans="1:7" ht="19.5" customHeight="1">
      <c r="A43" s="3475"/>
      <c r="B43" s="3467"/>
      <c r="C43" s="2846" t="s">
        <v>2475</v>
      </c>
      <c r="D43" s="2847"/>
      <c r="E43" s="2848">
        <v>1.5</v>
      </c>
      <c r="F43" s="2845" t="s">
        <v>2476</v>
      </c>
      <c r="G43" s="2845"/>
    </row>
    <row r="44" spans="1:7" ht="19.5" customHeight="1">
      <c r="A44" s="3475"/>
      <c r="B44" s="2857" t="s">
        <v>2627</v>
      </c>
      <c r="C44" s="2846" t="s">
        <v>2628</v>
      </c>
      <c r="D44" s="2847"/>
      <c r="E44" s="2848">
        <v>2</v>
      </c>
      <c r="F44" s="2845" t="s">
        <v>2477</v>
      </c>
      <c r="G44" s="2845"/>
    </row>
    <row r="45" spans="1:7" ht="19.5" customHeight="1">
      <c r="A45" s="3475"/>
      <c r="B45" s="3466" t="s">
        <v>2629</v>
      </c>
      <c r="C45" s="2846" t="s">
        <v>2478</v>
      </c>
      <c r="D45" s="2847"/>
      <c r="E45" s="2848">
        <v>1</v>
      </c>
      <c r="F45" s="2845" t="s">
        <v>2479</v>
      </c>
      <c r="G45" s="2845"/>
    </row>
    <row r="46" spans="1:7" ht="19.5" customHeight="1">
      <c r="A46" s="3475"/>
      <c r="B46" s="3468"/>
      <c r="C46" s="2846" t="s">
        <v>2480</v>
      </c>
      <c r="D46" s="2847"/>
      <c r="E46" s="2848">
        <v>1</v>
      </c>
      <c r="F46" s="2845" t="s">
        <v>2481</v>
      </c>
      <c r="G46" s="2845"/>
    </row>
    <row r="47" spans="1:7" ht="19.5" customHeight="1">
      <c r="A47" s="3475"/>
      <c r="B47" s="3468"/>
      <c r="C47" s="2846" t="s">
        <v>2482</v>
      </c>
      <c r="D47" s="2847"/>
      <c r="E47" s="2848">
        <v>1</v>
      </c>
      <c r="F47" s="2845" t="s">
        <v>2483</v>
      </c>
      <c r="G47" s="2845"/>
    </row>
    <row r="48" spans="1:7" ht="19.5" customHeight="1">
      <c r="A48" s="3475"/>
      <c r="B48" s="3468"/>
      <c r="C48" s="2846" t="s">
        <v>2484</v>
      </c>
      <c r="D48" s="2847"/>
      <c r="E48" s="2848">
        <v>1</v>
      </c>
      <c r="F48" s="2845" t="s">
        <v>2485</v>
      </c>
      <c r="G48" s="2845"/>
    </row>
    <row r="49" spans="1:7" ht="19.5" customHeight="1">
      <c r="A49" s="3475"/>
      <c r="B49" s="3468"/>
      <c r="C49" s="2846" t="s">
        <v>2486</v>
      </c>
      <c r="D49" s="2847"/>
      <c r="E49" s="2848">
        <v>1</v>
      </c>
      <c r="F49" s="2845" t="s">
        <v>2487</v>
      </c>
      <c r="G49" s="2845"/>
    </row>
    <row r="50" spans="1:7" ht="19.5" customHeight="1">
      <c r="A50" s="3475"/>
      <c r="B50" s="3468"/>
      <c r="C50" s="2846" t="s">
        <v>2488</v>
      </c>
      <c r="D50" s="2847"/>
      <c r="E50" s="2848">
        <v>1</v>
      </c>
      <c r="F50" s="2845" t="s">
        <v>2489</v>
      </c>
      <c r="G50" s="2845"/>
    </row>
    <row r="51" spans="1:7" ht="19.5" customHeight="1" thickBot="1">
      <c r="A51" s="3476"/>
      <c r="B51" s="3470"/>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6" t="s">
        <v>2643</v>
      </c>
      <c r="C73" s="2831" t="s">
        <v>2644</v>
      </c>
      <c r="D73" s="2831" t="s">
        <v>2645</v>
      </c>
      <c r="E73" s="2857">
        <v>0.2</v>
      </c>
      <c r="F73" s="2857">
        <v>25</v>
      </c>
    </row>
    <row r="74" spans="1:7" ht="24">
      <c r="A74" s="2857">
        <v>2</v>
      </c>
      <c r="B74" s="3468"/>
      <c r="C74" s="2831" t="s">
        <v>2646</v>
      </c>
      <c r="D74" s="2831" t="s">
        <v>2647</v>
      </c>
      <c r="E74" s="2857">
        <v>0.2</v>
      </c>
      <c r="F74" s="2857">
        <v>25</v>
      </c>
    </row>
    <row r="75" spans="1:7" ht="24">
      <c r="A75" s="2857">
        <v>3</v>
      </c>
      <c r="B75" s="3468"/>
      <c r="C75" s="2831" t="s">
        <v>2648</v>
      </c>
      <c r="D75" s="2831" t="s">
        <v>2649</v>
      </c>
      <c r="E75" s="2857">
        <v>0.2</v>
      </c>
      <c r="F75" s="2857">
        <v>25</v>
      </c>
    </row>
    <row r="76" spans="1:7" ht="13.5">
      <c r="A76" s="2857">
        <v>4</v>
      </c>
      <c r="B76" s="3468"/>
      <c r="C76" s="2831" t="s">
        <v>2650</v>
      </c>
      <c r="D76" s="2831" t="s">
        <v>2651</v>
      </c>
      <c r="E76" s="2857">
        <v>0.15</v>
      </c>
      <c r="F76" s="2857">
        <v>20</v>
      </c>
    </row>
    <row r="77" spans="1:7" ht="24">
      <c r="A77" s="2857">
        <v>5</v>
      </c>
      <c r="B77" s="3468"/>
      <c r="C77" s="2831" t="s">
        <v>2652</v>
      </c>
      <c r="D77" s="2831" t="s">
        <v>2653</v>
      </c>
      <c r="E77" s="2857">
        <v>0.15</v>
      </c>
      <c r="F77" s="2857">
        <v>20</v>
      </c>
    </row>
    <row r="78" spans="1:7" ht="24">
      <c r="A78" s="2857">
        <v>6</v>
      </c>
      <c r="B78" s="3468"/>
      <c r="C78" s="2831" t="s">
        <v>2654</v>
      </c>
      <c r="D78" s="2831" t="s">
        <v>2655</v>
      </c>
      <c r="E78" s="2857">
        <v>0.15</v>
      </c>
      <c r="F78" s="2857">
        <v>20</v>
      </c>
    </row>
    <row r="79" spans="1:7" ht="24">
      <c r="A79" s="2857">
        <v>7</v>
      </c>
      <c r="B79" s="3468"/>
      <c r="C79" s="2831" t="s">
        <v>2656</v>
      </c>
      <c r="D79" s="2831" t="s">
        <v>2657</v>
      </c>
      <c r="E79" s="2857">
        <v>0.15</v>
      </c>
      <c r="F79" s="2857">
        <v>20</v>
      </c>
    </row>
    <row r="80" spans="1:7" ht="24">
      <c r="A80" s="2857">
        <v>8</v>
      </c>
      <c r="B80" s="3468"/>
      <c r="C80" s="2831" t="s">
        <v>2658</v>
      </c>
      <c r="D80" s="2831" t="s">
        <v>2659</v>
      </c>
      <c r="E80" s="2857">
        <v>0.1</v>
      </c>
      <c r="F80" s="2857">
        <v>15</v>
      </c>
    </row>
    <row r="81" spans="1:6" ht="24">
      <c r="A81" s="2857">
        <v>9</v>
      </c>
      <c r="B81" s="3468"/>
      <c r="C81" s="2831" t="s">
        <v>2660</v>
      </c>
      <c r="D81" s="2831" t="s">
        <v>2661</v>
      </c>
      <c r="E81" s="2857">
        <v>0.1</v>
      </c>
      <c r="F81" s="2857">
        <v>15</v>
      </c>
    </row>
    <row r="82" spans="1:6" ht="24">
      <c r="A82" s="2857">
        <v>10</v>
      </c>
      <c r="B82" s="3468"/>
      <c r="C82" s="2831" t="s">
        <v>2662</v>
      </c>
      <c r="D82" s="2831" t="s">
        <v>2663</v>
      </c>
      <c r="E82" s="2857">
        <v>0.1</v>
      </c>
      <c r="F82" s="2857">
        <v>15</v>
      </c>
    </row>
    <row r="83" spans="1:6" ht="24">
      <c r="A83" s="2857">
        <v>11</v>
      </c>
      <c r="B83" s="3468"/>
      <c r="C83" s="2831" t="s">
        <v>2664</v>
      </c>
      <c r="D83" s="2831" t="s">
        <v>2665</v>
      </c>
      <c r="E83" s="2857">
        <v>0.1</v>
      </c>
      <c r="F83" s="2857">
        <v>15</v>
      </c>
    </row>
    <row r="84" spans="1:6" ht="24">
      <c r="A84" s="2857">
        <v>12</v>
      </c>
      <c r="B84" s="3468"/>
      <c r="C84" s="2831" t="s">
        <v>2666</v>
      </c>
      <c r="D84" s="2831" t="s">
        <v>2667</v>
      </c>
      <c r="E84" s="2857">
        <v>0.1</v>
      </c>
      <c r="F84" s="2857">
        <v>15</v>
      </c>
    </row>
    <row r="85" spans="1:6" ht="13.5">
      <c r="A85" s="2857">
        <v>13</v>
      </c>
      <c r="B85" s="3468"/>
      <c r="C85" s="2831" t="s">
        <v>2668</v>
      </c>
      <c r="D85" s="2831" t="s">
        <v>2669</v>
      </c>
      <c r="E85" s="2857">
        <v>0.1</v>
      </c>
      <c r="F85" s="2857">
        <v>15</v>
      </c>
    </row>
    <row r="86" spans="1:6" ht="13.5">
      <c r="A86" s="2857">
        <v>14</v>
      </c>
      <c r="B86" s="3468"/>
      <c r="C86" s="2831" t="s">
        <v>2670</v>
      </c>
      <c r="D86" s="2831" t="s">
        <v>2671</v>
      </c>
      <c r="E86" s="2857">
        <v>0.1</v>
      </c>
      <c r="F86" s="2857">
        <v>15</v>
      </c>
    </row>
    <row r="87" spans="1:6" ht="13.5">
      <c r="A87" s="2857">
        <v>15</v>
      </c>
      <c r="B87" s="3468"/>
      <c r="C87" s="2831" t="s">
        <v>2672</v>
      </c>
      <c r="D87" s="2831" t="s">
        <v>2673</v>
      </c>
      <c r="E87" s="2857">
        <v>0.1</v>
      </c>
      <c r="F87" s="2857">
        <v>15</v>
      </c>
    </row>
    <row r="88" spans="1:6" ht="24">
      <c r="A88" s="2857">
        <v>16</v>
      </c>
      <c r="B88" s="3468"/>
      <c r="C88" s="2831" t="s">
        <v>2674</v>
      </c>
      <c r="D88" s="2831" t="s">
        <v>2675</v>
      </c>
      <c r="E88" s="2857">
        <v>0.1</v>
      </c>
      <c r="F88" s="2857">
        <v>15</v>
      </c>
    </row>
    <row r="89" spans="1:6" ht="24">
      <c r="A89" s="2857">
        <v>17</v>
      </c>
      <c r="B89" s="3467"/>
      <c r="C89" s="2831" t="s">
        <v>2676</v>
      </c>
      <c r="D89" s="2831" t="s">
        <v>2677</v>
      </c>
      <c r="E89" s="2857">
        <v>0.1</v>
      </c>
      <c r="F89" s="2857">
        <v>15</v>
      </c>
    </row>
    <row r="90" spans="1:6" ht="13.5">
      <c r="A90" s="2857">
        <v>18</v>
      </c>
      <c r="B90" s="3466" t="s">
        <v>2678</v>
      </c>
      <c r="C90" s="2831" t="s">
        <v>2679</v>
      </c>
      <c r="D90" s="2831" t="s">
        <v>2680</v>
      </c>
      <c r="E90" s="2857">
        <v>0.2</v>
      </c>
      <c r="F90" s="2857">
        <v>25</v>
      </c>
    </row>
    <row r="91" spans="1:6" ht="24">
      <c r="A91" s="2857">
        <v>19</v>
      </c>
      <c r="B91" s="3468"/>
      <c r="C91" s="2831" t="s">
        <v>2681</v>
      </c>
      <c r="D91" s="2831" t="s">
        <v>2682</v>
      </c>
      <c r="E91" s="2857">
        <v>0.2</v>
      </c>
      <c r="F91" s="2857">
        <v>25</v>
      </c>
    </row>
    <row r="92" spans="1:6" ht="13.5">
      <c r="A92" s="2857">
        <v>20</v>
      </c>
      <c r="B92" s="3468"/>
      <c r="C92" s="2831" t="s">
        <v>2683</v>
      </c>
      <c r="D92" s="2831" t="s">
        <v>2684</v>
      </c>
      <c r="E92" s="2857">
        <v>0.15</v>
      </c>
      <c r="F92" s="2857">
        <v>20</v>
      </c>
    </row>
    <row r="93" spans="1:6" ht="13.5">
      <c r="A93" s="2857">
        <v>21</v>
      </c>
      <c r="B93" s="3468"/>
      <c r="C93" s="2831" t="s">
        <v>2685</v>
      </c>
      <c r="D93" s="2831" t="s">
        <v>2686</v>
      </c>
      <c r="E93" s="2857">
        <v>0.15</v>
      </c>
      <c r="F93" s="2857">
        <v>20</v>
      </c>
    </row>
    <row r="94" spans="1:6" ht="13.5">
      <c r="A94" s="2857">
        <v>22</v>
      </c>
      <c r="B94" s="3468"/>
      <c r="C94" s="2831" t="s">
        <v>2687</v>
      </c>
      <c r="D94" s="2831" t="s">
        <v>2688</v>
      </c>
      <c r="E94" s="2857">
        <v>0.15</v>
      </c>
      <c r="F94" s="2857">
        <v>20</v>
      </c>
    </row>
    <row r="95" spans="1:6" ht="36">
      <c r="A95" s="2857">
        <v>23</v>
      </c>
      <c r="B95" s="3468"/>
      <c r="C95" s="2831" t="s">
        <v>2689</v>
      </c>
      <c r="D95" s="2831" t="s">
        <v>2690</v>
      </c>
      <c r="E95" s="2857">
        <v>0.15</v>
      </c>
      <c r="F95" s="2857">
        <v>20</v>
      </c>
    </row>
    <row r="96" spans="1:6" ht="13.5">
      <c r="A96" s="2857">
        <v>24</v>
      </c>
      <c r="B96" s="3468"/>
      <c r="C96" s="2831" t="s">
        <v>2691</v>
      </c>
      <c r="D96" s="2831" t="s">
        <v>2692</v>
      </c>
      <c r="E96" s="2857">
        <v>0.1</v>
      </c>
      <c r="F96" s="2857">
        <v>15</v>
      </c>
    </row>
    <row r="97" spans="1:6" ht="13.5">
      <c r="A97" s="2857">
        <v>25</v>
      </c>
      <c r="B97" s="3468"/>
      <c r="C97" s="2831" t="s">
        <v>2693</v>
      </c>
      <c r="D97" s="2831" t="s">
        <v>2694</v>
      </c>
      <c r="E97" s="2857">
        <v>0.1</v>
      </c>
      <c r="F97" s="2857">
        <v>15</v>
      </c>
    </row>
    <row r="98" spans="1:6" ht="24">
      <c r="A98" s="2857">
        <v>26</v>
      </c>
      <c r="B98" s="3468"/>
      <c r="C98" s="2831" t="s">
        <v>2695</v>
      </c>
      <c r="D98" s="2831" t="s">
        <v>2696</v>
      </c>
      <c r="E98" s="2857">
        <v>0.1</v>
      </c>
      <c r="F98" s="2857">
        <v>15</v>
      </c>
    </row>
    <row r="99" spans="1:6" ht="24">
      <c r="A99" s="2857">
        <v>27</v>
      </c>
      <c r="B99" s="3468"/>
      <c r="C99" s="2831" t="s">
        <v>2697</v>
      </c>
      <c r="D99" s="2831" t="s">
        <v>2698</v>
      </c>
      <c r="E99" s="2857">
        <v>0.1</v>
      </c>
      <c r="F99" s="2857">
        <v>15</v>
      </c>
    </row>
    <row r="100" spans="1:6" ht="13.5">
      <c r="A100" s="2857">
        <v>28</v>
      </c>
      <c r="B100" s="3468"/>
      <c r="C100" s="2831" t="s">
        <v>2699</v>
      </c>
      <c r="D100" s="2831" t="s">
        <v>2700</v>
      </c>
      <c r="E100" s="2857">
        <v>0.1</v>
      </c>
      <c r="F100" s="2857">
        <v>15</v>
      </c>
    </row>
    <row r="101" spans="1:6" ht="13.5">
      <c r="A101" s="2857">
        <v>29</v>
      </c>
      <c r="B101" s="3468"/>
      <c r="C101" s="2831" t="s">
        <v>2701</v>
      </c>
      <c r="D101" s="2831" t="s">
        <v>2702</v>
      </c>
      <c r="E101" s="2857">
        <v>0.1</v>
      </c>
      <c r="F101" s="2857">
        <v>15</v>
      </c>
    </row>
    <row r="102" spans="1:6" ht="13.5">
      <c r="A102" s="2857">
        <v>30</v>
      </c>
      <c r="B102" s="3468"/>
      <c r="C102" s="2831" t="s">
        <v>2703</v>
      </c>
      <c r="D102" s="2831" t="s">
        <v>2704</v>
      </c>
      <c r="E102" s="2857">
        <v>0.1</v>
      </c>
      <c r="F102" s="2857">
        <v>15</v>
      </c>
    </row>
    <row r="103" spans="1:6" ht="24">
      <c r="A103" s="2857">
        <v>31</v>
      </c>
      <c r="B103" s="3468"/>
      <c r="C103" s="2831" t="s">
        <v>2705</v>
      </c>
      <c r="D103" s="2831" t="s">
        <v>2706</v>
      </c>
      <c r="E103" s="2857">
        <v>0.1</v>
      </c>
      <c r="F103" s="2857">
        <v>15</v>
      </c>
    </row>
    <row r="104" spans="1:6" ht="24">
      <c r="A104" s="2857">
        <v>32</v>
      </c>
      <c r="B104" s="3468"/>
      <c r="C104" s="2831" t="s">
        <v>2707</v>
      </c>
      <c r="D104" s="2831" t="s">
        <v>2708</v>
      </c>
      <c r="E104" s="2857">
        <v>0.1</v>
      </c>
      <c r="F104" s="2857">
        <v>15</v>
      </c>
    </row>
    <row r="105" spans="1:6" ht="24">
      <c r="A105" s="2857">
        <v>33</v>
      </c>
      <c r="B105" s="3468"/>
      <c r="C105" s="2831" t="s">
        <v>2709</v>
      </c>
      <c r="D105" s="2831" t="s">
        <v>2710</v>
      </c>
      <c r="E105" s="2857">
        <v>0.1</v>
      </c>
      <c r="F105" s="2857">
        <v>15</v>
      </c>
    </row>
    <row r="106" spans="1:6" ht="24">
      <c r="A106" s="2857">
        <v>34</v>
      </c>
      <c r="B106" s="3467"/>
      <c r="C106" s="2831" t="s">
        <v>2711</v>
      </c>
      <c r="D106" s="2831" t="s">
        <v>2712</v>
      </c>
      <c r="E106" s="2857">
        <v>0.1</v>
      </c>
      <c r="F106" s="2857">
        <v>15</v>
      </c>
    </row>
    <row r="107" spans="1:6" ht="24">
      <c r="A107" s="2857">
        <v>35</v>
      </c>
      <c r="B107" s="3466" t="s">
        <v>2713</v>
      </c>
      <c r="C107" s="2857" t="s">
        <v>2714</v>
      </c>
      <c r="D107" s="2831" t="s">
        <v>2715</v>
      </c>
      <c r="E107" s="2857">
        <v>0.15</v>
      </c>
      <c r="F107" s="2857">
        <v>20</v>
      </c>
    </row>
    <row r="108" spans="1:6" ht="13.5">
      <c r="A108" s="2857">
        <v>36</v>
      </c>
      <c r="B108" s="3468"/>
      <c r="C108" s="2857" t="s">
        <v>2716</v>
      </c>
      <c r="D108" s="2831" t="s">
        <v>2717</v>
      </c>
      <c r="E108" s="2857">
        <v>0.15</v>
      </c>
      <c r="F108" s="2857">
        <v>20</v>
      </c>
    </row>
    <row r="109" spans="1:6" ht="13.5">
      <c r="A109" s="2857">
        <v>37</v>
      </c>
      <c r="B109" s="3468"/>
      <c r="C109" s="2857" t="s">
        <v>2718</v>
      </c>
      <c r="D109" s="2831" t="s">
        <v>2719</v>
      </c>
      <c r="E109" s="2857">
        <v>0.15</v>
      </c>
      <c r="F109" s="2857">
        <v>20</v>
      </c>
    </row>
    <row r="110" spans="1:6" ht="13.5">
      <c r="A110" s="2857">
        <v>38</v>
      </c>
      <c r="B110" s="3468"/>
      <c r="C110" s="2857" t="s">
        <v>2720</v>
      </c>
      <c r="D110" s="2831" t="s">
        <v>2721</v>
      </c>
      <c r="E110" s="2857">
        <v>0.1</v>
      </c>
      <c r="F110" s="2857">
        <v>15</v>
      </c>
    </row>
    <row r="111" spans="1:6" ht="24">
      <c r="A111" s="2857">
        <v>39</v>
      </c>
      <c r="B111" s="3468"/>
      <c r="C111" s="2857" t="s">
        <v>2722</v>
      </c>
      <c r="D111" s="2831" t="s">
        <v>2723</v>
      </c>
      <c r="E111" s="2857">
        <v>0.1</v>
      </c>
      <c r="F111" s="2857">
        <v>15</v>
      </c>
    </row>
    <row r="112" spans="1:6" ht="24">
      <c r="A112" s="2857">
        <v>40</v>
      </c>
      <c r="B112" s="3467"/>
      <c r="C112" s="2857" t="s">
        <v>2724</v>
      </c>
      <c r="D112" s="2831" t="s">
        <v>2725</v>
      </c>
      <c r="E112" s="2857">
        <v>0.1</v>
      </c>
      <c r="F112" s="2857">
        <v>15</v>
      </c>
    </row>
    <row r="113" spans="1:6" ht="13.5">
      <c r="A113" s="2857">
        <v>41</v>
      </c>
      <c r="B113" s="3465" t="s">
        <v>2726</v>
      </c>
      <c r="C113" s="2857" t="s">
        <v>2727</v>
      </c>
      <c r="D113" s="2831" t="s">
        <v>2728</v>
      </c>
      <c r="E113" s="2857">
        <v>0.1</v>
      </c>
      <c r="F113" s="2857">
        <v>15</v>
      </c>
    </row>
    <row r="114" spans="1:6" ht="13.5">
      <c r="A114" s="2857">
        <v>42</v>
      </c>
      <c r="B114" s="3465"/>
      <c r="C114" s="2857" t="s">
        <v>2729</v>
      </c>
      <c r="D114" s="2831" t="s">
        <v>2730</v>
      </c>
      <c r="E114" s="2857">
        <v>0.1</v>
      </c>
      <c r="F114" s="2857">
        <v>15</v>
      </c>
    </row>
    <row r="115" spans="1:6" ht="24">
      <c r="A115" s="2857">
        <v>43</v>
      </c>
      <c r="B115" s="3465"/>
      <c r="C115" s="2857" t="s">
        <v>2731</v>
      </c>
      <c r="D115" s="2831" t="s">
        <v>2732</v>
      </c>
      <c r="E115" s="2857">
        <v>0.1</v>
      </c>
      <c r="F115" s="2857">
        <v>15</v>
      </c>
    </row>
    <row r="116" spans="1:6" ht="13.5">
      <c r="A116" s="2857">
        <v>44</v>
      </c>
      <c r="B116" s="3466" t="s">
        <v>2733</v>
      </c>
      <c r="C116" s="2857" t="s">
        <v>2734</v>
      </c>
      <c r="D116" s="2831" t="s">
        <v>2735</v>
      </c>
      <c r="E116" s="2857">
        <v>0.1</v>
      </c>
      <c r="F116" s="2857">
        <v>15</v>
      </c>
    </row>
    <row r="117" spans="1:6" ht="24">
      <c r="A117" s="2857">
        <v>45</v>
      </c>
      <c r="B117" s="3467"/>
      <c r="C117" s="2831" t="s">
        <v>2736</v>
      </c>
      <c r="D117" s="2831" t="s">
        <v>2737</v>
      </c>
      <c r="E117" s="2857">
        <v>0.1</v>
      </c>
      <c r="F117" s="2857">
        <v>15</v>
      </c>
    </row>
    <row r="118" spans="1:6" ht="24">
      <c r="A118" s="2857">
        <v>46</v>
      </c>
      <c r="B118" s="3466" t="s">
        <v>2738</v>
      </c>
      <c r="C118" s="2857" t="s">
        <v>2739</v>
      </c>
      <c r="D118" s="2831" t="s">
        <v>2740</v>
      </c>
      <c r="E118" s="2857">
        <v>0.1</v>
      </c>
      <c r="F118" s="2857">
        <v>15</v>
      </c>
    </row>
    <row r="119" spans="1:6" ht="24">
      <c r="A119" s="2857">
        <v>47</v>
      </c>
      <c r="B119" s="3467"/>
      <c r="C119" s="2857" t="s">
        <v>2741</v>
      </c>
      <c r="D119" s="2831" t="s">
        <v>2742</v>
      </c>
      <c r="E119" s="2857">
        <v>0.1</v>
      </c>
      <c r="F119" s="2857">
        <v>15</v>
      </c>
    </row>
    <row r="120" spans="1:6" ht="13.5">
      <c r="A120" s="2857">
        <v>48</v>
      </c>
      <c r="B120" s="3466" t="s">
        <v>2743</v>
      </c>
      <c r="C120" s="2857" t="s">
        <v>2744</v>
      </c>
      <c r="D120" s="2831" t="s">
        <v>2745</v>
      </c>
      <c r="E120" s="2857">
        <v>0.1</v>
      </c>
      <c r="F120" s="2857">
        <v>15</v>
      </c>
    </row>
    <row r="121" spans="1:6" ht="13.5">
      <c r="A121" s="2857">
        <v>49</v>
      </c>
      <c r="B121" s="3467"/>
      <c r="C121" s="2857" t="s">
        <v>2746</v>
      </c>
      <c r="D121" s="2831" t="s">
        <v>2747</v>
      </c>
      <c r="E121" s="2857">
        <v>0.1</v>
      </c>
      <c r="F121" s="2857">
        <v>15</v>
      </c>
    </row>
    <row r="122" spans="1:6" ht="24">
      <c r="A122" s="2857">
        <v>50</v>
      </c>
      <c r="B122" s="3465" t="s">
        <v>2748</v>
      </c>
      <c r="C122" s="2857" t="s">
        <v>2749</v>
      </c>
      <c r="D122" s="2831" t="s">
        <v>2750</v>
      </c>
      <c r="E122" s="2857">
        <v>0.1</v>
      </c>
      <c r="F122" s="2857">
        <v>15</v>
      </c>
    </row>
    <row r="123" spans="1:6" ht="24">
      <c r="A123" s="2857">
        <v>51</v>
      </c>
      <c r="B123" s="3465"/>
      <c r="C123" s="2857" t="s">
        <v>2751</v>
      </c>
      <c r="D123" s="2831" t="s">
        <v>2752</v>
      </c>
      <c r="E123" s="2857">
        <v>0.1</v>
      </c>
      <c r="F123" s="2857">
        <v>15</v>
      </c>
    </row>
    <row r="124" spans="1:6" ht="24">
      <c r="A124" s="2857">
        <v>52</v>
      </c>
      <c r="B124" s="3465" t="s">
        <v>2753</v>
      </c>
      <c r="C124" s="2857" t="s">
        <v>2754</v>
      </c>
      <c r="D124" s="2831" t="s">
        <v>2755</v>
      </c>
      <c r="E124" s="2857">
        <v>0.1</v>
      </c>
      <c r="F124" s="2857">
        <v>15</v>
      </c>
    </row>
    <row r="125" spans="1:6" ht="24">
      <c r="A125" s="2857">
        <v>53</v>
      </c>
      <c r="B125" s="3465"/>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65" t="s">
        <v>2761</v>
      </c>
      <c r="C127" s="2857" t="s">
        <v>2762</v>
      </c>
      <c r="D127" s="2831" t="s">
        <v>2763</v>
      </c>
      <c r="E127" s="2857">
        <v>0.1</v>
      </c>
      <c r="F127" s="2857">
        <v>15</v>
      </c>
    </row>
    <row r="128" spans="1:6" ht="13.5">
      <c r="A128" s="2857">
        <v>56</v>
      </c>
      <c r="B128" s="3465"/>
      <c r="C128" s="2857" t="s">
        <v>2764</v>
      </c>
      <c r="D128" s="2831" t="s">
        <v>2765</v>
      </c>
      <c r="E128" s="2857">
        <v>0.1</v>
      </c>
      <c r="F128" s="2857">
        <v>15</v>
      </c>
    </row>
    <row r="129" spans="1:6" ht="24">
      <c r="A129" s="2857">
        <v>57</v>
      </c>
      <c r="B129" s="3465"/>
      <c r="C129" s="2857" t="s">
        <v>2766</v>
      </c>
      <c r="D129" s="2831" t="s">
        <v>2767</v>
      </c>
      <c r="E129" s="2857">
        <v>0.1</v>
      </c>
      <c r="F129" s="2857">
        <v>15</v>
      </c>
    </row>
    <row r="130" spans="1:6" ht="24">
      <c r="A130" s="2857">
        <v>58</v>
      </c>
      <c r="B130" s="3465" t="s">
        <v>2768</v>
      </c>
      <c r="C130" s="2857" t="s">
        <v>2769</v>
      </c>
      <c r="D130" s="2831" t="s">
        <v>2770</v>
      </c>
      <c r="E130" s="2857">
        <v>0.1</v>
      </c>
      <c r="F130" s="2857">
        <v>15</v>
      </c>
    </row>
    <row r="131" spans="1:6" ht="13.5">
      <c r="A131" s="2857">
        <v>59</v>
      </c>
      <c r="B131" s="3465"/>
      <c r="C131" s="2857" t="s">
        <v>2771</v>
      </c>
      <c r="D131" s="2831" t="s">
        <v>2772</v>
      </c>
      <c r="E131" s="2857">
        <v>0.1</v>
      </c>
      <c r="F131" s="2857">
        <v>15</v>
      </c>
    </row>
    <row r="132" spans="1:6" ht="13.5">
      <c r="A132" s="2857">
        <v>60</v>
      </c>
      <c r="B132" s="3466" t="s">
        <v>2773</v>
      </c>
      <c r="C132" s="2857" t="s">
        <v>2774</v>
      </c>
      <c r="D132" s="2831" t="s">
        <v>2775</v>
      </c>
      <c r="E132" s="2857">
        <v>0.1</v>
      </c>
      <c r="F132" s="2857">
        <v>15</v>
      </c>
    </row>
    <row r="133" spans="1:6" ht="13.5">
      <c r="A133" s="2857">
        <v>61</v>
      </c>
      <c r="B133" s="3467"/>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65" t="s">
        <v>2781</v>
      </c>
      <c r="C135" s="2857" t="s">
        <v>2782</v>
      </c>
      <c r="D135" s="2831" t="s">
        <v>2783</v>
      </c>
      <c r="E135" s="2857">
        <v>0.1</v>
      </c>
      <c r="F135" s="2857">
        <v>15</v>
      </c>
    </row>
    <row r="136" spans="1:6" ht="13.5">
      <c r="A136" s="2857">
        <v>64</v>
      </c>
      <c r="B136" s="3465"/>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7"/>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0.91559999999999997</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0.87090000000000001</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52731</v>
      </c>
      <c r="C2" s="2" t="s">
        <v>106</v>
      </c>
      <c r="D2" s="191"/>
      <c r="E2" s="191"/>
      <c r="F2" s="191"/>
      <c r="G2" s="191"/>
    </row>
    <row r="3" spans="1:7" s="192" customFormat="1" ht="18" customHeight="1" thickBot="1">
      <c r="A3" s="195" t="s">
        <v>58</v>
      </c>
      <c r="B3" s="196">
        <f ca="1">ROUND(B2*10000/'数据-汇总表'!E3,0)</f>
        <v>13280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794</v>
      </c>
      <c r="D10" s="795">
        <f>'数据-汇总表'!E6</f>
        <v>39707.960000000006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794</v>
      </c>
      <c r="D19" s="204">
        <f>'数据-汇总表'!E3</f>
        <v>39707.960000000006</v>
      </c>
      <c r="E19" s="203">
        <f>'数据-取费表'!B31</f>
        <v>200</v>
      </c>
      <c r="F19" s="223"/>
      <c r="G19" s="1" t="s">
        <v>436</v>
      </c>
    </row>
    <row r="20" spans="1:7" s="206" customFormat="1" ht="13.5" customHeight="1">
      <c r="A20" s="731" t="s">
        <v>419</v>
      </c>
      <c r="B20" s="202" t="s">
        <v>77</v>
      </c>
      <c r="C20" s="224">
        <f>ROUND((C5+C19)*F20,0)</f>
        <v>642</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1840</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67</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4850</v>
      </c>
      <c r="D27" s="227">
        <f>C29</f>
        <v>4.4000000000000003E-3</v>
      </c>
      <c r="E27" s="228" t="s">
        <v>99</v>
      </c>
      <c r="F27" s="238">
        <f>'数据-取费表'!Q16</f>
        <v>0.22</v>
      </c>
      <c r="G27" s="239" t="s">
        <v>431</v>
      </c>
    </row>
    <row r="28" spans="1:7" s="206" customFormat="1" ht="13.5" customHeight="1">
      <c r="A28" s="734" t="s">
        <v>349</v>
      </c>
      <c r="B28" s="240" t="s">
        <v>424</v>
      </c>
      <c r="C28" s="241">
        <f>ROUND((C5+C19+C20)*F27*'数据-取费表'!B21/'数据-取费表'!B20,0)</f>
        <v>4850</v>
      </c>
      <c r="D28" s="227"/>
      <c r="E28" s="228"/>
      <c r="F28" s="238"/>
      <c r="G28" s="239"/>
    </row>
    <row r="29" spans="1:7" s="206" customFormat="1" ht="13.5" customHeight="1">
      <c r="A29" s="734" t="s">
        <v>347</v>
      </c>
      <c r="B29" s="240" t="s">
        <v>425</v>
      </c>
      <c r="C29" s="230">
        <f>ROUND(C21*F27*'数据-取费表'!B21/'数据-取费表'!B20,4)</f>
        <v>4.4000000000000003E-3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15134</v>
      </c>
      <c r="D34" s="209"/>
      <c r="E34" s="212"/>
      <c r="F34" s="249">
        <f>IF('数据-取费表'!B24=0,1,'数据-取费表'!N16)</f>
        <v>1</v>
      </c>
      <c r="G34" s="211" t="s">
        <v>89</v>
      </c>
    </row>
    <row r="35" spans="1:7" ht="13.5" customHeight="1">
      <c r="A35" s="734" t="s">
        <v>351</v>
      </c>
      <c r="B35" s="207" t="s">
        <v>33</v>
      </c>
      <c r="C35" s="212">
        <f>ROUND(C34*F35,0)</f>
        <v>454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794</v>
      </c>
      <c r="D37" s="209">
        <f>'数据-汇总表'!E3</f>
        <v>39707.960000000006</v>
      </c>
      <c r="E37" s="241">
        <f>'数据-取费表'!B35</f>
        <v>200</v>
      </c>
      <c r="F37" s="251"/>
      <c r="G37" s="253" t="s">
        <v>92</v>
      </c>
    </row>
    <row r="38" spans="1:7" ht="13.5" customHeight="1">
      <c r="A38" s="734" t="s">
        <v>354</v>
      </c>
      <c r="B38" s="207" t="s">
        <v>36</v>
      </c>
      <c r="C38" s="212">
        <f>ROUND(C34*F38,0)</f>
        <v>227</v>
      </c>
      <c r="D38" s="212"/>
      <c r="E38" s="212"/>
      <c r="F38" s="251">
        <f>'数据-取费表'!B36</f>
        <v>1.4999999999999999E-2</v>
      </c>
      <c r="G38" s="211" t="s">
        <v>90</v>
      </c>
    </row>
    <row r="39" spans="1:7" s="206" customFormat="1" ht="13.5" customHeight="1">
      <c r="A39" s="731" t="s">
        <v>338</v>
      </c>
      <c r="B39" s="202" t="s">
        <v>77</v>
      </c>
      <c r="C39" s="224">
        <f>ROUND(C33*F20,0)</f>
        <v>498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710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689</v>
      </c>
      <c r="D42" s="230"/>
      <c r="E42" s="230"/>
      <c r="F42" s="231"/>
      <c r="G42" s="3342" t="s">
        <v>94</v>
      </c>
    </row>
    <row r="43" spans="1:7" ht="13.5" customHeight="1">
      <c r="A43" s="734" t="s">
        <v>347</v>
      </c>
      <c r="B43" s="207" t="s">
        <v>426</v>
      </c>
      <c r="C43" s="230">
        <f ca="1">ROUND(IF('数据-取费表'!B22&lt;=1,C39*F22*'数据-取费表'!B21/2,C39*(POWER((1+F22),'数据-取费表'!B21/2)-1)),0)</f>
        <v>21</v>
      </c>
      <c r="D43" s="230"/>
      <c r="E43" s="230"/>
      <c r="F43" s="231"/>
      <c r="G43" s="3343"/>
    </row>
    <row r="44" spans="1:7" ht="13.5" customHeight="1">
      <c r="A44" s="734" t="s">
        <v>348</v>
      </c>
      <c r="B44" s="207" t="s">
        <v>428</v>
      </c>
      <c r="C44" s="230">
        <f ca="1">ROUND(IF('数据-取费表'!B22&lt;=1,C40*F22*'数据-取费表'!B21/2,C40*(POWER((1+F22),'数据-取费表'!B21/2)-1)),4)</f>
        <v>8.0000000000000004E-4</v>
      </c>
      <c r="D44" s="230"/>
      <c r="E44" s="230"/>
      <c r="F44" s="231"/>
      <c r="G44" s="3344"/>
    </row>
    <row r="45" spans="1:7" s="206" customFormat="1" ht="13.5" customHeight="1">
      <c r="A45" s="731" t="s">
        <v>341</v>
      </c>
      <c r="B45" s="236" t="s">
        <v>85</v>
      </c>
      <c r="C45" s="237">
        <f>C46</f>
        <v>3764</v>
      </c>
      <c r="D45" s="227">
        <f>C47</f>
        <v>4.4000000000000003E-3</v>
      </c>
      <c r="E45" s="228" t="s">
        <v>102</v>
      </c>
      <c r="F45" s="238"/>
      <c r="G45" s="239" t="s">
        <v>434</v>
      </c>
    </row>
    <row r="46" spans="1:7" s="206" customFormat="1" ht="13.5" customHeight="1">
      <c r="A46" s="734" t="s">
        <v>349</v>
      </c>
      <c r="B46" s="240" t="s">
        <v>427</v>
      </c>
      <c r="C46" s="241">
        <f>ROUND((C33+C39)*F27,0)</f>
        <v>3764</v>
      </c>
      <c r="D46" s="255"/>
      <c r="E46" s="228"/>
      <c r="F46" s="238"/>
      <c r="G46" s="239"/>
    </row>
    <row r="47" spans="1:7" s="206" customFormat="1" ht="13.5" customHeight="1">
      <c r="A47" s="734" t="s">
        <v>347</v>
      </c>
      <c r="B47" s="240" t="s">
        <v>429</v>
      </c>
      <c r="C47" s="230">
        <f>ROUND(C40*F27,4)</f>
        <v>4.4000000000000003E-3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23420</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21546</v>
      </c>
      <c r="D51" s="224"/>
      <c r="E51" s="224"/>
      <c r="F51" s="256"/>
      <c r="G51" s="226" t="s">
        <v>37</v>
      </c>
    </row>
    <row r="52" spans="1:7" s="200" customFormat="1" ht="16.5" thickBot="1">
      <c r="A52" s="257" t="s">
        <v>38</v>
      </c>
      <c r="B52" s="258"/>
      <c r="C52" s="259">
        <f ca="1">C31+C51</f>
        <v>52731</v>
      </c>
      <c r="D52" s="258"/>
      <c r="E52" s="258"/>
      <c r="F52" s="258"/>
      <c r="G52" s="260"/>
    </row>
    <row r="55" spans="1:7" ht="15">
      <c r="B55" s="262" t="s">
        <v>39</v>
      </c>
      <c r="C55" s="263"/>
    </row>
    <row r="56" spans="1:7">
      <c r="B56" s="265" t="s">
        <v>40</v>
      </c>
      <c r="C56" s="266">
        <f ca="1">ROUND(C51/C52,3)</f>
        <v>0.40899999999999997</v>
      </c>
    </row>
    <row r="57" spans="1:7">
      <c r="B57" s="265" t="s">
        <v>41</v>
      </c>
      <c r="C57" s="267">
        <f ca="1">1-C56</f>
        <v>0.59099999999999997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A139" workbookViewId="0">
      <selection activeCell="A148" sqref="A148:XFD1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9" t="s">
        <v>2837</v>
      </c>
      <c r="B1" s="3479"/>
      <c r="C1" s="3479"/>
      <c r="D1" s="3479"/>
      <c r="E1" s="3479"/>
      <c r="F1" s="3479"/>
      <c r="G1" s="348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477" t="s">
        <v>2864</v>
      </c>
      <c r="B3" s="2945"/>
      <c r="C3" s="2946" t="s">
        <v>2803</v>
      </c>
      <c r="D3" s="2946" t="s">
        <v>2865</v>
      </c>
      <c r="E3" s="2946" t="s">
        <v>2805</v>
      </c>
      <c r="F3" s="2946" t="s">
        <v>2866</v>
      </c>
      <c r="G3" s="2946" t="s">
        <v>2623</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47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1" customFormat="1" ht="14.25" customHeight="1">
      <c r="A65" s="2948" t="s">
        <v>110</v>
      </c>
      <c r="B65" s="2948" t="s">
        <v>203</v>
      </c>
      <c r="C65" s="2948">
        <v>19290</v>
      </c>
      <c r="D65" s="2948">
        <v>17020</v>
      </c>
      <c r="E65" s="2948">
        <v>19880</v>
      </c>
      <c r="F65" s="2948">
        <v>4070</v>
      </c>
      <c r="G65" s="2948">
        <v>11550</v>
      </c>
    </row>
    <row r="66" spans="1:7" s="2781" customFormat="1" ht="14.25" customHeight="1">
      <c r="A66" s="2948" t="s">
        <v>110</v>
      </c>
      <c r="B66" s="2948" t="s">
        <v>210</v>
      </c>
      <c r="C66" s="2948">
        <v>17090</v>
      </c>
      <c r="D66" s="2948">
        <v>18340</v>
      </c>
      <c r="E66" s="2948">
        <v>21830</v>
      </c>
      <c r="F66" s="2948">
        <v>4690</v>
      </c>
      <c r="G66" s="2948">
        <v>12450</v>
      </c>
    </row>
    <row r="67" spans="1:7" s="2781" customFormat="1" ht="14.25" customHeight="1">
      <c r="A67" s="2948" t="s">
        <v>110</v>
      </c>
      <c r="B67" s="2948" t="s">
        <v>216</v>
      </c>
      <c r="C67" s="2948">
        <v>18420</v>
      </c>
      <c r="D67" s="2948">
        <v>16360</v>
      </c>
      <c r="E67" s="2948">
        <v>20020</v>
      </c>
      <c r="F67" s="2948">
        <v>5150</v>
      </c>
      <c r="G67" s="2948">
        <v>11110</v>
      </c>
    </row>
    <row r="68" spans="1:7" s="2781" customFormat="1" ht="14.25" customHeight="1">
      <c r="A68" s="2948" t="s">
        <v>110</v>
      </c>
      <c r="B68" s="2948" t="s">
        <v>224</v>
      </c>
      <c r="C68" s="2948">
        <v>16450</v>
      </c>
      <c r="D68" s="2948">
        <v>18430</v>
      </c>
      <c r="E68" s="2948">
        <v>21010</v>
      </c>
      <c r="F68" s="2948">
        <v>4720</v>
      </c>
      <c r="G68" s="2948">
        <v>12510</v>
      </c>
    </row>
    <row r="69" spans="1:7" s="2781" customFormat="1" ht="14.25" customHeight="1">
      <c r="A69" s="2948" t="s">
        <v>110</v>
      </c>
      <c r="B69" s="2948" t="s">
        <v>232</v>
      </c>
      <c r="C69" s="2948">
        <v>18510</v>
      </c>
      <c r="D69" s="2948">
        <v>16300</v>
      </c>
      <c r="E69" s="2948">
        <v>18830</v>
      </c>
      <c r="F69" s="2948">
        <v>5400</v>
      </c>
      <c r="G69" s="2948">
        <v>11070</v>
      </c>
    </row>
    <row r="70" spans="1:7" s="2781" customFormat="1" ht="14.25" customHeight="1">
      <c r="A70" s="2948" t="s">
        <v>110</v>
      </c>
      <c r="B70" s="2948" t="s">
        <v>237</v>
      </c>
      <c r="C70" s="2948">
        <v>16370</v>
      </c>
      <c r="D70" s="2948">
        <v>18620</v>
      </c>
      <c r="E70" s="2948">
        <v>21100</v>
      </c>
      <c r="F70" s="2948">
        <v>5700</v>
      </c>
      <c r="G70" s="2948">
        <v>12640</v>
      </c>
    </row>
    <row r="71" spans="1:7" s="2781" customFormat="1" ht="14.25" customHeight="1">
      <c r="A71" s="2948" t="s">
        <v>110</v>
      </c>
      <c r="B71" s="2948" t="s">
        <v>246</v>
      </c>
      <c r="C71" s="2948">
        <v>18700</v>
      </c>
      <c r="D71" s="2948">
        <v>16290</v>
      </c>
      <c r="E71" s="2948">
        <v>18760</v>
      </c>
      <c r="F71" s="2948">
        <v>4780</v>
      </c>
      <c r="G71" s="2948">
        <v>11050</v>
      </c>
    </row>
    <row r="72" spans="1:7" s="2781" customFormat="1" ht="14.25" customHeight="1">
      <c r="A72" s="2948" t="s">
        <v>110</v>
      </c>
      <c r="B72" s="2948" t="s">
        <v>253</v>
      </c>
      <c r="C72" s="2948">
        <v>16340</v>
      </c>
      <c r="D72" s="2948">
        <v>17520</v>
      </c>
      <c r="E72" s="2948">
        <v>21170</v>
      </c>
      <c r="F72" s="2948"/>
      <c r="G72" s="2948">
        <v>11900</v>
      </c>
    </row>
    <row r="73" spans="1:7" s="2781" customFormat="1" ht="14.25" customHeight="1">
      <c r="A73" s="2948" t="s">
        <v>110</v>
      </c>
      <c r="B73" s="2948" t="s">
        <v>261</v>
      </c>
      <c r="C73" s="2948">
        <v>17610</v>
      </c>
      <c r="D73" s="2948">
        <v>18520</v>
      </c>
      <c r="E73" s="2948">
        <v>18720</v>
      </c>
      <c r="F73" s="2948"/>
      <c r="G73" s="2948">
        <v>12570</v>
      </c>
    </row>
    <row r="74" spans="1:7" s="2781" customFormat="1" ht="14.25" customHeight="1">
      <c r="A74" s="2948" t="s">
        <v>110</v>
      </c>
      <c r="B74" s="2948" t="s">
        <v>268</v>
      </c>
      <c r="C74" s="2948">
        <v>18600</v>
      </c>
      <c r="D74" s="2948">
        <v>16480</v>
      </c>
      <c r="E74" s="2948">
        <v>20100</v>
      </c>
      <c r="F74" s="2948"/>
      <c r="G74" s="2948">
        <v>11190</v>
      </c>
    </row>
    <row r="75" spans="1:7" s="2781" customFormat="1" ht="14.25" customHeight="1">
      <c r="A75" s="2948" t="s">
        <v>110</v>
      </c>
      <c r="B75" s="2948" t="s">
        <v>272</v>
      </c>
      <c r="C75" s="2948">
        <v>16570</v>
      </c>
      <c r="D75" s="2948">
        <v>17530</v>
      </c>
      <c r="E75" s="2948">
        <v>21030</v>
      </c>
      <c r="F75" s="2948"/>
      <c r="G75" s="2948">
        <v>11900</v>
      </c>
    </row>
    <row r="76" spans="1:7" s="2781" customFormat="1" ht="14.25" customHeight="1">
      <c r="A76" s="2948" t="s">
        <v>110</v>
      </c>
      <c r="B76" s="2948" t="s">
        <v>278</v>
      </c>
      <c r="C76" s="2948">
        <v>17610</v>
      </c>
      <c r="D76" s="2948">
        <v>20800</v>
      </c>
      <c r="E76" s="2948">
        <v>18920</v>
      </c>
      <c r="F76" s="2948"/>
      <c r="G76" s="2948">
        <v>14120</v>
      </c>
    </row>
    <row r="77" spans="1:7" s="2781" customFormat="1" ht="14.25" customHeight="1">
      <c r="A77" s="2948" t="s">
        <v>110</v>
      </c>
      <c r="B77" s="2948" t="s">
        <v>281</v>
      </c>
      <c r="C77" s="2948">
        <v>20890</v>
      </c>
      <c r="D77" s="2948">
        <v>19740</v>
      </c>
      <c r="E77" s="2948">
        <v>20110</v>
      </c>
      <c r="F77" s="2948"/>
      <c r="G77" s="2948">
        <v>13400</v>
      </c>
    </row>
    <row r="78" spans="1:7" s="2781" customFormat="1" ht="14.25" customHeight="1">
      <c r="A78" s="2948" t="s">
        <v>110</v>
      </c>
      <c r="B78" s="2948" t="s">
        <v>2936</v>
      </c>
      <c r="C78" s="2948">
        <v>19820</v>
      </c>
      <c r="D78" s="2948">
        <v>19780</v>
      </c>
      <c r="E78" s="2948">
        <v>18560</v>
      </c>
      <c r="F78" s="2948"/>
      <c r="G78" s="2948">
        <v>13430</v>
      </c>
    </row>
    <row r="79" spans="1:7" s="2781" customFormat="1" ht="14.25" customHeight="1">
      <c r="A79" s="2948" t="s">
        <v>110</v>
      </c>
      <c r="B79" s="2948" t="s">
        <v>2939</v>
      </c>
      <c r="C79" s="2948">
        <v>21660</v>
      </c>
      <c r="D79" s="2948">
        <v>18000</v>
      </c>
      <c r="E79" s="2948">
        <v>22570</v>
      </c>
      <c r="F79" s="2948"/>
      <c r="G79" s="2948">
        <v>12220</v>
      </c>
    </row>
    <row r="80" spans="1:7" s="2781" customFormat="1" ht="14.25" customHeight="1">
      <c r="A80" s="2948" t="s">
        <v>110</v>
      </c>
      <c r="B80" s="2948" t="s">
        <v>2943</v>
      </c>
      <c r="C80" s="2948">
        <v>19850</v>
      </c>
      <c r="D80" s="2948"/>
      <c r="E80" s="2948">
        <v>21700</v>
      </c>
      <c r="F80" s="2948"/>
      <c r="G80" s="2948"/>
    </row>
    <row r="81" spans="1:7" s="2781" customFormat="1" ht="14.25" customHeight="1">
      <c r="A81" s="2948" t="s">
        <v>110</v>
      </c>
      <c r="B81" s="2948" t="s">
        <v>2948</v>
      </c>
      <c r="C81" s="2948">
        <v>18080</v>
      </c>
      <c r="D81" s="2948"/>
      <c r="E81" s="2948">
        <v>20900</v>
      </c>
      <c r="F81" s="2948"/>
      <c r="G81" s="2948"/>
    </row>
    <row r="82" spans="1:7" s="2781" customFormat="1" ht="14.25" customHeight="1">
      <c r="A82" s="2948" t="s">
        <v>110</v>
      </c>
      <c r="B82" s="2948" t="s">
        <v>2955</v>
      </c>
      <c r="C82" s="2948"/>
      <c r="D82" s="2948"/>
      <c r="E82" s="2948">
        <v>20840</v>
      </c>
      <c r="F82" s="2948"/>
      <c r="G82" s="2948"/>
    </row>
    <row r="83" spans="1:7" s="2781" customFormat="1" ht="14.25" customHeight="1">
      <c r="A83" s="2948" t="s">
        <v>110</v>
      </c>
      <c r="B83" s="2948" t="s">
        <v>3066</v>
      </c>
      <c r="C83" s="2948"/>
      <c r="D83" s="2948"/>
      <c r="E83" s="2948"/>
      <c r="F83" s="2948">
        <v>4770</v>
      </c>
      <c r="G83" s="2948"/>
    </row>
    <row r="84" spans="1:7" s="2781" customFormat="1" ht="14.25" customHeight="1">
      <c r="A84" s="2948" t="s">
        <v>110</v>
      </c>
      <c r="B84" s="2948" t="s">
        <v>3067</v>
      </c>
      <c r="C84" s="2948"/>
      <c r="D84" s="2948"/>
      <c r="E84" s="2948"/>
      <c r="F84" s="2948">
        <v>4600</v>
      </c>
      <c r="G84" s="2948"/>
    </row>
    <row r="85" spans="1:7" s="2781" customFormat="1" ht="14.25" customHeight="1">
      <c r="A85" s="2948" t="s">
        <v>110</v>
      </c>
      <c r="B85" s="2948" t="s">
        <v>3068</v>
      </c>
      <c r="C85" s="2948"/>
      <c r="D85" s="2948"/>
      <c r="E85" s="2948"/>
      <c r="F85" s="2948">
        <v>4680</v>
      </c>
      <c r="G85" s="2948"/>
    </row>
    <row r="86" spans="1:7" s="2781" customFormat="1" ht="14.25" customHeight="1" thickBot="1">
      <c r="A86" s="2956" t="s">
        <v>110</v>
      </c>
      <c r="B86" s="2958" t="s">
        <v>3069</v>
      </c>
      <c r="C86" s="2959">
        <v>16610</v>
      </c>
      <c r="D86" s="2959">
        <v>16540</v>
      </c>
      <c r="E86" s="2959">
        <v>18850</v>
      </c>
      <c r="F86" s="2959"/>
      <c r="G86" s="2959">
        <v>11220</v>
      </c>
    </row>
    <row r="87" spans="1:7" s="2781" customFormat="1" ht="14.25" customHeight="1">
      <c r="A87" s="2953" t="s">
        <v>303</v>
      </c>
      <c r="B87" s="2944" t="s">
        <v>3070</v>
      </c>
      <c r="C87" s="2944">
        <v>15240</v>
      </c>
      <c r="D87" s="2944">
        <v>15170</v>
      </c>
      <c r="E87" s="2944">
        <v>18260</v>
      </c>
      <c r="F87" s="2944">
        <v>3830</v>
      </c>
      <c r="G87" s="2960">
        <v>10020</v>
      </c>
    </row>
    <row r="88" spans="1:7" s="2781" customFormat="1" ht="14.25" customHeight="1">
      <c r="A88" s="2948" t="s">
        <v>303</v>
      </c>
      <c r="B88" s="2948" t="s">
        <v>131</v>
      </c>
      <c r="C88" s="2948">
        <v>17310</v>
      </c>
      <c r="D88" s="2948">
        <v>17220</v>
      </c>
      <c r="E88" s="2948">
        <v>18610</v>
      </c>
      <c r="F88" s="2948">
        <v>3990</v>
      </c>
      <c r="G88" s="2961">
        <v>11380</v>
      </c>
    </row>
    <row r="89" spans="1:7" s="2781" customFormat="1" ht="14.25" customHeight="1">
      <c r="A89" s="2948" t="s">
        <v>303</v>
      </c>
      <c r="B89" s="2948" t="s">
        <v>140</v>
      </c>
      <c r="C89" s="2948">
        <v>15600</v>
      </c>
      <c r="D89" s="2948">
        <v>15550</v>
      </c>
      <c r="E89" s="2948">
        <v>19200</v>
      </c>
      <c r="F89" s="2948">
        <v>4110</v>
      </c>
      <c r="G89" s="2961">
        <v>10270</v>
      </c>
    </row>
    <row r="90" spans="1:7" s="2781" customFormat="1" ht="14.25" customHeight="1">
      <c r="A90" s="2948" t="s">
        <v>303</v>
      </c>
      <c r="B90" s="2948" t="s">
        <v>149</v>
      </c>
      <c r="C90" s="2948">
        <v>17330</v>
      </c>
      <c r="D90" s="2948">
        <v>17240</v>
      </c>
      <c r="E90" s="2948">
        <v>18570</v>
      </c>
      <c r="F90" s="2948">
        <v>4070</v>
      </c>
      <c r="G90" s="2961">
        <v>11390</v>
      </c>
    </row>
    <row r="91" spans="1:7" s="2781" customFormat="1" ht="14.25" customHeight="1">
      <c r="A91" s="2948" t="s">
        <v>303</v>
      </c>
      <c r="B91" s="2948" t="s">
        <v>158</v>
      </c>
      <c r="C91" s="2948">
        <v>16330</v>
      </c>
      <c r="D91" s="2948">
        <v>16260</v>
      </c>
      <c r="E91" s="2948">
        <v>16800</v>
      </c>
      <c r="F91" s="2948">
        <v>3410</v>
      </c>
      <c r="G91" s="2961">
        <v>10740</v>
      </c>
    </row>
    <row r="92" spans="1:7" s="2781" customFormat="1" ht="14.25" customHeight="1">
      <c r="A92" s="2948" t="s">
        <v>303</v>
      </c>
      <c r="B92" s="2948" t="s">
        <v>165</v>
      </c>
      <c r="C92" s="2948">
        <v>15570</v>
      </c>
      <c r="D92" s="2948">
        <v>15500</v>
      </c>
      <c r="E92" s="2948">
        <v>17360</v>
      </c>
      <c r="F92" s="2948">
        <v>3510</v>
      </c>
      <c r="G92" s="2961">
        <v>10240</v>
      </c>
    </row>
    <row r="93" spans="1:7" s="2781" customFormat="1" ht="14.25" customHeight="1">
      <c r="A93" s="2948" t="s">
        <v>303</v>
      </c>
      <c r="B93" s="2948" t="s">
        <v>171</v>
      </c>
      <c r="C93" s="2948">
        <v>14000</v>
      </c>
      <c r="D93" s="2948">
        <v>13930</v>
      </c>
      <c r="E93" s="2948">
        <v>18200</v>
      </c>
      <c r="F93" s="2948">
        <v>3640</v>
      </c>
      <c r="G93" s="2961">
        <v>9210</v>
      </c>
    </row>
    <row r="94" spans="1:7" s="2781" customFormat="1" ht="14.25" customHeight="1">
      <c r="A94" s="2948" t="s">
        <v>303</v>
      </c>
      <c r="B94" s="2948" t="s">
        <v>178</v>
      </c>
      <c r="C94" s="2948">
        <v>14530</v>
      </c>
      <c r="D94" s="2948">
        <v>14470</v>
      </c>
      <c r="E94" s="2948">
        <v>18240</v>
      </c>
      <c r="F94" s="2948">
        <v>3180</v>
      </c>
      <c r="G94" s="2961">
        <v>9560</v>
      </c>
    </row>
    <row r="95" spans="1:7" s="2781" customFormat="1" ht="14.25" customHeight="1">
      <c r="A95" s="2948" t="s">
        <v>303</v>
      </c>
      <c r="B95" s="2948" t="s">
        <v>188</v>
      </c>
      <c r="C95" s="2948">
        <v>17330</v>
      </c>
      <c r="D95" s="2948">
        <v>17260</v>
      </c>
      <c r="E95" s="2948">
        <v>18420</v>
      </c>
      <c r="F95" s="2948">
        <v>3060</v>
      </c>
      <c r="G95" s="2961">
        <v>11410</v>
      </c>
    </row>
    <row r="96" spans="1:7" s="2781" customFormat="1" ht="14.25" customHeight="1">
      <c r="A96" s="2948" t="s">
        <v>303</v>
      </c>
      <c r="B96" s="2948" t="s">
        <v>197</v>
      </c>
      <c r="C96" s="2948">
        <v>15030</v>
      </c>
      <c r="D96" s="2948">
        <v>14970</v>
      </c>
      <c r="E96" s="2948">
        <v>17580</v>
      </c>
      <c r="F96" s="2948">
        <v>2970</v>
      </c>
      <c r="G96" s="2961">
        <v>9890</v>
      </c>
    </row>
    <row r="97" spans="1:7" s="2781" customFormat="1" ht="14.25" customHeight="1">
      <c r="A97" s="2948" t="s">
        <v>303</v>
      </c>
      <c r="B97" s="2948" t="s">
        <v>204</v>
      </c>
      <c r="C97" s="2948">
        <v>17400</v>
      </c>
      <c r="D97" s="2948">
        <v>17330</v>
      </c>
      <c r="E97" s="2948">
        <v>16430</v>
      </c>
      <c r="F97" s="2948">
        <v>2950</v>
      </c>
      <c r="G97" s="2961">
        <v>11450</v>
      </c>
    </row>
    <row r="98" spans="1:7" s="2781" customFormat="1" ht="14.25" customHeight="1">
      <c r="A98" s="2948" t="s">
        <v>303</v>
      </c>
      <c r="B98" s="2948" t="s">
        <v>211</v>
      </c>
      <c r="C98" s="2948">
        <v>15200</v>
      </c>
      <c r="D98" s="2948">
        <v>15120</v>
      </c>
      <c r="E98" s="2948">
        <v>17550</v>
      </c>
      <c r="F98" s="2948">
        <v>3080</v>
      </c>
      <c r="G98" s="2961">
        <v>9990</v>
      </c>
    </row>
    <row r="99" spans="1:7" s="2781" customFormat="1" ht="14.25" customHeight="1">
      <c r="A99" s="2948" t="s">
        <v>303</v>
      </c>
      <c r="B99" s="2948" t="s">
        <v>217</v>
      </c>
      <c r="C99" s="2948">
        <v>17520</v>
      </c>
      <c r="D99" s="2948">
        <v>17430</v>
      </c>
      <c r="E99" s="2948">
        <v>16350</v>
      </c>
      <c r="F99" s="2948">
        <v>3260</v>
      </c>
      <c r="G99" s="2961">
        <v>11510</v>
      </c>
    </row>
    <row r="100" spans="1:7" s="2781" customFormat="1" ht="14.25" customHeight="1">
      <c r="A100" s="2948" t="s">
        <v>303</v>
      </c>
      <c r="B100" s="2948" t="s">
        <v>225</v>
      </c>
      <c r="C100" s="2948">
        <v>15340</v>
      </c>
      <c r="D100" s="2948">
        <v>15260</v>
      </c>
      <c r="E100" s="2948">
        <v>15930</v>
      </c>
      <c r="F100" s="2948">
        <v>2740</v>
      </c>
      <c r="G100" s="2961">
        <v>10080</v>
      </c>
    </row>
    <row r="101" spans="1:7" s="2781" customFormat="1" ht="14.25" customHeight="1">
      <c r="A101" s="2948" t="s">
        <v>303</v>
      </c>
      <c r="B101" s="2948" t="s">
        <v>233</v>
      </c>
      <c r="C101" s="2948">
        <v>14620</v>
      </c>
      <c r="D101" s="2948">
        <v>14560</v>
      </c>
      <c r="E101" s="2948">
        <v>15570</v>
      </c>
      <c r="F101" s="2948">
        <v>3500</v>
      </c>
      <c r="G101" s="2961">
        <v>9630</v>
      </c>
    </row>
    <row r="102" spans="1:7" s="2781" customFormat="1" ht="14.25" customHeight="1">
      <c r="A102" s="2948" t="s">
        <v>303</v>
      </c>
      <c r="B102" s="2948" t="s">
        <v>238</v>
      </c>
      <c r="C102" s="2948">
        <v>13680</v>
      </c>
      <c r="D102" s="2948">
        <v>13610</v>
      </c>
      <c r="E102" s="2948">
        <v>15690</v>
      </c>
      <c r="F102" s="2948">
        <v>2870</v>
      </c>
      <c r="G102" s="2961">
        <v>8990</v>
      </c>
    </row>
    <row r="103" spans="1:7" s="2781" customFormat="1" ht="14.25" customHeight="1">
      <c r="A103" s="2948" t="s">
        <v>303</v>
      </c>
      <c r="B103" s="2948" t="s">
        <v>247</v>
      </c>
      <c r="C103" s="2948">
        <v>14620</v>
      </c>
      <c r="D103" s="2948">
        <v>14540</v>
      </c>
      <c r="E103" s="2948">
        <v>15240</v>
      </c>
      <c r="F103" s="2948">
        <v>2840</v>
      </c>
      <c r="G103" s="2961">
        <v>9610</v>
      </c>
    </row>
    <row r="104" spans="1:7" s="2781" customFormat="1" ht="14.25" customHeight="1">
      <c r="A104" s="2948" t="s">
        <v>303</v>
      </c>
      <c r="B104" s="2948" t="s">
        <v>254</v>
      </c>
      <c r="C104" s="2948">
        <v>13610</v>
      </c>
      <c r="D104" s="2948">
        <v>13540</v>
      </c>
      <c r="E104" s="2948">
        <v>15750</v>
      </c>
      <c r="F104" s="2948">
        <v>2770</v>
      </c>
      <c r="G104" s="2961">
        <v>8940</v>
      </c>
    </row>
    <row r="105" spans="1:7" s="2781" customFormat="1" ht="14.25" customHeight="1">
      <c r="A105" s="2948" t="s">
        <v>303</v>
      </c>
      <c r="B105" s="2948" t="s">
        <v>262</v>
      </c>
      <c r="C105" s="2948">
        <v>13310</v>
      </c>
      <c r="D105" s="2948">
        <v>13240</v>
      </c>
      <c r="E105" s="2948">
        <v>16280</v>
      </c>
      <c r="F105" s="2948">
        <v>3210</v>
      </c>
      <c r="G105" s="2961">
        <v>8750</v>
      </c>
    </row>
    <row r="106" spans="1:7" s="2781" customFormat="1" ht="14.25" customHeight="1">
      <c r="A106" s="2948" t="s">
        <v>303</v>
      </c>
      <c r="B106" s="2948" t="s">
        <v>269</v>
      </c>
      <c r="C106" s="2948">
        <v>13010</v>
      </c>
      <c r="D106" s="2948">
        <v>12930</v>
      </c>
      <c r="E106" s="2948">
        <v>14960</v>
      </c>
      <c r="F106" s="2948">
        <v>3530</v>
      </c>
      <c r="G106" s="2961">
        <v>8550</v>
      </c>
    </row>
    <row r="107" spans="1:7" s="2781" customFormat="1" ht="14.25" customHeight="1">
      <c r="A107" s="2948" t="s">
        <v>303</v>
      </c>
      <c r="B107" s="2948" t="s">
        <v>273</v>
      </c>
      <c r="C107" s="2948">
        <v>13070</v>
      </c>
      <c r="D107" s="2948">
        <v>13000</v>
      </c>
      <c r="E107" s="2948">
        <v>15910</v>
      </c>
      <c r="F107" s="2948">
        <v>3990</v>
      </c>
      <c r="G107" s="2961">
        <v>8580</v>
      </c>
    </row>
    <row r="108" spans="1:7" s="2781" customFormat="1" ht="14.25" customHeight="1">
      <c r="A108" s="2948" t="s">
        <v>303</v>
      </c>
      <c r="B108" s="2948" t="s">
        <v>279</v>
      </c>
      <c r="C108" s="2948">
        <v>12640</v>
      </c>
      <c r="D108" s="2948">
        <v>12580</v>
      </c>
      <c r="E108" s="2948">
        <v>15730</v>
      </c>
      <c r="F108" s="2948"/>
      <c r="G108" s="2961">
        <v>8310</v>
      </c>
    </row>
    <row r="109" spans="1:7" s="2781" customFormat="1" ht="14.25" customHeight="1">
      <c r="A109" s="2948" t="s">
        <v>303</v>
      </c>
      <c r="B109" s="2948" t="s">
        <v>282</v>
      </c>
      <c r="C109" s="2948">
        <v>13130</v>
      </c>
      <c r="D109" s="2948">
        <v>13070</v>
      </c>
      <c r="E109" s="2948">
        <v>15000</v>
      </c>
      <c r="F109" s="2948"/>
      <c r="G109" s="2961">
        <v>8630</v>
      </c>
    </row>
    <row r="110" spans="1:7" s="2781" customFormat="1" ht="14.25" customHeight="1">
      <c r="A110" s="2948" t="s">
        <v>303</v>
      </c>
      <c r="B110" s="2948" t="s">
        <v>284</v>
      </c>
      <c r="C110" s="2948">
        <v>13560</v>
      </c>
      <c r="D110" s="2948">
        <v>13490</v>
      </c>
      <c r="E110" s="2948">
        <v>16300</v>
      </c>
      <c r="F110" s="2948"/>
      <c r="G110" s="2961">
        <v>8920</v>
      </c>
    </row>
    <row r="111" spans="1:7" s="2781" customFormat="1" ht="14.25" customHeight="1">
      <c r="A111" s="2948" t="s">
        <v>303</v>
      </c>
      <c r="B111" s="2948" t="s">
        <v>287</v>
      </c>
      <c r="C111" s="2948">
        <v>12440</v>
      </c>
      <c r="D111" s="2948">
        <v>12380</v>
      </c>
      <c r="E111" s="2948">
        <v>17850</v>
      </c>
      <c r="F111" s="2948"/>
      <c r="G111" s="2961">
        <v>8180</v>
      </c>
    </row>
    <row r="112" spans="1:7" s="2781" customFormat="1" ht="14.25" customHeight="1">
      <c r="A112" s="2948" t="s">
        <v>303</v>
      </c>
      <c r="B112" s="2948" t="s">
        <v>291</v>
      </c>
      <c r="C112" s="2948">
        <v>13260</v>
      </c>
      <c r="D112" s="2948">
        <v>13180</v>
      </c>
      <c r="E112" s="2948">
        <v>19740</v>
      </c>
      <c r="F112" s="2948"/>
      <c r="G112" s="2961">
        <v>8710</v>
      </c>
    </row>
    <row r="113" spans="1:7" s="2781" customFormat="1" ht="14.25" customHeight="1">
      <c r="A113" s="2948" t="s">
        <v>303</v>
      </c>
      <c r="B113" s="2948" t="s">
        <v>2949</v>
      </c>
      <c r="C113" s="2948">
        <v>15520</v>
      </c>
      <c r="D113" s="2948">
        <v>15450</v>
      </c>
      <c r="E113" s="2948"/>
      <c r="F113" s="2948"/>
      <c r="G113" s="2961">
        <v>10210</v>
      </c>
    </row>
    <row r="114" spans="1:7" s="2781" customFormat="1" ht="14.25" customHeight="1">
      <c r="A114" s="2948" t="s">
        <v>303</v>
      </c>
      <c r="B114" s="2948" t="s">
        <v>2956</v>
      </c>
      <c r="C114" s="2948">
        <v>13110</v>
      </c>
      <c r="D114" s="2948">
        <v>13050</v>
      </c>
      <c r="E114" s="2948"/>
      <c r="F114" s="2948"/>
      <c r="G114" s="2961">
        <v>8620</v>
      </c>
    </row>
    <row r="115" spans="1:7" s="2781" customFormat="1" ht="14.25" customHeight="1">
      <c r="A115" s="2948" t="s">
        <v>303</v>
      </c>
      <c r="B115" s="2948" t="s">
        <v>2962</v>
      </c>
      <c r="C115" s="2948">
        <v>12460</v>
      </c>
      <c r="D115" s="2948">
        <v>12390</v>
      </c>
      <c r="E115" s="2948"/>
      <c r="F115" s="2948"/>
      <c r="G115" s="2961">
        <v>8190</v>
      </c>
    </row>
    <row r="116" spans="1:7" s="2781" customFormat="1" ht="14.25" customHeight="1">
      <c r="A116" s="2948" t="s">
        <v>303</v>
      </c>
      <c r="B116" s="2948" t="s">
        <v>2969</v>
      </c>
      <c r="C116" s="2948">
        <v>13580</v>
      </c>
      <c r="D116" s="2948">
        <v>13520</v>
      </c>
      <c r="E116" s="2948"/>
      <c r="F116" s="2948"/>
      <c r="G116" s="2961">
        <v>8930</v>
      </c>
    </row>
    <row r="117" spans="1:7" s="2781" customFormat="1" ht="14.25" customHeight="1">
      <c r="A117" s="2948" t="s">
        <v>303</v>
      </c>
      <c r="B117" s="2948" t="s">
        <v>2976</v>
      </c>
      <c r="C117" s="2948">
        <v>17120</v>
      </c>
      <c r="D117" s="2948">
        <v>17040</v>
      </c>
      <c r="E117" s="2948"/>
      <c r="F117" s="2948"/>
      <c r="G117" s="2961">
        <v>11260</v>
      </c>
    </row>
    <row r="118" spans="1:7" s="2781" customFormat="1" ht="14.25" customHeight="1">
      <c r="A118" s="2948" t="s">
        <v>303</v>
      </c>
      <c r="B118" s="2948" t="s">
        <v>2981</v>
      </c>
      <c r="C118" s="2948">
        <v>14860</v>
      </c>
      <c r="D118" s="2948">
        <v>14790</v>
      </c>
      <c r="E118" s="2948"/>
      <c r="F118" s="2948"/>
      <c r="G118" s="2961">
        <v>9780</v>
      </c>
    </row>
    <row r="119" spans="1:7" s="2781" customFormat="1" ht="14.25" customHeight="1">
      <c r="A119" s="2948" t="s">
        <v>303</v>
      </c>
      <c r="B119" s="2948" t="s">
        <v>2985</v>
      </c>
      <c r="C119" s="2948">
        <v>16470</v>
      </c>
      <c r="D119" s="2948">
        <v>16400</v>
      </c>
      <c r="E119" s="2948"/>
      <c r="F119" s="2948"/>
      <c r="G119" s="2961">
        <v>10840</v>
      </c>
    </row>
    <row r="120" spans="1:7" s="2781" customFormat="1" ht="14.25" customHeight="1">
      <c r="A120" s="2948" t="s">
        <v>303</v>
      </c>
      <c r="B120" s="2948" t="s">
        <v>3071</v>
      </c>
      <c r="C120" s="2948"/>
      <c r="D120" s="2948"/>
      <c r="E120" s="2948"/>
      <c r="F120" s="2948">
        <v>4160</v>
      </c>
      <c r="G120" s="2961"/>
    </row>
    <row r="121" spans="1:7" s="2781" customFormat="1" ht="14.25" customHeight="1">
      <c r="A121" s="2948" t="s">
        <v>303</v>
      </c>
      <c r="B121" s="2948" t="s">
        <v>3072</v>
      </c>
      <c r="C121" s="2948"/>
      <c r="D121" s="2948"/>
      <c r="E121" s="2948"/>
      <c r="F121" s="2948">
        <v>3880</v>
      </c>
      <c r="G121" s="2961"/>
    </row>
    <row r="122" spans="1:7" s="2781" customFormat="1" ht="14.25" customHeight="1">
      <c r="A122" s="2948" t="s">
        <v>303</v>
      </c>
      <c r="B122" s="2948" t="s">
        <v>3073</v>
      </c>
      <c r="C122" s="2948">
        <v>13750</v>
      </c>
      <c r="D122" s="2948">
        <v>13680</v>
      </c>
      <c r="E122" s="2948">
        <v>16460</v>
      </c>
      <c r="F122" s="2948">
        <v>2880</v>
      </c>
      <c r="G122" s="2961">
        <v>9040</v>
      </c>
    </row>
    <row r="123" spans="1:7" s="2781" customFormat="1" ht="14.25" customHeight="1">
      <c r="A123" s="2948" t="s">
        <v>303</v>
      </c>
      <c r="B123" s="2948" t="s">
        <v>3004</v>
      </c>
      <c r="C123" s="2948">
        <v>13590</v>
      </c>
      <c r="D123" s="2948">
        <v>13520</v>
      </c>
      <c r="E123" s="2948">
        <v>16290</v>
      </c>
      <c r="F123" s="2948">
        <v>2790</v>
      </c>
      <c r="G123" s="2961">
        <v>8930</v>
      </c>
    </row>
    <row r="124" spans="1:7" s="2781" customFormat="1" ht="14.25" customHeight="1">
      <c r="A124" s="2948" t="s">
        <v>303</v>
      </c>
      <c r="B124" s="2948" t="s">
        <v>3009</v>
      </c>
      <c r="C124" s="2948">
        <v>13400</v>
      </c>
      <c r="D124" s="2948">
        <v>13320</v>
      </c>
      <c r="E124" s="2948">
        <v>16100</v>
      </c>
      <c r="F124" s="2948">
        <v>2320</v>
      </c>
      <c r="G124" s="2961">
        <v>8800</v>
      </c>
    </row>
    <row r="125" spans="1:7" s="2781" customFormat="1" ht="14.25" customHeight="1">
      <c r="A125" s="2948" t="s">
        <v>303</v>
      </c>
      <c r="B125" s="2948" t="s">
        <v>3014</v>
      </c>
      <c r="C125" s="2948">
        <v>12860</v>
      </c>
      <c r="D125" s="2948">
        <v>12790</v>
      </c>
      <c r="E125" s="2948">
        <v>15370</v>
      </c>
      <c r="F125" s="2948">
        <v>2280</v>
      </c>
      <c r="G125" s="2961">
        <v>8450</v>
      </c>
    </row>
    <row r="126" spans="1:7" s="2781" customFormat="1" ht="14.25" customHeight="1" thickBot="1">
      <c r="A126" s="2962" t="s">
        <v>303</v>
      </c>
      <c r="B126" s="2955" t="s">
        <v>3019</v>
      </c>
      <c r="C126" s="2955">
        <v>12960</v>
      </c>
      <c r="D126" s="2955">
        <v>12890</v>
      </c>
      <c r="E126" s="2955">
        <v>15530</v>
      </c>
      <c r="F126" s="2955">
        <v>2910</v>
      </c>
      <c r="G126" s="2963">
        <v>8520</v>
      </c>
    </row>
    <row r="127" spans="1:7" s="2781" customFormat="1" ht="14.25" customHeight="1">
      <c r="A127" s="2953" t="s">
        <v>29</v>
      </c>
      <c r="B127" s="2944" t="s">
        <v>3074</v>
      </c>
      <c r="C127" s="2948">
        <v>12280</v>
      </c>
      <c r="D127" s="2948">
        <v>12250</v>
      </c>
      <c r="E127" s="2948">
        <v>15130</v>
      </c>
      <c r="F127" s="2948">
        <v>2710</v>
      </c>
      <c r="G127" s="2948">
        <v>7870</v>
      </c>
    </row>
    <row r="128" spans="1:7" s="2781" customFormat="1" ht="14.25" customHeight="1">
      <c r="A128" s="2948" t="s">
        <v>29</v>
      </c>
      <c r="B128" s="2948" t="s">
        <v>132</v>
      </c>
      <c r="C128" s="2948">
        <v>13180</v>
      </c>
      <c r="D128" s="2948">
        <v>13150</v>
      </c>
      <c r="E128" s="2948">
        <v>16190</v>
      </c>
      <c r="F128" s="2948">
        <v>2820</v>
      </c>
      <c r="G128" s="2948">
        <v>8460</v>
      </c>
    </row>
    <row r="129" spans="1:7" s="2781" customFormat="1" ht="14.25" customHeight="1">
      <c r="A129" s="2948" t="s">
        <v>29</v>
      </c>
      <c r="B129" s="2948" t="s">
        <v>141</v>
      </c>
      <c r="C129" s="2948">
        <v>10950</v>
      </c>
      <c r="D129" s="2948">
        <v>10920</v>
      </c>
      <c r="E129" s="2948">
        <v>13820</v>
      </c>
      <c r="F129" s="2948">
        <v>2500</v>
      </c>
      <c r="G129" s="2948">
        <v>7020</v>
      </c>
    </row>
    <row r="130" spans="1:7" s="2781" customFormat="1" ht="14.25" customHeight="1">
      <c r="A130" s="2948" t="s">
        <v>29</v>
      </c>
      <c r="B130" s="2948" t="s">
        <v>150</v>
      </c>
      <c r="C130" s="2948">
        <v>10910</v>
      </c>
      <c r="D130" s="2948">
        <v>10860</v>
      </c>
      <c r="E130" s="2948">
        <v>13730</v>
      </c>
      <c r="F130" s="2948">
        <v>2760</v>
      </c>
      <c r="G130" s="2948">
        <v>6990</v>
      </c>
    </row>
    <row r="131" spans="1:7" s="2781" customFormat="1" ht="14.25" customHeight="1">
      <c r="A131" s="2948" t="s">
        <v>29</v>
      </c>
      <c r="B131" s="2948" t="s">
        <v>159</v>
      </c>
      <c r="C131" s="2948">
        <v>12910</v>
      </c>
      <c r="D131" s="2948">
        <v>12870</v>
      </c>
      <c r="E131" s="2948">
        <v>15720</v>
      </c>
      <c r="F131" s="2948">
        <v>2750</v>
      </c>
      <c r="G131" s="2948">
        <v>8280</v>
      </c>
    </row>
    <row r="132" spans="1:7" s="2781" customFormat="1" ht="14.25" customHeight="1">
      <c r="A132" s="2948" t="s">
        <v>29</v>
      </c>
      <c r="B132" s="2948" t="s">
        <v>166</v>
      </c>
      <c r="C132" s="2948">
        <v>11910</v>
      </c>
      <c r="D132" s="2948">
        <v>11860</v>
      </c>
      <c r="E132" s="2948">
        <v>14730</v>
      </c>
      <c r="F132" s="2948">
        <v>2360</v>
      </c>
      <c r="G132" s="2948">
        <v>7630</v>
      </c>
    </row>
    <row r="133" spans="1:7" s="2781" customFormat="1" ht="14.25" customHeight="1">
      <c r="A133" s="2948" t="s">
        <v>29</v>
      </c>
      <c r="B133" s="2948" t="s">
        <v>172</v>
      </c>
      <c r="C133" s="2948">
        <v>12270</v>
      </c>
      <c r="D133" s="2948">
        <v>12210</v>
      </c>
      <c r="E133" s="2948">
        <v>15010</v>
      </c>
      <c r="F133" s="2948">
        <v>2580</v>
      </c>
      <c r="G133" s="2948">
        <v>7860</v>
      </c>
    </row>
    <row r="134" spans="1:7" s="2781" customFormat="1" ht="14.25" customHeight="1">
      <c r="A134" s="2948" t="s">
        <v>29</v>
      </c>
      <c r="B134" s="2948" t="s">
        <v>179</v>
      </c>
      <c r="C134" s="2948">
        <v>10800</v>
      </c>
      <c r="D134" s="2948">
        <v>10780</v>
      </c>
      <c r="E134" s="2948">
        <v>13640</v>
      </c>
      <c r="F134" s="2948">
        <v>2110</v>
      </c>
      <c r="G134" s="2948">
        <v>6930</v>
      </c>
    </row>
    <row r="135" spans="1:7" s="2781" customFormat="1" ht="14.25" customHeight="1">
      <c r="A135" s="2948" t="s">
        <v>29</v>
      </c>
      <c r="B135" s="2948" t="s">
        <v>189</v>
      </c>
      <c r="C135" s="2948">
        <v>10430</v>
      </c>
      <c r="D135" s="2948">
        <v>10390</v>
      </c>
      <c r="E135" s="2948">
        <v>13140</v>
      </c>
      <c r="F135" s="2948">
        <v>2240</v>
      </c>
      <c r="G135" s="2948">
        <v>6680</v>
      </c>
    </row>
    <row r="136" spans="1:7" s="2781" customFormat="1" ht="14.25" customHeight="1">
      <c r="A136" s="2948" t="s">
        <v>29</v>
      </c>
      <c r="B136" s="2948" t="s">
        <v>198</v>
      </c>
      <c r="C136" s="2948">
        <v>11930</v>
      </c>
      <c r="D136" s="2948">
        <v>11880</v>
      </c>
      <c r="E136" s="2948">
        <v>14770</v>
      </c>
      <c r="F136" s="2948">
        <v>1970</v>
      </c>
      <c r="G136" s="2948">
        <v>7640</v>
      </c>
    </row>
    <row r="137" spans="1:7" s="2781" customFormat="1" ht="14.25" customHeight="1">
      <c r="A137" s="2948" t="s">
        <v>29</v>
      </c>
      <c r="B137" s="2948" t="s">
        <v>205</v>
      </c>
      <c r="C137" s="2948">
        <v>10470</v>
      </c>
      <c r="D137" s="2948">
        <v>10430</v>
      </c>
      <c r="E137" s="2948">
        <v>13190</v>
      </c>
      <c r="F137" s="2948">
        <v>1990</v>
      </c>
      <c r="G137" s="2948">
        <v>6710</v>
      </c>
    </row>
    <row r="138" spans="1:7" s="2781" customFormat="1" ht="14.25" customHeight="1">
      <c r="A138" s="2948" t="s">
        <v>29</v>
      </c>
      <c r="B138" s="2948" t="s">
        <v>212</v>
      </c>
      <c r="C138" s="2948">
        <v>10410</v>
      </c>
      <c r="D138" s="2948">
        <v>10380</v>
      </c>
      <c r="E138" s="2948">
        <v>13130</v>
      </c>
      <c r="F138" s="2948">
        <v>2030</v>
      </c>
      <c r="G138" s="2948">
        <v>6680</v>
      </c>
    </row>
    <row r="139" spans="1:7" s="2781" customFormat="1" ht="14.25" customHeight="1">
      <c r="A139" s="2948" t="s">
        <v>29</v>
      </c>
      <c r="B139" s="2948" t="s">
        <v>218</v>
      </c>
      <c r="C139" s="2948">
        <v>9460</v>
      </c>
      <c r="D139" s="2948">
        <v>9410</v>
      </c>
      <c r="E139" s="2948">
        <v>12050</v>
      </c>
      <c r="F139" s="2948">
        <v>2140</v>
      </c>
      <c r="G139" s="2948">
        <v>6050</v>
      </c>
    </row>
    <row r="140" spans="1:7" s="2781" customFormat="1" ht="14.25" customHeight="1">
      <c r="A140" s="2948" t="s">
        <v>29</v>
      </c>
      <c r="B140" s="2948" t="s">
        <v>226</v>
      </c>
      <c r="C140" s="2948">
        <v>11030</v>
      </c>
      <c r="D140" s="2948">
        <v>10980</v>
      </c>
      <c r="E140" s="2948">
        <v>13880</v>
      </c>
      <c r="F140" s="2948">
        <v>2210</v>
      </c>
      <c r="G140" s="2948">
        <v>7060</v>
      </c>
    </row>
    <row r="141" spans="1:7" s="2781" customFormat="1" ht="14.25" customHeight="1">
      <c r="A141" s="2948" t="s">
        <v>29</v>
      </c>
      <c r="B141" s="2948" t="s">
        <v>234</v>
      </c>
      <c r="C141" s="2948">
        <v>11200</v>
      </c>
      <c r="D141" s="2948">
        <v>11150</v>
      </c>
      <c r="E141" s="2948">
        <v>14100</v>
      </c>
      <c r="F141" s="2948">
        <v>2470</v>
      </c>
      <c r="G141" s="2948">
        <v>7170</v>
      </c>
    </row>
    <row r="142" spans="1:7" s="2781" customFormat="1" ht="14.25" customHeight="1">
      <c r="A142" s="2948" t="s">
        <v>29</v>
      </c>
      <c r="B142" s="2948" t="s">
        <v>239</v>
      </c>
      <c r="C142" s="2948">
        <v>10780</v>
      </c>
      <c r="D142" s="2948">
        <v>10730</v>
      </c>
      <c r="E142" s="2948">
        <v>13540</v>
      </c>
      <c r="F142" s="2948">
        <v>2280</v>
      </c>
      <c r="G142" s="2948">
        <v>6900</v>
      </c>
    </row>
    <row r="143" spans="1:7" s="2781" customFormat="1" ht="14.25" customHeight="1">
      <c r="A143" s="2948" t="s">
        <v>29</v>
      </c>
      <c r="B143" s="2948" t="s">
        <v>248</v>
      </c>
      <c r="C143" s="2948">
        <v>11550</v>
      </c>
      <c r="D143" s="2948">
        <v>11490</v>
      </c>
      <c r="E143" s="2948">
        <v>14480</v>
      </c>
      <c r="F143" s="2948">
        <v>2070</v>
      </c>
      <c r="G143" s="2948">
        <v>7390</v>
      </c>
    </row>
    <row r="144" spans="1:7" s="2781" customFormat="1" ht="14.25" customHeight="1">
      <c r="A144" s="2948" t="s">
        <v>29</v>
      </c>
      <c r="B144" s="2948" t="s">
        <v>255</v>
      </c>
      <c r="C144" s="2948">
        <v>10720</v>
      </c>
      <c r="D144" s="2948">
        <v>10680</v>
      </c>
      <c r="E144" s="2948">
        <v>13480</v>
      </c>
      <c r="F144" s="2948">
        <v>2440</v>
      </c>
      <c r="G144" s="2948">
        <v>6870</v>
      </c>
    </row>
    <row r="145" spans="1:7" s="2781" customFormat="1" ht="14.25" customHeight="1">
      <c r="A145" s="2948" t="s">
        <v>29</v>
      </c>
      <c r="B145" s="2948" t="s">
        <v>263</v>
      </c>
      <c r="C145" s="2948">
        <v>10340</v>
      </c>
      <c r="D145" s="2948">
        <v>10290</v>
      </c>
      <c r="E145" s="2948">
        <v>12880</v>
      </c>
      <c r="F145" s="2948">
        <v>2650</v>
      </c>
      <c r="G145" s="2948">
        <v>6620</v>
      </c>
    </row>
    <row r="146" spans="1:7" s="2781" customFormat="1" ht="14.25" customHeight="1">
      <c r="A146" s="2948" t="s">
        <v>29</v>
      </c>
      <c r="B146" s="2948" t="s">
        <v>270</v>
      </c>
      <c r="C146" s="2948">
        <v>11890</v>
      </c>
      <c r="D146" s="2948">
        <v>11830</v>
      </c>
      <c r="E146" s="2948">
        <v>14670</v>
      </c>
      <c r="F146" s="2948"/>
      <c r="G146" s="2948">
        <v>7610</v>
      </c>
    </row>
    <row r="147" spans="1:7" s="2781" customFormat="1" ht="14.25" customHeight="1">
      <c r="A147" s="2948" t="s">
        <v>29</v>
      </c>
      <c r="B147" s="2948" t="s">
        <v>274</v>
      </c>
      <c r="C147" s="2948">
        <v>12650</v>
      </c>
      <c r="D147" s="2948">
        <v>12600</v>
      </c>
      <c r="E147" s="2948">
        <v>15440</v>
      </c>
      <c r="F147" s="2948"/>
      <c r="G147" s="2948">
        <v>8110</v>
      </c>
    </row>
    <row r="148" spans="1:7" s="2781" customFormat="1" ht="14.25" customHeight="1">
      <c r="A148" s="2948" t="s">
        <v>29</v>
      </c>
      <c r="B148" s="2948" t="s">
        <v>3075</v>
      </c>
      <c r="C148" s="2948">
        <v>10370</v>
      </c>
      <c r="D148" s="2948">
        <v>10310</v>
      </c>
      <c r="E148" s="2948">
        <v>12970</v>
      </c>
      <c r="F148" s="2948"/>
      <c r="G148" s="2948">
        <v>6630</v>
      </c>
    </row>
    <row r="149" spans="1:7" s="2781" customFormat="1" ht="14.25" customHeight="1">
      <c r="A149" s="2948" t="s">
        <v>29</v>
      </c>
      <c r="B149" s="2948" t="s">
        <v>3076</v>
      </c>
      <c r="C149" s="2948">
        <v>11600</v>
      </c>
      <c r="D149" s="2948">
        <v>11560</v>
      </c>
      <c r="E149" s="2948">
        <v>14540</v>
      </c>
      <c r="F149" s="2948">
        <v>2390</v>
      </c>
      <c r="G149" s="2948">
        <v>7430</v>
      </c>
    </row>
    <row r="150" spans="1:7" s="2781" customFormat="1" ht="14.25" customHeight="1">
      <c r="A150" s="2948" t="s">
        <v>29</v>
      </c>
      <c r="B150" s="2948" t="s">
        <v>292</v>
      </c>
      <c r="C150" s="2948">
        <v>9950</v>
      </c>
      <c r="D150" s="2948">
        <v>9890</v>
      </c>
      <c r="E150" s="2948">
        <v>12590</v>
      </c>
      <c r="F150" s="2948">
        <v>1970</v>
      </c>
      <c r="G150" s="2948">
        <v>6360</v>
      </c>
    </row>
    <row r="151" spans="1:7" s="2781" customFormat="1" ht="14.25" customHeight="1">
      <c r="A151" s="2948" t="s">
        <v>29</v>
      </c>
      <c r="B151" s="2948" t="s">
        <v>294</v>
      </c>
      <c r="C151" s="2948">
        <v>10700</v>
      </c>
      <c r="D151" s="2948">
        <v>10650</v>
      </c>
      <c r="E151" s="2948">
        <v>13420</v>
      </c>
      <c r="F151" s="2948">
        <v>2020</v>
      </c>
      <c r="G151" s="2948">
        <v>6850</v>
      </c>
    </row>
    <row r="152" spans="1:7" s="2781" customFormat="1" ht="14.25" customHeight="1">
      <c r="A152" s="2948" t="s">
        <v>29</v>
      </c>
      <c r="B152" s="2948" t="s">
        <v>297</v>
      </c>
      <c r="C152" s="2948">
        <v>10310</v>
      </c>
      <c r="D152" s="2948">
        <v>10260</v>
      </c>
      <c r="E152" s="2948">
        <v>12820</v>
      </c>
      <c r="F152" s="2948">
        <v>1980</v>
      </c>
      <c r="G152" s="2948">
        <v>6600</v>
      </c>
    </row>
    <row r="153" spans="1:7" s="2781" customFormat="1" ht="14.25" customHeight="1">
      <c r="A153" s="2948" t="s">
        <v>29</v>
      </c>
      <c r="B153" s="2948" t="s">
        <v>2950</v>
      </c>
      <c r="C153" s="2948">
        <v>10880</v>
      </c>
      <c r="D153" s="2948">
        <v>10820</v>
      </c>
      <c r="E153" s="2948">
        <v>13660</v>
      </c>
      <c r="F153" s="2948">
        <v>2260</v>
      </c>
      <c r="G153" s="2948">
        <v>6970</v>
      </c>
    </row>
    <row r="154" spans="1:7" s="2781" customFormat="1" ht="14.25" customHeight="1">
      <c r="A154" s="2948" t="s">
        <v>29</v>
      </c>
      <c r="B154" s="2948" t="s">
        <v>3077</v>
      </c>
      <c r="C154" s="2948">
        <v>11220</v>
      </c>
      <c r="D154" s="2948">
        <v>11160</v>
      </c>
      <c r="E154" s="2948">
        <v>14130</v>
      </c>
      <c r="F154" s="2948">
        <v>2230</v>
      </c>
      <c r="G154" s="2948">
        <v>7180</v>
      </c>
    </row>
    <row r="155" spans="1:7" s="2781" customFormat="1" ht="14.25" customHeight="1">
      <c r="A155" s="2948" t="s">
        <v>29</v>
      </c>
      <c r="B155" s="2948" t="s">
        <v>2963</v>
      </c>
      <c r="C155" s="2948">
        <v>10430</v>
      </c>
      <c r="D155" s="2948">
        <v>10380</v>
      </c>
      <c r="E155" s="2948">
        <v>13140</v>
      </c>
      <c r="F155" s="2948">
        <v>2080</v>
      </c>
      <c r="G155" s="2948">
        <v>6650</v>
      </c>
    </row>
    <row r="156" spans="1:7" s="2781" customFormat="1" ht="14.25" customHeight="1">
      <c r="A156" s="2948" t="s">
        <v>29</v>
      </c>
      <c r="B156" s="2948" t="s">
        <v>3078</v>
      </c>
      <c r="C156" s="2948">
        <v>10440</v>
      </c>
      <c r="D156" s="2948">
        <v>10400</v>
      </c>
      <c r="E156" s="2948">
        <v>13150</v>
      </c>
      <c r="F156" s="2948">
        <v>2490</v>
      </c>
      <c r="G156" s="2948">
        <v>6690</v>
      </c>
    </row>
    <row r="157" spans="1:7" s="2781" customFormat="1" ht="14.25" customHeight="1">
      <c r="A157" s="2948" t="s">
        <v>29</v>
      </c>
      <c r="B157" s="2948" t="s">
        <v>300</v>
      </c>
      <c r="C157" s="2948">
        <v>10970</v>
      </c>
      <c r="D157" s="2948">
        <v>10920</v>
      </c>
      <c r="E157" s="2948">
        <v>13840</v>
      </c>
      <c r="F157" s="2948">
        <v>2420</v>
      </c>
      <c r="G157" s="2948">
        <v>7020</v>
      </c>
    </row>
    <row r="158" spans="1:7" s="2781" customFormat="1" ht="14.25" customHeight="1">
      <c r="A158" s="2948" t="s">
        <v>29</v>
      </c>
      <c r="B158" s="2948" t="s">
        <v>301</v>
      </c>
      <c r="C158" s="2948">
        <v>9590</v>
      </c>
      <c r="D158" s="2948">
        <v>9540</v>
      </c>
      <c r="E158" s="2948">
        <v>12210</v>
      </c>
      <c r="F158" s="2948">
        <v>2100</v>
      </c>
      <c r="G158" s="2948">
        <v>6130</v>
      </c>
    </row>
    <row r="159" spans="1:7" s="2781" customFormat="1" ht="14.25" customHeight="1">
      <c r="A159" s="2948" t="s">
        <v>29</v>
      </c>
      <c r="B159" s="2948" t="s">
        <v>302</v>
      </c>
      <c r="C159" s="2948">
        <v>11190</v>
      </c>
      <c r="D159" s="2948">
        <v>11140</v>
      </c>
      <c r="E159" s="2948">
        <v>14090</v>
      </c>
      <c r="F159" s="2948">
        <v>2470</v>
      </c>
      <c r="G159" s="2948">
        <v>7170</v>
      </c>
    </row>
    <row r="160" spans="1:7" s="2781" customFormat="1" ht="14.25" customHeight="1">
      <c r="A160" s="2948" t="s">
        <v>29</v>
      </c>
      <c r="B160" s="2948" t="s">
        <v>3079</v>
      </c>
      <c r="C160" s="2948">
        <v>11180</v>
      </c>
      <c r="D160" s="2948">
        <v>11140</v>
      </c>
      <c r="E160" s="2948">
        <v>14050</v>
      </c>
      <c r="F160" s="2948">
        <v>2270</v>
      </c>
      <c r="G160" s="2948">
        <v>7170</v>
      </c>
    </row>
    <row r="161" spans="1:7" s="2781" customFormat="1" ht="14.25" customHeight="1">
      <c r="A161" s="2948" t="s">
        <v>29</v>
      </c>
      <c r="B161" s="2948" t="s">
        <v>2995</v>
      </c>
      <c r="C161" s="2948">
        <v>11160</v>
      </c>
      <c r="D161" s="2948">
        <v>11120</v>
      </c>
      <c r="E161" s="2948">
        <v>14020</v>
      </c>
      <c r="F161" s="2948">
        <v>2150</v>
      </c>
      <c r="G161" s="2948">
        <v>7160</v>
      </c>
    </row>
    <row r="162" spans="1:7" s="2781" customFormat="1" ht="14.25" customHeight="1">
      <c r="A162" s="2948" t="s">
        <v>29</v>
      </c>
      <c r="B162" s="2948" t="s">
        <v>3000</v>
      </c>
      <c r="C162" s="2948">
        <v>9620</v>
      </c>
      <c r="D162" s="2948">
        <v>9570</v>
      </c>
      <c r="E162" s="2948">
        <v>12320</v>
      </c>
      <c r="F162" s="2948">
        <v>2010</v>
      </c>
      <c r="G162" s="2948">
        <v>6160</v>
      </c>
    </row>
    <row r="163" spans="1:7" s="2781" customFormat="1" ht="14.25" customHeight="1">
      <c r="A163" s="2948" t="s">
        <v>29</v>
      </c>
      <c r="B163" s="2948" t="s">
        <v>3005</v>
      </c>
      <c r="C163" s="2948">
        <v>9320</v>
      </c>
      <c r="D163" s="2948">
        <v>9270</v>
      </c>
      <c r="E163" s="2948">
        <v>11790</v>
      </c>
      <c r="F163" s="2948">
        <v>1920</v>
      </c>
      <c r="G163" s="2948">
        <v>5960</v>
      </c>
    </row>
    <row r="164" spans="1:7" s="2781" customFormat="1" ht="14.25" customHeight="1">
      <c r="A164" s="2948" t="s">
        <v>29</v>
      </c>
      <c r="B164" s="2948" t="s">
        <v>3010</v>
      </c>
      <c r="C164" s="2948"/>
      <c r="D164" s="2948"/>
      <c r="E164" s="2948"/>
      <c r="F164" s="2948">
        <v>1980</v>
      </c>
      <c r="G164" s="2948"/>
    </row>
    <row r="165" spans="1:7" s="2781" customFormat="1" ht="14.25" customHeight="1">
      <c r="A165" s="2948" t="s">
        <v>29</v>
      </c>
      <c r="B165" s="2948" t="s">
        <v>3080</v>
      </c>
      <c r="C165" s="2948">
        <v>11060</v>
      </c>
      <c r="D165" s="2948">
        <v>11030</v>
      </c>
      <c r="E165" s="2948">
        <v>13850</v>
      </c>
      <c r="F165" s="2948">
        <v>2170</v>
      </c>
      <c r="G165" s="2948">
        <v>7090</v>
      </c>
    </row>
    <row r="166" spans="1:7" s="2781" customFormat="1" ht="14.25" customHeight="1">
      <c r="A166" s="2948" t="s">
        <v>29</v>
      </c>
      <c r="B166" s="2948" t="s">
        <v>3020</v>
      </c>
      <c r="C166" s="2948">
        <v>11050</v>
      </c>
      <c r="D166" s="2948">
        <v>11010</v>
      </c>
      <c r="E166" s="2948">
        <v>13920</v>
      </c>
      <c r="F166" s="2948">
        <v>2140</v>
      </c>
      <c r="G166" s="2948">
        <v>7080</v>
      </c>
    </row>
    <row r="167" spans="1:7" s="2781" customFormat="1" ht="14.25" customHeight="1">
      <c r="A167" s="2948" t="s">
        <v>29</v>
      </c>
      <c r="B167" s="2948" t="s">
        <v>3024</v>
      </c>
      <c r="C167" s="2948">
        <v>10930</v>
      </c>
      <c r="D167" s="2948">
        <v>10890</v>
      </c>
      <c r="E167" s="2948">
        <v>13790</v>
      </c>
      <c r="F167" s="2948">
        <v>2010</v>
      </c>
      <c r="G167" s="2948">
        <v>7000</v>
      </c>
    </row>
    <row r="168" spans="1:7" s="2781" customFormat="1" ht="14.25" customHeight="1">
      <c r="A168" s="2948" t="s">
        <v>29</v>
      </c>
      <c r="B168" s="2948" t="s">
        <v>3029</v>
      </c>
      <c r="C168" s="2948">
        <v>9420</v>
      </c>
      <c r="D168" s="2948">
        <v>9380</v>
      </c>
      <c r="E168" s="2948">
        <v>11970</v>
      </c>
      <c r="F168" s="2948"/>
      <c r="G168" s="2948">
        <v>6040</v>
      </c>
    </row>
    <row r="169" spans="1:7" s="2781" customFormat="1" ht="14.25" customHeight="1">
      <c r="A169" s="2948" t="s">
        <v>29</v>
      </c>
      <c r="B169" s="2948" t="s">
        <v>3081</v>
      </c>
      <c r="C169" s="2948"/>
      <c r="D169" s="2948"/>
      <c r="E169" s="2948"/>
      <c r="F169" s="2948">
        <v>2880</v>
      </c>
      <c r="G169" s="2948"/>
    </row>
    <row r="170" spans="1:7" s="2781" customFormat="1" ht="14.25" customHeight="1">
      <c r="A170" s="2948" t="s">
        <v>29</v>
      </c>
      <c r="B170" s="2948" t="s">
        <v>3037</v>
      </c>
      <c r="C170" s="2948"/>
      <c r="D170" s="2948"/>
      <c r="E170" s="2948"/>
      <c r="F170" s="2948">
        <v>2880</v>
      </c>
      <c r="G170" s="2948"/>
    </row>
    <row r="171" spans="1:7" s="2781" customFormat="1" ht="14.25" customHeight="1">
      <c r="A171" s="2948" t="s">
        <v>29</v>
      </c>
      <c r="B171" s="2948" t="s">
        <v>3040</v>
      </c>
      <c r="C171" s="2948"/>
      <c r="D171" s="2948"/>
      <c r="E171" s="2948"/>
      <c r="F171" s="2948">
        <v>2880</v>
      </c>
      <c r="G171" s="2948"/>
    </row>
    <row r="172" spans="1:7" s="2781" customFormat="1" ht="14.25" customHeight="1">
      <c r="A172" s="2948" t="s">
        <v>29</v>
      </c>
      <c r="B172" s="2948" t="s">
        <v>3042</v>
      </c>
      <c r="C172" s="2948"/>
      <c r="D172" s="2948"/>
      <c r="E172" s="2948"/>
      <c r="F172" s="2948">
        <v>2880</v>
      </c>
      <c r="G172" s="2948"/>
    </row>
    <row r="173" spans="1:7" s="2781" customFormat="1" ht="14.25" customHeight="1">
      <c r="A173" s="2948" t="s">
        <v>29</v>
      </c>
      <c r="B173" s="2948" t="s">
        <v>3044</v>
      </c>
      <c r="C173" s="2948"/>
      <c r="D173" s="2948"/>
      <c r="E173" s="2948"/>
      <c r="F173" s="2948">
        <v>2150</v>
      </c>
      <c r="G173" s="2948"/>
    </row>
    <row r="174" spans="1:7" s="2781" customFormat="1" ht="14.25" customHeight="1">
      <c r="A174" s="2948" t="s">
        <v>29</v>
      </c>
      <c r="B174" s="2948" t="s">
        <v>3046</v>
      </c>
      <c r="C174" s="2948"/>
      <c r="D174" s="2948"/>
      <c r="E174" s="2948"/>
      <c r="F174" s="2948">
        <v>2030</v>
      </c>
      <c r="G174" s="2948"/>
    </row>
    <row r="175" spans="1:7" s="2781" customFormat="1" ht="14.25" customHeight="1">
      <c r="A175" s="2948" t="s">
        <v>29</v>
      </c>
      <c r="B175" s="2948" t="s">
        <v>3048</v>
      </c>
      <c r="C175" s="2948"/>
      <c r="D175" s="2948"/>
      <c r="E175" s="2948"/>
      <c r="F175" s="2948">
        <v>2780</v>
      </c>
      <c r="G175" s="2948"/>
    </row>
    <row r="176" spans="1:7" s="2781" customFormat="1" ht="14.25" customHeight="1">
      <c r="A176" s="2948" t="s">
        <v>29</v>
      </c>
      <c r="B176" s="2948" t="s">
        <v>3050</v>
      </c>
      <c r="C176" s="2948"/>
      <c r="D176" s="2948"/>
      <c r="E176" s="2948"/>
      <c r="F176" s="2948">
        <v>2780</v>
      </c>
      <c r="G176" s="2948"/>
    </row>
    <row r="177" spans="1:7" s="2781" customFormat="1" ht="14.25" customHeight="1">
      <c r="A177" s="2948" t="s">
        <v>29</v>
      </c>
      <c r="B177" s="2948" t="s">
        <v>3082</v>
      </c>
      <c r="C177" s="2948"/>
      <c r="D177" s="2948"/>
      <c r="E177" s="2948"/>
      <c r="F177" s="2948">
        <v>2780</v>
      </c>
      <c r="G177" s="2948"/>
    </row>
    <row r="178" spans="1:7" s="2781" customFormat="1" ht="14.25" customHeight="1">
      <c r="A178" s="2948" t="s">
        <v>29</v>
      </c>
      <c r="B178" s="2948" t="s">
        <v>3083</v>
      </c>
      <c r="C178" s="2948"/>
      <c r="D178" s="2948"/>
      <c r="E178" s="2948"/>
      <c r="F178" s="2948">
        <v>2060</v>
      </c>
      <c r="G178" s="2948"/>
    </row>
    <row r="179" spans="1:7" s="2781" customFormat="1" ht="14.25" customHeight="1">
      <c r="A179" s="2948" t="s">
        <v>29</v>
      </c>
      <c r="B179" s="2948" t="s">
        <v>3084</v>
      </c>
      <c r="C179" s="2948"/>
      <c r="D179" s="2948"/>
      <c r="E179" s="2948"/>
      <c r="F179" s="2948">
        <v>2120</v>
      </c>
      <c r="G179" s="2948"/>
    </row>
    <row r="180" spans="1:7" s="2781" customFormat="1" ht="14.25" customHeight="1">
      <c r="A180" s="2948" t="s">
        <v>29</v>
      </c>
      <c r="B180" s="2948" t="s">
        <v>3056</v>
      </c>
      <c r="C180" s="2948"/>
      <c r="D180" s="2948"/>
      <c r="E180" s="2948"/>
      <c r="F180" s="2948">
        <v>2340</v>
      </c>
      <c r="G180" s="2948"/>
    </row>
    <row r="181" spans="1:7" s="2781" customFormat="1" ht="14.25" customHeight="1">
      <c r="A181" s="2948" t="s">
        <v>29</v>
      </c>
      <c r="B181" s="2948" t="s">
        <v>3057</v>
      </c>
      <c r="C181" s="2948"/>
      <c r="D181" s="2948"/>
      <c r="E181" s="2948"/>
      <c r="F181" s="2948">
        <v>2340</v>
      </c>
      <c r="G181" s="2948"/>
    </row>
    <row r="182" spans="1:7" s="2781" customFormat="1" ht="14.25" customHeight="1">
      <c r="A182" s="2948" t="s">
        <v>29</v>
      </c>
      <c r="B182" s="2948" t="s">
        <v>3058</v>
      </c>
      <c r="C182" s="2948"/>
      <c r="D182" s="2948"/>
      <c r="E182" s="2948"/>
      <c r="F182" s="2948">
        <v>2340</v>
      </c>
      <c r="G182" s="2948"/>
    </row>
    <row r="183" spans="1:7" s="2781" customFormat="1" ht="14.25" customHeight="1">
      <c r="A183" s="2948" t="s">
        <v>29</v>
      </c>
      <c r="B183" s="2948" t="s">
        <v>3059</v>
      </c>
      <c r="C183" s="2948"/>
      <c r="D183" s="2948"/>
      <c r="E183" s="2948"/>
      <c r="F183" s="2948">
        <v>2340</v>
      </c>
      <c r="G183" s="2948"/>
    </row>
    <row r="184" spans="1:7" s="2781" customFormat="1" ht="14.25" customHeight="1">
      <c r="A184" s="2948" t="s">
        <v>29</v>
      </c>
      <c r="B184" s="2948" t="s">
        <v>3060</v>
      </c>
      <c r="C184" s="2948"/>
      <c r="D184" s="2948"/>
      <c r="E184" s="2948"/>
      <c r="F184" s="2948">
        <v>2340</v>
      </c>
      <c r="G184" s="2948"/>
    </row>
    <row r="185" spans="1:7" s="2781" customFormat="1" ht="14.25" customHeight="1">
      <c r="A185" s="2948" t="s">
        <v>29</v>
      </c>
      <c r="B185" s="2948" t="s">
        <v>3061</v>
      </c>
      <c r="C185" s="2948"/>
      <c r="D185" s="2948"/>
      <c r="E185" s="2948"/>
      <c r="F185" s="2948">
        <v>2530</v>
      </c>
      <c r="G185" s="2948"/>
    </row>
    <row r="186" spans="1:7" s="2781" customFormat="1" ht="14.25" customHeight="1">
      <c r="A186" s="2948" t="s">
        <v>29</v>
      </c>
      <c r="B186" s="2948" t="s">
        <v>3062</v>
      </c>
      <c r="C186" s="2948"/>
      <c r="D186" s="2948"/>
      <c r="E186" s="2948"/>
      <c r="F186" s="2948">
        <v>2550</v>
      </c>
      <c r="G186" s="2948"/>
    </row>
    <row r="187" spans="1:7" s="2781" customFormat="1" ht="14.25" customHeight="1">
      <c r="A187" s="2948" t="s">
        <v>29</v>
      </c>
      <c r="B187" s="2948" t="s">
        <v>3063</v>
      </c>
      <c r="C187" s="2948"/>
      <c r="D187" s="2948"/>
      <c r="E187" s="2948"/>
      <c r="F187" s="2948">
        <v>2070</v>
      </c>
      <c r="G187" s="2948"/>
    </row>
    <row r="188" spans="1:7" s="2781" customFormat="1" ht="14.25" customHeight="1">
      <c r="A188" s="2948" t="s">
        <v>29</v>
      </c>
      <c r="B188" s="2948" t="s">
        <v>3064</v>
      </c>
      <c r="C188" s="2948"/>
      <c r="D188" s="2948"/>
      <c r="E188" s="2948"/>
      <c r="F188" s="2948">
        <v>2340</v>
      </c>
      <c r="G188" s="2948"/>
    </row>
    <row r="189" spans="1:7" s="2781" customFormat="1" ht="14.25" customHeight="1" thickBot="1">
      <c r="A189" s="2956" t="s">
        <v>29</v>
      </c>
      <c r="B189" s="2959" t="s">
        <v>3065</v>
      </c>
      <c r="C189" s="2959"/>
      <c r="D189" s="2959"/>
      <c r="E189" s="2959"/>
      <c r="F189" s="2959">
        <v>2050</v>
      </c>
      <c r="G189" s="2959"/>
    </row>
    <row r="190" spans="1:7" s="2781" customFormat="1" ht="14.25" customHeight="1">
      <c r="A190" s="2953" t="s">
        <v>304</v>
      </c>
      <c r="B190" s="2944" t="s">
        <v>3085</v>
      </c>
      <c r="C190" s="2944">
        <v>8830</v>
      </c>
      <c r="D190" s="2944">
        <v>8790</v>
      </c>
      <c r="E190" s="2944">
        <v>11630</v>
      </c>
      <c r="F190" s="2944">
        <v>1790</v>
      </c>
      <c r="G190" s="2960">
        <v>5550</v>
      </c>
    </row>
    <row r="191" spans="1:7" s="2781" customFormat="1" ht="14.25" customHeight="1">
      <c r="A191" s="2948" t="s">
        <v>304</v>
      </c>
      <c r="B191" s="2948" t="s">
        <v>133</v>
      </c>
      <c r="C191" s="2948">
        <v>9780</v>
      </c>
      <c r="D191" s="2948">
        <v>9710</v>
      </c>
      <c r="E191" s="2948">
        <v>12550</v>
      </c>
      <c r="F191" s="2948">
        <v>1980</v>
      </c>
      <c r="G191" s="2961">
        <v>6130</v>
      </c>
    </row>
    <row r="192" spans="1:7" s="2781" customFormat="1" ht="14.25" customHeight="1">
      <c r="A192" s="2948" t="s">
        <v>304</v>
      </c>
      <c r="B192" s="2948" t="s">
        <v>142</v>
      </c>
      <c r="C192" s="2948">
        <v>8180</v>
      </c>
      <c r="D192" s="2948">
        <v>8140</v>
      </c>
      <c r="E192" s="2948">
        <v>10870</v>
      </c>
      <c r="F192" s="2948">
        <v>1690</v>
      </c>
      <c r="G192" s="2961">
        <v>5140</v>
      </c>
    </row>
    <row r="193" spans="1:7" s="2781" customFormat="1" ht="14.25" customHeight="1">
      <c r="A193" s="2948" t="s">
        <v>304</v>
      </c>
      <c r="B193" s="2948" t="s">
        <v>151</v>
      </c>
      <c r="C193" s="2948">
        <v>8440</v>
      </c>
      <c r="D193" s="2948">
        <v>8390</v>
      </c>
      <c r="E193" s="2948">
        <v>11210</v>
      </c>
      <c r="F193" s="2948">
        <v>1600</v>
      </c>
      <c r="G193" s="2961">
        <v>5300</v>
      </c>
    </row>
    <row r="194" spans="1:7" s="2781" customFormat="1" ht="14.25" customHeight="1">
      <c r="A194" s="2948" t="s">
        <v>304</v>
      </c>
      <c r="B194" s="2948" t="s">
        <v>160</v>
      </c>
      <c r="C194" s="2948">
        <v>8780</v>
      </c>
      <c r="D194" s="2948">
        <v>8730</v>
      </c>
      <c r="E194" s="2948">
        <v>11550</v>
      </c>
      <c r="F194" s="2948">
        <v>1660</v>
      </c>
      <c r="G194" s="2961">
        <v>5520</v>
      </c>
    </row>
    <row r="195" spans="1:7" s="2781" customFormat="1" ht="14.25" customHeight="1">
      <c r="A195" s="2948" t="s">
        <v>304</v>
      </c>
      <c r="B195" s="2948" t="s">
        <v>167</v>
      </c>
      <c r="C195" s="2948">
        <v>8720</v>
      </c>
      <c r="D195" s="2948">
        <v>8670</v>
      </c>
      <c r="E195" s="2948">
        <v>11450</v>
      </c>
      <c r="F195" s="2948">
        <v>1720</v>
      </c>
      <c r="G195" s="2961">
        <v>5480</v>
      </c>
    </row>
    <row r="196" spans="1:7" s="2781" customFormat="1" ht="14.25" customHeight="1">
      <c r="A196" s="2948" t="s">
        <v>304</v>
      </c>
      <c r="B196" s="2948" t="s">
        <v>173</v>
      </c>
      <c r="C196" s="2948">
        <v>8460</v>
      </c>
      <c r="D196" s="2948">
        <v>8410</v>
      </c>
      <c r="E196" s="2948">
        <v>11230</v>
      </c>
      <c r="F196" s="2948">
        <v>1730</v>
      </c>
      <c r="G196" s="2961">
        <v>5310</v>
      </c>
    </row>
    <row r="197" spans="1:7" s="2781" customFormat="1" ht="14.25" customHeight="1">
      <c r="A197" s="2948" t="s">
        <v>304</v>
      </c>
      <c r="B197" s="2948" t="s">
        <v>180</v>
      </c>
      <c r="C197" s="2948">
        <v>8790</v>
      </c>
      <c r="D197" s="2948">
        <v>8730</v>
      </c>
      <c r="E197" s="2948">
        <v>11560</v>
      </c>
      <c r="F197" s="2948">
        <v>1750</v>
      </c>
      <c r="G197" s="2961">
        <v>5520</v>
      </c>
    </row>
    <row r="198" spans="1:7" s="2781" customFormat="1" ht="14.25" customHeight="1">
      <c r="A198" s="2948" t="s">
        <v>304</v>
      </c>
      <c r="B198" s="2948" t="s">
        <v>190</v>
      </c>
      <c r="C198" s="2948">
        <v>8720</v>
      </c>
      <c r="D198" s="2948">
        <v>8680</v>
      </c>
      <c r="E198" s="2948">
        <v>11470</v>
      </c>
      <c r="F198" s="2948"/>
      <c r="G198" s="2961">
        <v>5480</v>
      </c>
    </row>
    <row r="199" spans="1:7" s="2781" customFormat="1" ht="14.25" customHeight="1">
      <c r="A199" s="2948" t="s">
        <v>304</v>
      </c>
      <c r="B199" s="2948" t="s">
        <v>3086</v>
      </c>
      <c r="C199" s="2948">
        <v>8690</v>
      </c>
      <c r="D199" s="2948">
        <v>8630</v>
      </c>
      <c r="E199" s="2948">
        <v>11350</v>
      </c>
      <c r="F199" s="2948">
        <v>1600</v>
      </c>
      <c r="G199" s="2961">
        <v>5450</v>
      </c>
    </row>
    <row r="200" spans="1:7" s="2781" customFormat="1" ht="14.25" customHeight="1">
      <c r="A200" s="2948" t="s">
        <v>304</v>
      </c>
      <c r="B200" s="2948" t="s">
        <v>2897</v>
      </c>
      <c r="C200" s="2948"/>
      <c r="D200" s="2948"/>
      <c r="E200" s="2948"/>
      <c r="F200" s="2948">
        <v>1510</v>
      </c>
      <c r="G200" s="2961"/>
    </row>
    <row r="201" spans="1:7" s="2781" customFormat="1" ht="14.25" customHeight="1">
      <c r="A201" s="2948" t="s">
        <v>304</v>
      </c>
      <c r="B201" s="2948" t="s">
        <v>3087</v>
      </c>
      <c r="C201" s="2948">
        <v>8440</v>
      </c>
      <c r="D201" s="2948">
        <v>8390</v>
      </c>
      <c r="E201" s="2948">
        <v>10930</v>
      </c>
      <c r="F201" s="2948">
        <v>1500</v>
      </c>
      <c r="G201" s="2961">
        <v>5300</v>
      </c>
    </row>
    <row r="202" spans="1:7" s="2781" customFormat="1" ht="14.25" customHeight="1">
      <c r="A202" s="2948" t="s">
        <v>304</v>
      </c>
      <c r="B202" s="2948" t="s">
        <v>240</v>
      </c>
      <c r="C202" s="2948">
        <v>8530</v>
      </c>
      <c r="D202" s="2948">
        <v>8490</v>
      </c>
      <c r="E202" s="2948">
        <v>11160</v>
      </c>
      <c r="F202" s="2948">
        <v>1580</v>
      </c>
      <c r="G202" s="2961">
        <v>5360</v>
      </c>
    </row>
    <row r="203" spans="1:7" s="2781" customFormat="1" ht="14.25" customHeight="1">
      <c r="A203" s="2948" t="s">
        <v>304</v>
      </c>
      <c r="B203" s="2948" t="s">
        <v>3088</v>
      </c>
      <c r="C203" s="2948">
        <v>8130</v>
      </c>
      <c r="D203" s="2948">
        <v>8070</v>
      </c>
      <c r="E203" s="2948">
        <v>10820</v>
      </c>
      <c r="F203" s="2948">
        <v>1690</v>
      </c>
      <c r="G203" s="2961">
        <v>5100</v>
      </c>
    </row>
    <row r="204" spans="1:7" s="2781" customFormat="1" ht="14.25" customHeight="1">
      <c r="A204" s="2948" t="s">
        <v>304</v>
      </c>
      <c r="B204" s="2948" t="s">
        <v>2908</v>
      </c>
      <c r="C204" s="2948">
        <v>8350</v>
      </c>
      <c r="D204" s="2948">
        <v>8290</v>
      </c>
      <c r="E204" s="2948">
        <v>11080</v>
      </c>
      <c r="F204" s="2948">
        <v>1450</v>
      </c>
      <c r="G204" s="2961">
        <v>5240</v>
      </c>
    </row>
    <row r="205" spans="1:7" s="2781" customFormat="1" ht="14.25" customHeight="1">
      <c r="A205" s="2948" t="s">
        <v>304</v>
      </c>
      <c r="B205" s="2948" t="s">
        <v>2910</v>
      </c>
      <c r="C205" s="2948">
        <v>7190</v>
      </c>
      <c r="D205" s="2948">
        <v>7130</v>
      </c>
      <c r="E205" s="2948">
        <v>9490</v>
      </c>
      <c r="F205" s="2948">
        <v>1470</v>
      </c>
      <c r="G205" s="2961">
        <v>4510</v>
      </c>
    </row>
    <row r="206" spans="1:7" s="2781" customFormat="1" ht="14.25" customHeight="1">
      <c r="A206" s="2948" t="s">
        <v>304</v>
      </c>
      <c r="B206" s="2948" t="s">
        <v>2913</v>
      </c>
      <c r="C206" s="2948">
        <v>7000</v>
      </c>
      <c r="D206" s="2948">
        <v>6950</v>
      </c>
      <c r="E206" s="2948">
        <v>9170</v>
      </c>
      <c r="F206" s="2948">
        <v>1400</v>
      </c>
      <c r="G206" s="2961">
        <v>4380</v>
      </c>
    </row>
    <row r="207" spans="1:7" s="2781" customFormat="1" ht="14.25" customHeight="1">
      <c r="A207" s="2948" t="s">
        <v>304</v>
      </c>
      <c r="B207" s="2948" t="s">
        <v>2915</v>
      </c>
      <c r="C207" s="2948">
        <v>6950</v>
      </c>
      <c r="D207" s="2948">
        <v>6900</v>
      </c>
      <c r="E207" s="2948">
        <v>9110</v>
      </c>
      <c r="F207" s="2948">
        <v>1790</v>
      </c>
      <c r="G207" s="2961">
        <v>4360</v>
      </c>
    </row>
    <row r="208" spans="1:7" s="2781" customFormat="1" ht="14.25" customHeight="1">
      <c r="A208" s="2948" t="s">
        <v>304</v>
      </c>
      <c r="B208" s="2948" t="s">
        <v>3089</v>
      </c>
      <c r="C208" s="2948">
        <v>9470</v>
      </c>
      <c r="D208" s="2948">
        <v>9410</v>
      </c>
      <c r="E208" s="2948">
        <v>12330</v>
      </c>
      <c r="F208" s="2948">
        <v>1770</v>
      </c>
      <c r="G208" s="2961">
        <v>5940</v>
      </c>
    </row>
    <row r="209" spans="1:7" s="2781" customFormat="1" ht="14.25" customHeight="1">
      <c r="A209" s="2948" t="s">
        <v>304</v>
      </c>
      <c r="B209" s="2948" t="s">
        <v>264</v>
      </c>
      <c r="C209" s="2948">
        <v>8740</v>
      </c>
      <c r="D209" s="2948">
        <v>8700</v>
      </c>
      <c r="E209" s="2948">
        <v>11500</v>
      </c>
      <c r="F209" s="2948">
        <v>1730</v>
      </c>
      <c r="G209" s="2961">
        <v>5490</v>
      </c>
    </row>
    <row r="210" spans="1:7" s="2781" customFormat="1" ht="14.25" customHeight="1">
      <c r="A210" s="2948" t="s">
        <v>304</v>
      </c>
      <c r="B210" s="2948" t="s">
        <v>2925</v>
      </c>
      <c r="C210" s="2948">
        <v>8710</v>
      </c>
      <c r="D210" s="2948">
        <v>8660</v>
      </c>
      <c r="E210" s="2948">
        <v>11440</v>
      </c>
      <c r="F210" s="2948">
        <v>1740</v>
      </c>
      <c r="G210" s="2961">
        <v>5470</v>
      </c>
    </row>
    <row r="211" spans="1:7" s="2781" customFormat="1" ht="14.25" customHeight="1">
      <c r="A211" s="2948" t="s">
        <v>304</v>
      </c>
      <c r="B211" s="2948" t="s">
        <v>3090</v>
      </c>
      <c r="C211" s="2948">
        <v>9480</v>
      </c>
      <c r="D211" s="2948">
        <v>9430</v>
      </c>
      <c r="E211" s="2948">
        <v>12360</v>
      </c>
      <c r="F211" s="2948">
        <v>1820</v>
      </c>
      <c r="G211" s="2961">
        <v>5950</v>
      </c>
    </row>
    <row r="212" spans="1:7" s="2781" customFormat="1" ht="14.25" customHeight="1">
      <c r="A212" s="2948" t="s">
        <v>304</v>
      </c>
      <c r="B212" s="2948" t="s">
        <v>285</v>
      </c>
      <c r="C212" s="2948">
        <v>9070</v>
      </c>
      <c r="D212" s="2948">
        <v>9020</v>
      </c>
      <c r="E212" s="2948">
        <v>11720</v>
      </c>
      <c r="F212" s="2948">
        <v>1850</v>
      </c>
      <c r="G212" s="2961">
        <v>5700</v>
      </c>
    </row>
    <row r="213" spans="1:7" s="2781" customFormat="1" ht="14.25" customHeight="1">
      <c r="A213" s="2948" t="s">
        <v>304</v>
      </c>
      <c r="B213" s="2948" t="s">
        <v>288</v>
      </c>
      <c r="C213" s="2948">
        <v>9030</v>
      </c>
      <c r="D213" s="2948">
        <v>8980</v>
      </c>
      <c r="E213" s="2948">
        <v>11670</v>
      </c>
      <c r="F213" s="2948">
        <v>1690</v>
      </c>
      <c r="G213" s="2961">
        <v>5670</v>
      </c>
    </row>
    <row r="214" spans="1:7" s="2781" customFormat="1" ht="14.25" customHeight="1">
      <c r="A214" s="2948" t="s">
        <v>304</v>
      </c>
      <c r="B214" s="2948" t="s">
        <v>3091</v>
      </c>
      <c r="C214" s="2948">
        <v>8090</v>
      </c>
      <c r="D214" s="2948">
        <v>8030</v>
      </c>
      <c r="E214" s="2948">
        <v>10780</v>
      </c>
      <c r="F214" s="2948">
        <v>1570</v>
      </c>
      <c r="G214" s="2961">
        <v>5070</v>
      </c>
    </row>
    <row r="215" spans="1:7" s="2781" customFormat="1" ht="14.25" customHeight="1">
      <c r="A215" s="2948" t="s">
        <v>304</v>
      </c>
      <c r="B215" s="2948" t="s">
        <v>3092</v>
      </c>
      <c r="C215" s="2948">
        <v>7950</v>
      </c>
      <c r="D215" s="2948">
        <v>7900</v>
      </c>
      <c r="E215" s="2948">
        <v>10560</v>
      </c>
      <c r="F215" s="2948">
        <v>1630</v>
      </c>
      <c r="G215" s="2961">
        <v>4990</v>
      </c>
    </row>
    <row r="216" spans="1:7" s="2781" customFormat="1" ht="14.25" customHeight="1">
      <c r="A216" s="2948" t="s">
        <v>304</v>
      </c>
      <c r="B216" s="2948" t="s">
        <v>3093</v>
      </c>
      <c r="C216" s="2948">
        <v>8490</v>
      </c>
      <c r="D216" s="2948">
        <v>8440</v>
      </c>
      <c r="E216" s="2948">
        <v>11260</v>
      </c>
      <c r="F216" s="2948">
        <v>1690</v>
      </c>
      <c r="G216" s="2961">
        <v>5330</v>
      </c>
    </row>
    <row r="217" spans="1:7" s="2781" customFormat="1" ht="14.25" customHeight="1">
      <c r="A217" s="2948" t="s">
        <v>304</v>
      </c>
      <c r="B217" s="2948" t="s">
        <v>2958</v>
      </c>
      <c r="C217" s="2948">
        <v>8200</v>
      </c>
      <c r="D217" s="2948">
        <v>8150</v>
      </c>
      <c r="E217" s="2948">
        <v>10910</v>
      </c>
      <c r="F217" s="2948">
        <v>1670</v>
      </c>
      <c r="G217" s="2961">
        <v>5150</v>
      </c>
    </row>
    <row r="218" spans="1:7" s="2781" customFormat="1" ht="14.25" customHeight="1">
      <c r="A218" s="2948" t="s">
        <v>304</v>
      </c>
      <c r="B218" s="2948" t="s">
        <v>3094</v>
      </c>
      <c r="C218" s="2948"/>
      <c r="D218" s="2948"/>
      <c r="E218" s="2948"/>
      <c r="F218" s="2948">
        <v>2040</v>
      </c>
      <c r="G218" s="2961"/>
    </row>
    <row r="219" spans="1:7" s="2781" customFormat="1" ht="14.25" customHeight="1">
      <c r="A219" s="2948" t="s">
        <v>304</v>
      </c>
      <c r="B219" s="2948" t="s">
        <v>3095</v>
      </c>
      <c r="C219" s="2948"/>
      <c r="D219" s="2948"/>
      <c r="E219" s="2948"/>
      <c r="F219" s="2948">
        <v>2040</v>
      </c>
      <c r="G219" s="2961"/>
    </row>
    <row r="220" spans="1:7" s="2781" customFormat="1" ht="14.25" customHeight="1">
      <c r="A220" s="2948" t="s">
        <v>304</v>
      </c>
      <c r="B220" s="2948" t="s">
        <v>3096</v>
      </c>
      <c r="C220" s="2948"/>
      <c r="D220" s="2948"/>
      <c r="E220" s="2948"/>
      <c r="F220" s="2948">
        <v>2040</v>
      </c>
      <c r="G220" s="2961"/>
    </row>
    <row r="221" spans="1:7" s="2781" customFormat="1" ht="14.25" customHeight="1">
      <c r="A221" s="2948" t="s">
        <v>304</v>
      </c>
      <c r="B221" s="2948" t="s">
        <v>3097</v>
      </c>
      <c r="C221" s="2948"/>
      <c r="D221" s="2948"/>
      <c r="E221" s="2948"/>
      <c r="F221" s="2948">
        <v>2040</v>
      </c>
      <c r="G221" s="2961"/>
    </row>
    <row r="222" spans="1:7" s="2781" customFormat="1" ht="14.25" customHeight="1">
      <c r="A222" s="2948" t="s">
        <v>304</v>
      </c>
      <c r="B222" s="2948" t="s">
        <v>3098</v>
      </c>
      <c r="C222" s="2948"/>
      <c r="D222" s="2948"/>
      <c r="E222" s="2948"/>
      <c r="F222" s="2948">
        <v>2040</v>
      </c>
      <c r="G222" s="2961"/>
    </row>
    <row r="223" spans="1:7" s="2781" customFormat="1" ht="14.25" customHeight="1">
      <c r="A223" s="2948" t="s">
        <v>304</v>
      </c>
      <c r="B223" s="2948" t="s">
        <v>3099</v>
      </c>
      <c r="C223" s="2948"/>
      <c r="D223" s="2948"/>
      <c r="E223" s="2948"/>
      <c r="F223" s="2948">
        <v>1930</v>
      </c>
      <c r="G223" s="2961"/>
    </row>
    <row r="224" spans="1:7" s="2781" customFormat="1" ht="14.25" customHeight="1">
      <c r="A224" s="2948" t="s">
        <v>304</v>
      </c>
      <c r="B224" s="2948" t="s">
        <v>3100</v>
      </c>
      <c r="C224" s="2948"/>
      <c r="D224" s="2948"/>
      <c r="E224" s="2948"/>
      <c r="F224" s="2948">
        <v>1930</v>
      </c>
      <c r="G224" s="2961"/>
    </row>
    <row r="225" spans="1:7" s="2781" customFormat="1" ht="14.25" customHeight="1">
      <c r="A225" s="2948" t="s">
        <v>304</v>
      </c>
      <c r="B225" s="2948" t="s">
        <v>3101</v>
      </c>
      <c r="C225" s="2948"/>
      <c r="D225" s="2948"/>
      <c r="E225" s="2948"/>
      <c r="F225" s="2948">
        <v>1930</v>
      </c>
      <c r="G225" s="2961"/>
    </row>
    <row r="226" spans="1:7" s="2781" customFormat="1" ht="14.25" customHeight="1">
      <c r="A226" s="2948" t="s">
        <v>304</v>
      </c>
      <c r="B226" s="2948" t="s">
        <v>3102</v>
      </c>
      <c r="C226" s="2948"/>
      <c r="D226" s="2948"/>
      <c r="E226" s="2948"/>
      <c r="F226" s="2948">
        <v>1700</v>
      </c>
      <c r="G226" s="2961"/>
    </row>
    <row r="227" spans="1:7" s="2781" customFormat="1" ht="14.25" customHeight="1">
      <c r="A227" s="2948" t="s">
        <v>304</v>
      </c>
      <c r="B227" s="2948" t="s">
        <v>3103</v>
      </c>
      <c r="C227" s="2948"/>
      <c r="D227" s="2948"/>
      <c r="E227" s="2948"/>
      <c r="F227" s="2948">
        <v>1520</v>
      </c>
      <c r="G227" s="2961"/>
    </row>
    <row r="228" spans="1:7" s="2781" customFormat="1" ht="14.25" customHeight="1">
      <c r="A228" s="2948" t="s">
        <v>304</v>
      </c>
      <c r="B228" s="2948" t="s">
        <v>3104</v>
      </c>
      <c r="C228" s="2948"/>
      <c r="D228" s="2948"/>
      <c r="E228" s="2948"/>
      <c r="F228" s="2948">
        <v>1520</v>
      </c>
      <c r="G228" s="2961"/>
    </row>
    <row r="229" spans="1:7" s="2781" customFormat="1" ht="14.25" customHeight="1">
      <c r="A229" s="2948" t="s">
        <v>304</v>
      </c>
      <c r="B229" s="2948" t="s">
        <v>3021</v>
      </c>
      <c r="C229" s="2948"/>
      <c r="D229" s="2948"/>
      <c r="E229" s="2948"/>
      <c r="F229" s="2948">
        <v>1520</v>
      </c>
      <c r="G229" s="2961"/>
    </row>
    <row r="230" spans="1:7" s="2781" customFormat="1" ht="14.25" customHeight="1">
      <c r="A230" s="2948" t="s">
        <v>304</v>
      </c>
      <c r="B230" s="2948" t="s">
        <v>3105</v>
      </c>
      <c r="C230" s="2948"/>
      <c r="D230" s="2948"/>
      <c r="E230" s="2948"/>
      <c r="F230" s="2948">
        <v>1820</v>
      </c>
      <c r="G230" s="2961"/>
    </row>
    <row r="231" spans="1:7" s="2781" customFormat="1" ht="14.25" customHeight="1">
      <c r="A231" s="2948" t="s">
        <v>304</v>
      </c>
      <c r="B231" s="2948" t="s">
        <v>3106</v>
      </c>
      <c r="C231" s="2948"/>
      <c r="D231" s="2948"/>
      <c r="E231" s="2948"/>
      <c r="F231" s="2948">
        <v>1760</v>
      </c>
      <c r="G231" s="2961"/>
    </row>
    <row r="232" spans="1:7" s="2781" customFormat="1" ht="14.25" customHeight="1">
      <c r="A232" s="2948" t="s">
        <v>304</v>
      </c>
      <c r="B232" s="2948" t="s">
        <v>3107</v>
      </c>
      <c r="C232" s="2948"/>
      <c r="D232" s="2948"/>
      <c r="E232" s="2948"/>
      <c r="F232" s="2948">
        <v>1840</v>
      </c>
      <c r="G232" s="2961"/>
    </row>
    <row r="233" spans="1:7" s="2781" customFormat="1" ht="14.25" customHeight="1" thickBot="1">
      <c r="A233" s="2962" t="s">
        <v>304</v>
      </c>
      <c r="B233" s="2955" t="s">
        <v>3038</v>
      </c>
      <c r="C233" s="2955"/>
      <c r="D233" s="2955"/>
      <c r="E233" s="2955"/>
      <c r="F233" s="2955">
        <v>1770</v>
      </c>
      <c r="G233" s="2963"/>
    </row>
    <row r="234" spans="1:7" s="2781" customFormat="1" ht="14.25" customHeight="1">
      <c r="A234" s="2953" t="s">
        <v>305</v>
      </c>
      <c r="B234" s="2944" t="s">
        <v>3108</v>
      </c>
      <c r="C234" s="2948">
        <v>6980</v>
      </c>
      <c r="D234" s="2948">
        <v>6970</v>
      </c>
      <c r="E234" s="2948">
        <v>8720</v>
      </c>
      <c r="F234" s="2948">
        <v>1350</v>
      </c>
      <c r="G234" s="2948">
        <v>4280</v>
      </c>
    </row>
    <row r="235" spans="1:7" s="2781" customFormat="1" ht="14.25" customHeight="1">
      <c r="A235" s="2948" t="s">
        <v>305</v>
      </c>
      <c r="B235" s="2948" t="s">
        <v>134</v>
      </c>
      <c r="C235" s="2948">
        <v>7620</v>
      </c>
      <c r="D235" s="2948">
        <v>7580</v>
      </c>
      <c r="E235" s="2948">
        <v>9360</v>
      </c>
      <c r="F235" s="2948">
        <v>1490</v>
      </c>
      <c r="G235" s="2948">
        <v>4650</v>
      </c>
    </row>
    <row r="236" spans="1:7" s="2781" customFormat="1" ht="14.25" customHeight="1">
      <c r="A236" s="2948" t="s">
        <v>305</v>
      </c>
      <c r="B236" s="2948" t="s">
        <v>143</v>
      </c>
      <c r="C236" s="2948">
        <v>6650</v>
      </c>
      <c r="D236" s="2948">
        <v>6630</v>
      </c>
      <c r="E236" s="2948">
        <v>8330</v>
      </c>
      <c r="F236" s="2948">
        <v>1250</v>
      </c>
      <c r="G236" s="2948">
        <v>4070</v>
      </c>
    </row>
    <row r="237" spans="1:7" s="2781" customFormat="1" ht="14.25" customHeight="1">
      <c r="A237" s="2948" t="s">
        <v>305</v>
      </c>
      <c r="B237" s="2948" t="s">
        <v>152</v>
      </c>
      <c r="C237" s="2948">
        <v>5850</v>
      </c>
      <c r="D237" s="2948">
        <v>5820</v>
      </c>
      <c r="E237" s="2948">
        <v>7260</v>
      </c>
      <c r="F237" s="2948">
        <v>1140</v>
      </c>
      <c r="G237" s="2948">
        <v>3570</v>
      </c>
    </row>
    <row r="238" spans="1:7" s="2781" customFormat="1" ht="14.25" customHeight="1">
      <c r="A238" s="2948" t="s">
        <v>305</v>
      </c>
      <c r="B238" s="2948" t="s">
        <v>2879</v>
      </c>
      <c r="C238" s="2948">
        <v>6920</v>
      </c>
      <c r="D238" s="2948">
        <v>6890</v>
      </c>
      <c r="E238" s="2948">
        <v>8640</v>
      </c>
      <c r="F238" s="2948">
        <v>1310</v>
      </c>
      <c r="G238" s="2948">
        <v>4230</v>
      </c>
    </row>
    <row r="239" spans="1:7" s="2781" customFormat="1" ht="14.25" customHeight="1">
      <c r="A239" s="2948" t="s">
        <v>305</v>
      </c>
      <c r="B239" s="2948" t="s">
        <v>3109</v>
      </c>
      <c r="C239" s="2948">
        <v>6780</v>
      </c>
      <c r="D239" s="2948">
        <v>6750</v>
      </c>
      <c r="E239" s="2948">
        <v>8440</v>
      </c>
      <c r="F239" s="2948">
        <v>1160</v>
      </c>
      <c r="G239" s="2948">
        <v>4140</v>
      </c>
    </row>
    <row r="240" spans="1:7" s="2781" customFormat="1" ht="14.25" customHeight="1">
      <c r="A240" s="2948" t="s">
        <v>305</v>
      </c>
      <c r="B240" s="2948" t="s">
        <v>3110</v>
      </c>
      <c r="C240" s="2948">
        <v>5420</v>
      </c>
      <c r="D240" s="2948">
        <v>5380</v>
      </c>
      <c r="E240" s="2948">
        <v>6640</v>
      </c>
      <c r="F240" s="2948">
        <v>1020</v>
      </c>
      <c r="G240" s="2948">
        <v>3300</v>
      </c>
    </row>
    <row r="241" spans="1:7" s="2781" customFormat="1" ht="14.25" customHeight="1">
      <c r="A241" s="2948" t="s">
        <v>305</v>
      </c>
      <c r="B241" s="2948" t="s">
        <v>3111</v>
      </c>
      <c r="C241" s="2948">
        <v>6660</v>
      </c>
      <c r="D241" s="2948">
        <v>6640</v>
      </c>
      <c r="E241" s="2948">
        <v>8340</v>
      </c>
      <c r="F241" s="2948">
        <v>1130</v>
      </c>
      <c r="G241" s="2948">
        <v>4080</v>
      </c>
    </row>
    <row r="242" spans="1:7" s="2781" customFormat="1" ht="14.25" customHeight="1">
      <c r="A242" s="2948" t="s">
        <v>305</v>
      </c>
      <c r="B242" s="2948" t="s">
        <v>181</v>
      </c>
      <c r="C242" s="2948">
        <v>6580</v>
      </c>
      <c r="D242" s="2948">
        <v>6550</v>
      </c>
      <c r="E242" s="2948">
        <v>8090</v>
      </c>
      <c r="F242" s="2948">
        <v>1240</v>
      </c>
      <c r="G242" s="2948">
        <v>4020</v>
      </c>
    </row>
    <row r="243" spans="1:7" s="2781" customFormat="1" ht="14.25" customHeight="1">
      <c r="A243" s="2948" t="s">
        <v>305</v>
      </c>
      <c r="B243" s="2948" t="s">
        <v>191</v>
      </c>
      <c r="C243" s="2948">
        <v>6000</v>
      </c>
      <c r="D243" s="2948">
        <v>5970</v>
      </c>
      <c r="E243" s="2948">
        <v>7370</v>
      </c>
      <c r="F243" s="2948">
        <v>1070</v>
      </c>
      <c r="G243" s="2948">
        <v>3670</v>
      </c>
    </row>
    <row r="244" spans="1:7" s="2781" customFormat="1" ht="14.25" customHeight="1">
      <c r="A244" s="2948" t="s">
        <v>305</v>
      </c>
      <c r="B244" s="2948" t="s">
        <v>3112</v>
      </c>
      <c r="C244" s="2948">
        <v>5840</v>
      </c>
      <c r="D244" s="2948">
        <v>5810</v>
      </c>
      <c r="E244" s="2948">
        <v>7240</v>
      </c>
      <c r="F244" s="2948">
        <v>1100</v>
      </c>
      <c r="G244" s="2948">
        <v>3560</v>
      </c>
    </row>
    <row r="245" spans="1:7" s="2781" customFormat="1" ht="14.25" customHeight="1">
      <c r="A245" s="2948" t="s">
        <v>305</v>
      </c>
      <c r="B245" s="2948" t="s">
        <v>206</v>
      </c>
      <c r="C245" s="2948">
        <v>6040</v>
      </c>
      <c r="D245" s="2948">
        <v>6000</v>
      </c>
      <c r="E245" s="2948">
        <v>7420</v>
      </c>
      <c r="F245" s="2948">
        <v>1140</v>
      </c>
      <c r="G245" s="2948">
        <v>3690</v>
      </c>
    </row>
    <row r="246" spans="1:7" s="2781" customFormat="1" ht="14.25" customHeight="1">
      <c r="A246" s="2948" t="s">
        <v>305</v>
      </c>
      <c r="B246" s="2948" t="s">
        <v>213</v>
      </c>
      <c r="C246" s="2948">
        <v>5890</v>
      </c>
      <c r="D246" s="2948">
        <v>5860</v>
      </c>
      <c r="E246" s="2948">
        <v>7300</v>
      </c>
      <c r="F246" s="2948">
        <v>1110</v>
      </c>
      <c r="G246" s="2948">
        <v>3590</v>
      </c>
    </row>
    <row r="247" spans="1:7" s="2781" customFormat="1" ht="14.25" customHeight="1">
      <c r="A247" s="2948" t="s">
        <v>305</v>
      </c>
      <c r="B247" s="2948" t="s">
        <v>3113</v>
      </c>
      <c r="C247" s="2948">
        <v>6480</v>
      </c>
      <c r="D247" s="2948">
        <v>6450</v>
      </c>
      <c r="E247" s="2948">
        <v>8010</v>
      </c>
      <c r="F247" s="2948">
        <v>1170</v>
      </c>
      <c r="G247" s="2948">
        <v>3960</v>
      </c>
    </row>
    <row r="248" spans="1:7" s="2781" customFormat="1" ht="14.25" customHeight="1">
      <c r="A248" s="2948" t="s">
        <v>305</v>
      </c>
      <c r="B248" s="2948" t="s">
        <v>227</v>
      </c>
      <c r="C248" s="2948">
        <v>6860</v>
      </c>
      <c r="D248" s="2948">
        <v>6840</v>
      </c>
      <c r="E248" s="2948">
        <v>8520</v>
      </c>
      <c r="F248" s="2948">
        <v>1240</v>
      </c>
      <c r="G248" s="2948">
        <v>4200</v>
      </c>
    </row>
    <row r="249" spans="1:7" s="2781" customFormat="1" ht="14.25" customHeight="1">
      <c r="A249" s="2948" t="s">
        <v>305</v>
      </c>
      <c r="B249" s="2948" t="s">
        <v>3114</v>
      </c>
      <c r="C249" s="2948">
        <v>7180</v>
      </c>
      <c r="D249" s="2948">
        <v>7140</v>
      </c>
      <c r="E249" s="2948">
        <v>8900</v>
      </c>
      <c r="F249" s="2948">
        <v>1350</v>
      </c>
      <c r="G249" s="2948">
        <v>4380</v>
      </c>
    </row>
    <row r="250" spans="1:7" s="2781" customFormat="1" ht="14.25" customHeight="1">
      <c r="A250" s="2948" t="s">
        <v>305</v>
      </c>
      <c r="B250" s="2948" t="s">
        <v>241</v>
      </c>
      <c r="C250" s="2948">
        <v>6880</v>
      </c>
      <c r="D250" s="2948">
        <v>6860</v>
      </c>
      <c r="E250" s="2948">
        <v>8550</v>
      </c>
      <c r="F250" s="2948">
        <v>1220</v>
      </c>
      <c r="G250" s="2948">
        <v>4210</v>
      </c>
    </row>
    <row r="251" spans="1:7" s="2781" customFormat="1" ht="14.25" customHeight="1">
      <c r="A251" s="2948" t="s">
        <v>305</v>
      </c>
      <c r="B251" s="2948" t="s">
        <v>249</v>
      </c>
      <c r="C251" s="2948"/>
      <c r="D251" s="2948"/>
      <c r="E251" s="2948"/>
      <c r="F251" s="2948">
        <v>1100</v>
      </c>
      <c r="G251" s="2948"/>
    </row>
    <row r="252" spans="1:7" s="2781" customFormat="1" ht="14.25" customHeight="1">
      <c r="A252" s="2948" t="s">
        <v>305</v>
      </c>
      <c r="B252" s="2948" t="s">
        <v>3115</v>
      </c>
      <c r="C252" s="2948">
        <v>7240</v>
      </c>
      <c r="D252" s="2948">
        <v>7200</v>
      </c>
      <c r="E252" s="2948">
        <v>9040</v>
      </c>
      <c r="F252" s="2948">
        <v>1380</v>
      </c>
      <c r="G252" s="2948">
        <v>4420</v>
      </c>
    </row>
    <row r="253" spans="1:7" s="2781" customFormat="1" ht="14.25" customHeight="1">
      <c r="A253" s="2948" t="s">
        <v>305</v>
      </c>
      <c r="B253" s="2948" t="s">
        <v>283</v>
      </c>
      <c r="C253" s="2948">
        <v>6670</v>
      </c>
      <c r="D253" s="2948">
        <v>6650</v>
      </c>
      <c r="E253" s="2948">
        <v>8350</v>
      </c>
      <c r="F253" s="2948">
        <v>1260</v>
      </c>
      <c r="G253" s="2948">
        <v>4080</v>
      </c>
    </row>
    <row r="254" spans="1:7" s="2781" customFormat="1" ht="14.25" customHeight="1">
      <c r="A254" s="2948" t="s">
        <v>305</v>
      </c>
      <c r="B254" s="2948" t="s">
        <v>286</v>
      </c>
      <c r="C254" s="2948">
        <v>7630</v>
      </c>
      <c r="D254" s="2948">
        <v>7590</v>
      </c>
      <c r="E254" s="2948">
        <v>9380</v>
      </c>
      <c r="F254" s="2948">
        <v>1320</v>
      </c>
      <c r="G254" s="2948">
        <v>4660</v>
      </c>
    </row>
    <row r="255" spans="1:7" s="2781" customFormat="1" ht="14.25" customHeight="1">
      <c r="A255" s="2948" t="s">
        <v>305</v>
      </c>
      <c r="B255" s="2948" t="s">
        <v>289</v>
      </c>
      <c r="C255" s="2948">
        <v>6940</v>
      </c>
      <c r="D255" s="2948">
        <v>6890</v>
      </c>
      <c r="E255" s="2948">
        <v>8650</v>
      </c>
      <c r="F255" s="2948">
        <v>1210</v>
      </c>
      <c r="G255" s="2948">
        <v>4230</v>
      </c>
    </row>
    <row r="256" spans="1:7" s="2781" customFormat="1" ht="14.25" customHeight="1">
      <c r="A256" s="2948" t="s">
        <v>305</v>
      </c>
      <c r="B256" s="2948" t="s">
        <v>3116</v>
      </c>
      <c r="C256" s="2948">
        <v>7520</v>
      </c>
      <c r="D256" s="2948">
        <v>7490</v>
      </c>
      <c r="E256" s="2948">
        <v>9240</v>
      </c>
      <c r="F256" s="2948">
        <v>1270</v>
      </c>
      <c r="G256" s="2948">
        <v>4590</v>
      </c>
    </row>
    <row r="257" spans="1:7" s="2781" customFormat="1" ht="14.25" customHeight="1">
      <c r="A257" s="2948" t="s">
        <v>305</v>
      </c>
      <c r="B257" s="2948" t="s">
        <v>275</v>
      </c>
      <c r="C257" s="2948">
        <v>6280</v>
      </c>
      <c r="D257" s="2948">
        <v>6230</v>
      </c>
      <c r="E257" s="2948">
        <v>7740</v>
      </c>
      <c r="F257" s="2948">
        <v>1080</v>
      </c>
      <c r="G257" s="2948">
        <v>3830</v>
      </c>
    </row>
    <row r="258" spans="1:7" s="2781" customFormat="1" ht="14.25" customHeight="1">
      <c r="A258" s="2948" t="s">
        <v>305</v>
      </c>
      <c r="B258" s="2948" t="s">
        <v>2941</v>
      </c>
      <c r="C258" s="2948">
        <v>6190</v>
      </c>
      <c r="D258" s="2948">
        <v>6160</v>
      </c>
      <c r="E258" s="2948">
        <v>7680</v>
      </c>
      <c r="F258" s="2948">
        <v>1170</v>
      </c>
      <c r="G258" s="2948">
        <v>3780</v>
      </c>
    </row>
    <row r="259" spans="1:7" s="2781" customFormat="1" ht="14.25" customHeight="1">
      <c r="A259" s="2948" t="s">
        <v>305</v>
      </c>
      <c r="B259" s="2948" t="s">
        <v>3117</v>
      </c>
      <c r="C259" s="2948">
        <v>7610</v>
      </c>
      <c r="D259" s="2948">
        <v>7570</v>
      </c>
      <c r="E259" s="2948">
        <v>9350</v>
      </c>
      <c r="F259" s="2948">
        <v>1350</v>
      </c>
      <c r="G259" s="2948">
        <v>4650</v>
      </c>
    </row>
    <row r="260" spans="1:7" s="2781" customFormat="1" ht="14.25" customHeight="1">
      <c r="A260" s="2948" t="s">
        <v>305</v>
      </c>
      <c r="B260" s="2948" t="s">
        <v>3118</v>
      </c>
      <c r="C260" s="2948">
        <v>6920</v>
      </c>
      <c r="D260" s="2948">
        <v>6880</v>
      </c>
      <c r="E260" s="2948">
        <v>8380</v>
      </c>
      <c r="F260" s="2948">
        <v>1160</v>
      </c>
      <c r="G260" s="2948">
        <v>4220</v>
      </c>
    </row>
    <row r="261" spans="1:7" s="2781" customFormat="1" ht="14.25" customHeight="1">
      <c r="A261" s="2948" t="s">
        <v>305</v>
      </c>
      <c r="B261" s="2948" t="s">
        <v>3119</v>
      </c>
      <c r="C261" s="2948">
        <v>6850</v>
      </c>
      <c r="D261" s="2948">
        <v>6810</v>
      </c>
      <c r="E261" s="2948">
        <v>8290</v>
      </c>
      <c r="F261" s="2948">
        <v>1130</v>
      </c>
      <c r="G261" s="2948">
        <v>4180</v>
      </c>
    </row>
    <row r="262" spans="1:7" s="2781" customFormat="1" ht="14.25" customHeight="1">
      <c r="A262" s="2948" t="s">
        <v>305</v>
      </c>
      <c r="B262" s="2948" t="s">
        <v>3120</v>
      </c>
      <c r="C262" s="2948">
        <v>5860</v>
      </c>
      <c r="D262" s="2948">
        <v>5820</v>
      </c>
      <c r="E262" s="2948">
        <v>7640</v>
      </c>
      <c r="F262" s="2948">
        <v>1070</v>
      </c>
      <c r="G262" s="2948">
        <v>3570</v>
      </c>
    </row>
    <row r="263" spans="1:7" s="2781" customFormat="1" ht="14.25" customHeight="1">
      <c r="A263" s="2948" t="s">
        <v>305</v>
      </c>
      <c r="B263" s="2948" t="s">
        <v>3121</v>
      </c>
      <c r="C263" s="2948">
        <v>5870</v>
      </c>
      <c r="D263" s="2948">
        <v>5840</v>
      </c>
      <c r="E263" s="2948">
        <v>7270</v>
      </c>
      <c r="F263" s="2948">
        <v>1190</v>
      </c>
      <c r="G263" s="2948">
        <v>3580</v>
      </c>
    </row>
    <row r="264" spans="1:7" s="2781" customFormat="1" ht="14.25" customHeight="1">
      <c r="A264" s="2948" t="s">
        <v>305</v>
      </c>
      <c r="B264" s="2948" t="s">
        <v>299</v>
      </c>
      <c r="C264" s="2948">
        <v>6190</v>
      </c>
      <c r="D264" s="2948">
        <v>6150</v>
      </c>
      <c r="E264" s="2948">
        <v>7660</v>
      </c>
      <c r="F264" s="2948">
        <v>1160</v>
      </c>
      <c r="G264" s="2948">
        <v>3770</v>
      </c>
    </row>
    <row r="265" spans="1:7" s="2781" customFormat="1" ht="14.25" customHeight="1">
      <c r="A265" s="2948" t="s">
        <v>305</v>
      </c>
      <c r="B265" s="2948" t="s">
        <v>3122</v>
      </c>
      <c r="C265" s="2948"/>
      <c r="D265" s="2948"/>
      <c r="E265" s="2948"/>
      <c r="F265" s="2948">
        <v>1500</v>
      </c>
      <c r="G265" s="2948"/>
    </row>
    <row r="266" spans="1:7" s="2781" customFormat="1" ht="14.25" customHeight="1">
      <c r="A266" s="2948" t="s">
        <v>305</v>
      </c>
      <c r="B266" s="2948" t="s">
        <v>3123</v>
      </c>
      <c r="C266" s="2948"/>
      <c r="D266" s="2948"/>
      <c r="E266" s="2948"/>
      <c r="F266" s="2948">
        <v>1500</v>
      </c>
      <c r="G266" s="2948"/>
    </row>
    <row r="267" spans="1:7" s="2781" customFormat="1" ht="14.25" customHeight="1">
      <c r="A267" s="2948" t="s">
        <v>305</v>
      </c>
      <c r="B267" s="2948" t="s">
        <v>3124</v>
      </c>
      <c r="C267" s="2948"/>
      <c r="D267" s="2948"/>
      <c r="E267" s="2948"/>
      <c r="F267" s="2948">
        <v>1500</v>
      </c>
      <c r="G267" s="2948"/>
    </row>
    <row r="268" spans="1:7" s="2781" customFormat="1" ht="14.25" customHeight="1">
      <c r="A268" s="2948" t="s">
        <v>305</v>
      </c>
      <c r="B268" s="2948" t="s">
        <v>3125</v>
      </c>
      <c r="C268" s="2948"/>
      <c r="D268" s="2948"/>
      <c r="E268" s="2948"/>
      <c r="F268" s="2948">
        <v>1290</v>
      </c>
      <c r="G268" s="2948"/>
    </row>
    <row r="269" spans="1:7" s="2781" customFormat="1" ht="14.25" customHeight="1">
      <c r="A269" s="2948" t="s">
        <v>305</v>
      </c>
      <c r="B269" s="2948" t="s">
        <v>3126</v>
      </c>
      <c r="C269" s="2948"/>
      <c r="D269" s="2948"/>
      <c r="E269" s="2948"/>
      <c r="F269" s="2948">
        <v>1150</v>
      </c>
      <c r="G269" s="2948"/>
    </row>
    <row r="270" spans="1:7" s="2781" customFormat="1" ht="14.25" customHeight="1">
      <c r="A270" s="2948" t="s">
        <v>305</v>
      </c>
      <c r="B270" s="2948" t="s">
        <v>3127</v>
      </c>
      <c r="C270" s="2948"/>
      <c r="D270" s="2948"/>
      <c r="E270" s="2948"/>
      <c r="F270" s="2948">
        <v>1380</v>
      </c>
      <c r="G270" s="2948"/>
    </row>
    <row r="271" spans="1:7" s="2781" customFormat="1" ht="14.25" customHeight="1">
      <c r="A271" s="2948" t="s">
        <v>305</v>
      </c>
      <c r="B271" s="2948" t="s">
        <v>3128</v>
      </c>
      <c r="C271" s="2948"/>
      <c r="D271" s="2948"/>
      <c r="E271" s="2948"/>
      <c r="F271" s="2948">
        <v>1460</v>
      </c>
      <c r="G271" s="2948"/>
    </row>
    <row r="272" spans="1:7" s="2781" customFormat="1" ht="14.25" customHeight="1">
      <c r="A272" s="2948" t="s">
        <v>305</v>
      </c>
      <c r="B272" s="2948" t="s">
        <v>3129</v>
      </c>
      <c r="C272" s="2948"/>
      <c r="D272" s="2948"/>
      <c r="E272" s="2948"/>
      <c r="F272" s="2948">
        <v>1460</v>
      </c>
      <c r="G272" s="2948"/>
    </row>
    <row r="273" spans="1:7" s="2781" customFormat="1" ht="14.25" customHeight="1">
      <c r="A273" s="2948" t="s">
        <v>305</v>
      </c>
      <c r="B273" s="2948" t="s">
        <v>3022</v>
      </c>
      <c r="C273" s="2948"/>
      <c r="D273" s="2948"/>
      <c r="E273" s="2948"/>
      <c r="F273" s="2948">
        <v>1490</v>
      </c>
      <c r="G273" s="2948"/>
    </row>
    <row r="274" spans="1:7" s="2781" customFormat="1" ht="14.25" customHeight="1">
      <c r="A274" s="2948" t="s">
        <v>305</v>
      </c>
      <c r="B274" s="2948" t="s">
        <v>3130</v>
      </c>
      <c r="C274" s="2948"/>
      <c r="D274" s="2948"/>
      <c r="E274" s="2948"/>
      <c r="F274" s="2948">
        <v>1490</v>
      </c>
      <c r="G274" s="2948"/>
    </row>
    <row r="275" spans="1:7" s="2781" customFormat="1" ht="14.25" customHeight="1">
      <c r="A275" s="2948" t="s">
        <v>305</v>
      </c>
      <c r="B275" s="2948" t="s">
        <v>3131</v>
      </c>
      <c r="C275" s="2948"/>
      <c r="D275" s="2948"/>
      <c r="E275" s="2948"/>
      <c r="F275" s="2948">
        <v>1220</v>
      </c>
      <c r="G275" s="2948"/>
    </row>
    <row r="276" spans="1:7" s="2781" customFormat="1" ht="14.25" customHeight="1" thickBot="1">
      <c r="A276" s="2956" t="s">
        <v>305</v>
      </c>
      <c r="B276" s="2958" t="s">
        <v>3132</v>
      </c>
      <c r="C276" s="2959"/>
      <c r="D276" s="2959"/>
      <c r="E276" s="2959"/>
      <c r="F276" s="2959">
        <v>1380</v>
      </c>
      <c r="G276" s="2959"/>
    </row>
    <row r="277" spans="1:7" s="2781" customFormat="1" ht="14.25" customHeight="1">
      <c r="A277" s="2953" t="s">
        <v>306</v>
      </c>
      <c r="B277" s="2944" t="s">
        <v>3133</v>
      </c>
      <c r="C277" s="2944">
        <v>5790</v>
      </c>
      <c r="D277" s="2944">
        <v>5740</v>
      </c>
      <c r="E277" s="2944">
        <v>6730</v>
      </c>
      <c r="F277" s="2944">
        <v>1110</v>
      </c>
      <c r="G277" s="2960">
        <v>3460</v>
      </c>
    </row>
    <row r="278" spans="1:7" s="2781" customFormat="1" ht="14.25" customHeight="1">
      <c r="A278" s="2948" t="s">
        <v>306</v>
      </c>
      <c r="B278" s="2948" t="s">
        <v>135</v>
      </c>
      <c r="C278" s="2948">
        <v>5740</v>
      </c>
      <c r="D278" s="2948">
        <v>5670</v>
      </c>
      <c r="E278" s="2948">
        <v>6680</v>
      </c>
      <c r="F278" s="2948">
        <v>1070</v>
      </c>
      <c r="G278" s="2961">
        <v>3420</v>
      </c>
    </row>
    <row r="279" spans="1:7" s="2781" customFormat="1" ht="14.25" customHeight="1">
      <c r="A279" s="2948" t="s">
        <v>306</v>
      </c>
      <c r="B279" s="2948" t="s">
        <v>3134</v>
      </c>
      <c r="C279" s="2948">
        <v>4760</v>
      </c>
      <c r="D279" s="2948">
        <v>4720</v>
      </c>
      <c r="E279" s="2948">
        <v>5540</v>
      </c>
      <c r="F279" s="2948">
        <v>810</v>
      </c>
      <c r="G279" s="2961">
        <v>2850</v>
      </c>
    </row>
    <row r="280" spans="1:7" s="2781" customFormat="1" ht="14.25" customHeight="1">
      <c r="A280" s="2948" t="s">
        <v>306</v>
      </c>
      <c r="B280" s="2948" t="s">
        <v>3135</v>
      </c>
      <c r="C280" s="2948">
        <v>4010</v>
      </c>
      <c r="D280" s="2948">
        <v>3950</v>
      </c>
      <c r="E280" s="2948">
        <v>4710</v>
      </c>
      <c r="F280" s="2948">
        <v>800</v>
      </c>
      <c r="G280" s="2961">
        <v>2390</v>
      </c>
    </row>
    <row r="281" spans="1:7" s="2781" customFormat="1" ht="14.25" customHeight="1">
      <c r="A281" s="2948" t="s">
        <v>306</v>
      </c>
      <c r="B281" s="2948" t="s">
        <v>3136</v>
      </c>
      <c r="C281" s="2948">
        <v>4480</v>
      </c>
      <c r="D281" s="2948">
        <v>4420</v>
      </c>
      <c r="E281" s="2948">
        <v>5230</v>
      </c>
      <c r="F281" s="2948">
        <v>870</v>
      </c>
      <c r="G281" s="2961">
        <v>2660</v>
      </c>
    </row>
    <row r="282" spans="1:7" s="2781" customFormat="1" ht="14.25" customHeight="1">
      <c r="A282" s="2948" t="s">
        <v>306</v>
      </c>
      <c r="B282" s="2948" t="s">
        <v>3137</v>
      </c>
      <c r="C282" s="2948">
        <v>5360</v>
      </c>
      <c r="D282" s="2948">
        <v>5300</v>
      </c>
      <c r="E282" s="2948">
        <v>6190</v>
      </c>
      <c r="F282" s="2948">
        <v>950</v>
      </c>
      <c r="G282" s="2961">
        <v>3190</v>
      </c>
    </row>
    <row r="283" spans="1:7" s="2781" customFormat="1" ht="14.25" customHeight="1">
      <c r="A283" s="2948" t="s">
        <v>306</v>
      </c>
      <c r="B283" s="2948" t="s">
        <v>174</v>
      </c>
      <c r="C283" s="2948">
        <v>4950</v>
      </c>
      <c r="D283" s="2948">
        <v>4900</v>
      </c>
      <c r="E283" s="2948">
        <v>5720</v>
      </c>
      <c r="F283" s="2948">
        <v>920</v>
      </c>
      <c r="G283" s="2961">
        <v>2950</v>
      </c>
    </row>
    <row r="284" spans="1:7" s="2781" customFormat="1" ht="14.25" customHeight="1">
      <c r="A284" s="2948" t="s">
        <v>306</v>
      </c>
      <c r="B284" s="2948" t="s">
        <v>182</v>
      </c>
      <c r="C284" s="2948">
        <v>5610</v>
      </c>
      <c r="D284" s="2948">
        <v>5560</v>
      </c>
      <c r="E284" s="2948">
        <v>6520</v>
      </c>
      <c r="F284" s="2948">
        <v>1030</v>
      </c>
      <c r="G284" s="2961">
        <v>3360</v>
      </c>
    </row>
    <row r="285" spans="1:7" s="2781" customFormat="1" ht="14.25" customHeight="1">
      <c r="A285" s="2948" t="s">
        <v>306</v>
      </c>
      <c r="B285" s="2948" t="s">
        <v>192</v>
      </c>
      <c r="C285" s="2948">
        <v>5340</v>
      </c>
      <c r="D285" s="2948">
        <v>5290</v>
      </c>
      <c r="E285" s="2948">
        <v>6170</v>
      </c>
      <c r="F285" s="2948">
        <v>1080</v>
      </c>
      <c r="G285" s="2961">
        <v>3180</v>
      </c>
    </row>
    <row r="286" spans="1:7" s="2781" customFormat="1" ht="14.25" customHeight="1">
      <c r="A286" s="2948" t="s">
        <v>306</v>
      </c>
      <c r="B286" s="2948" t="s">
        <v>199</v>
      </c>
      <c r="C286" s="2948">
        <v>4890</v>
      </c>
      <c r="D286" s="2948">
        <v>4840</v>
      </c>
      <c r="E286" s="2948">
        <v>5640</v>
      </c>
      <c r="F286" s="2948">
        <v>960</v>
      </c>
      <c r="G286" s="2961">
        <v>2910</v>
      </c>
    </row>
    <row r="287" spans="1:7" s="2781" customFormat="1" ht="14.25" customHeight="1">
      <c r="A287" s="2948" t="s">
        <v>306</v>
      </c>
      <c r="B287" s="2948" t="s">
        <v>3138</v>
      </c>
      <c r="C287" s="2948">
        <v>4960</v>
      </c>
      <c r="D287" s="2948">
        <v>4920</v>
      </c>
      <c r="E287" s="2948">
        <v>5730</v>
      </c>
      <c r="F287" s="2948">
        <v>930</v>
      </c>
      <c r="G287" s="2961">
        <v>2960</v>
      </c>
    </row>
    <row r="288" spans="1:7" s="2781" customFormat="1" ht="14.25" customHeight="1">
      <c r="A288" s="2948" t="s">
        <v>306</v>
      </c>
      <c r="B288" s="2948" t="s">
        <v>219</v>
      </c>
      <c r="C288" s="2948">
        <v>4350</v>
      </c>
      <c r="D288" s="2948">
        <v>4300</v>
      </c>
      <c r="E288" s="2948">
        <v>4900</v>
      </c>
      <c r="F288" s="2948">
        <v>820</v>
      </c>
      <c r="G288" s="2961">
        <v>2590</v>
      </c>
    </row>
    <row r="289" spans="1:7" s="2781" customFormat="1" ht="14.25" customHeight="1">
      <c r="A289" s="2948" t="s">
        <v>306</v>
      </c>
      <c r="B289" s="2948" t="s">
        <v>3139</v>
      </c>
      <c r="C289" s="2948">
        <v>5230</v>
      </c>
      <c r="D289" s="2948">
        <v>5170</v>
      </c>
      <c r="E289" s="2948">
        <v>6060</v>
      </c>
      <c r="F289" s="2948">
        <v>900</v>
      </c>
      <c r="G289" s="2961">
        <v>3120</v>
      </c>
    </row>
    <row r="290" spans="1:7" s="2781" customFormat="1" ht="14.25" customHeight="1">
      <c r="A290" s="2948" t="s">
        <v>306</v>
      </c>
      <c r="B290" s="2948" t="s">
        <v>242</v>
      </c>
      <c r="C290" s="2948">
        <v>5550</v>
      </c>
      <c r="D290" s="2948">
        <v>5500</v>
      </c>
      <c r="E290" s="2948">
        <v>6440</v>
      </c>
      <c r="F290" s="2948">
        <v>960</v>
      </c>
      <c r="G290" s="2961">
        <v>3320</v>
      </c>
    </row>
    <row r="291" spans="1:7" s="2781" customFormat="1" ht="14.25" customHeight="1">
      <c r="A291" s="2948" t="s">
        <v>306</v>
      </c>
      <c r="B291" s="2948" t="s">
        <v>250</v>
      </c>
      <c r="C291" s="2948">
        <v>5440</v>
      </c>
      <c r="D291" s="2948">
        <v>5400</v>
      </c>
      <c r="E291" s="2948">
        <v>6320</v>
      </c>
      <c r="F291" s="2948">
        <v>930</v>
      </c>
      <c r="G291" s="2961">
        <v>3250</v>
      </c>
    </row>
    <row r="292" spans="1:7" s="2781" customFormat="1" ht="14.25" customHeight="1">
      <c r="A292" s="2948" t="s">
        <v>306</v>
      </c>
      <c r="B292" s="2948" t="s">
        <v>256</v>
      </c>
      <c r="C292" s="2948">
        <v>5400</v>
      </c>
      <c r="D292" s="2948">
        <v>5360</v>
      </c>
      <c r="E292" s="2948">
        <v>6270</v>
      </c>
      <c r="F292" s="2948">
        <v>1040</v>
      </c>
      <c r="G292" s="2961">
        <v>3230</v>
      </c>
    </row>
    <row r="293" spans="1:7" s="2781" customFormat="1" ht="14.25" customHeight="1">
      <c r="A293" s="2948" t="s">
        <v>306</v>
      </c>
      <c r="B293" s="2948" t="s">
        <v>2914</v>
      </c>
      <c r="C293" s="2948">
        <v>5320</v>
      </c>
      <c r="D293" s="2948">
        <v>5270</v>
      </c>
      <c r="E293" s="2948">
        <v>6160</v>
      </c>
      <c r="F293" s="2948">
        <v>990</v>
      </c>
      <c r="G293" s="2961">
        <v>3170</v>
      </c>
    </row>
    <row r="294" spans="1:7" s="2781" customFormat="1" ht="14.25" customHeight="1">
      <c r="A294" s="2948" t="s">
        <v>306</v>
      </c>
      <c r="B294" s="2948" t="s">
        <v>3140</v>
      </c>
      <c r="C294" s="2948">
        <v>5260</v>
      </c>
      <c r="D294" s="2948">
        <v>5210</v>
      </c>
      <c r="E294" s="2948">
        <v>6100</v>
      </c>
      <c r="F294" s="2948">
        <v>950</v>
      </c>
      <c r="G294" s="2961">
        <v>3150</v>
      </c>
    </row>
    <row r="295" spans="1:7" s="2781" customFormat="1" ht="14.25" customHeight="1">
      <c r="A295" s="2948" t="s">
        <v>306</v>
      </c>
      <c r="B295" s="2948" t="s">
        <v>290</v>
      </c>
      <c r="C295" s="2948">
        <v>5610</v>
      </c>
      <c r="D295" s="2948">
        <v>5570</v>
      </c>
      <c r="E295" s="2948">
        <v>6530</v>
      </c>
      <c r="F295" s="2948">
        <v>960</v>
      </c>
      <c r="G295" s="2961">
        <v>3360</v>
      </c>
    </row>
    <row r="296" spans="1:7" s="2781" customFormat="1" ht="14.25" customHeight="1">
      <c r="A296" s="2948" t="s">
        <v>306</v>
      </c>
      <c r="B296" s="2948" t="s">
        <v>293</v>
      </c>
      <c r="C296" s="2948">
        <v>5540</v>
      </c>
      <c r="D296" s="2948">
        <v>5490</v>
      </c>
      <c r="E296" s="2948">
        <v>6430</v>
      </c>
      <c r="F296" s="2948">
        <v>980</v>
      </c>
      <c r="G296" s="2961">
        <v>3310</v>
      </c>
    </row>
    <row r="297" spans="1:7" s="2781" customFormat="1" ht="14.25" customHeight="1">
      <c r="A297" s="2948" t="s">
        <v>306</v>
      </c>
      <c r="B297" s="2948" t="s">
        <v>295</v>
      </c>
      <c r="C297" s="2948">
        <v>5480</v>
      </c>
      <c r="D297" s="2948">
        <v>5420</v>
      </c>
      <c r="E297" s="2948">
        <v>6370</v>
      </c>
      <c r="F297" s="2948">
        <v>990</v>
      </c>
      <c r="G297" s="2961">
        <v>3270</v>
      </c>
    </row>
    <row r="298" spans="1:7" s="2781" customFormat="1" ht="14.25" customHeight="1">
      <c r="A298" s="2948" t="s">
        <v>306</v>
      </c>
      <c r="B298" s="2948" t="s">
        <v>298</v>
      </c>
      <c r="C298" s="2948">
        <v>5090</v>
      </c>
      <c r="D298" s="2948">
        <v>5050</v>
      </c>
      <c r="E298" s="2948">
        <v>5910</v>
      </c>
      <c r="F298" s="2948">
        <v>900</v>
      </c>
      <c r="G298" s="2961">
        <v>3040</v>
      </c>
    </row>
    <row r="299" spans="1:7" s="2781" customFormat="1" ht="14.25" customHeight="1">
      <c r="A299" s="2948" t="s">
        <v>306</v>
      </c>
      <c r="B299" s="2957" t="s">
        <v>2933</v>
      </c>
      <c r="C299" s="2948">
        <v>5430</v>
      </c>
      <c r="D299" s="2948">
        <v>5380</v>
      </c>
      <c r="E299" s="2948">
        <v>6280</v>
      </c>
      <c r="F299" s="2948">
        <v>1000</v>
      </c>
      <c r="G299" s="2961">
        <v>3240</v>
      </c>
    </row>
    <row r="300" spans="1:7" s="2781" customFormat="1" ht="14.25" customHeight="1">
      <c r="A300" s="2948" t="s">
        <v>306</v>
      </c>
      <c r="B300" s="2957" t="s">
        <v>271</v>
      </c>
      <c r="C300" s="2948">
        <v>4740</v>
      </c>
      <c r="D300" s="2948">
        <v>4680</v>
      </c>
      <c r="E300" s="2948">
        <v>5450</v>
      </c>
      <c r="F300" s="2948">
        <v>900</v>
      </c>
      <c r="G300" s="2961">
        <v>2830</v>
      </c>
    </row>
    <row r="301" spans="1:7" s="2781" customFormat="1" ht="14.25" customHeight="1">
      <c r="A301" s="2948" t="s">
        <v>306</v>
      </c>
      <c r="B301" s="2957" t="s">
        <v>276</v>
      </c>
      <c r="C301" s="2948">
        <v>4870</v>
      </c>
      <c r="D301" s="2948">
        <v>4810</v>
      </c>
      <c r="E301" s="2948">
        <v>5560</v>
      </c>
      <c r="F301" s="2948">
        <v>990</v>
      </c>
      <c r="G301" s="2961">
        <v>2910</v>
      </c>
    </row>
    <row r="302" spans="1:7" s="2781" customFormat="1" ht="14.25" customHeight="1">
      <c r="A302" s="2948" t="s">
        <v>306</v>
      </c>
      <c r="B302" s="2948" t="s">
        <v>3141</v>
      </c>
      <c r="C302" s="2948">
        <v>5520</v>
      </c>
      <c r="D302" s="2948">
        <v>5470</v>
      </c>
      <c r="E302" s="2948">
        <v>6410</v>
      </c>
      <c r="F302" s="2948">
        <v>950</v>
      </c>
      <c r="G302" s="2961">
        <v>3300</v>
      </c>
    </row>
    <row r="303" spans="1:7" s="2781" customFormat="1" ht="14.25" customHeight="1">
      <c r="A303" s="2948" t="s">
        <v>306</v>
      </c>
      <c r="B303" s="2948" t="s">
        <v>2953</v>
      </c>
      <c r="C303" s="2948">
        <v>5630</v>
      </c>
      <c r="D303" s="2948">
        <v>5590</v>
      </c>
      <c r="E303" s="2948">
        <v>6550</v>
      </c>
      <c r="F303" s="2948">
        <v>1010</v>
      </c>
      <c r="G303" s="2961">
        <v>3370</v>
      </c>
    </row>
    <row r="304" spans="1:7" s="2781" customFormat="1" ht="14.25" customHeight="1">
      <c r="A304" s="2948" t="s">
        <v>306</v>
      </c>
      <c r="B304" s="2948" t="s">
        <v>2960</v>
      </c>
      <c r="C304" s="2948">
        <v>5680</v>
      </c>
      <c r="D304" s="2948">
        <v>5620</v>
      </c>
      <c r="E304" s="2948">
        <v>6620</v>
      </c>
      <c r="F304" s="2948">
        <v>1050</v>
      </c>
      <c r="G304" s="2961">
        <v>3390</v>
      </c>
    </row>
    <row r="305" spans="1:7" s="2781" customFormat="1" ht="14.25" customHeight="1">
      <c r="A305" s="2948" t="s">
        <v>306</v>
      </c>
      <c r="B305" s="2948" t="s">
        <v>2966</v>
      </c>
      <c r="C305" s="2948">
        <v>5590</v>
      </c>
      <c r="D305" s="2948">
        <v>5530</v>
      </c>
      <c r="E305" s="2948">
        <v>6460</v>
      </c>
      <c r="F305" s="2948">
        <v>900</v>
      </c>
      <c r="G305" s="2961">
        <v>3340</v>
      </c>
    </row>
    <row r="306" spans="1:7" s="2781" customFormat="1" ht="14.25" customHeight="1">
      <c r="A306" s="2948" t="s">
        <v>306</v>
      </c>
      <c r="B306" s="2948" t="s">
        <v>3142</v>
      </c>
      <c r="C306" s="2948">
        <v>5560</v>
      </c>
      <c r="D306" s="2948">
        <v>5510</v>
      </c>
      <c r="E306" s="2948">
        <v>6440</v>
      </c>
      <c r="F306" s="2948">
        <v>900</v>
      </c>
      <c r="G306" s="2961">
        <v>3320</v>
      </c>
    </row>
    <row r="307" spans="1:7" s="2781" customFormat="1" ht="14.25" customHeight="1">
      <c r="A307" s="2948" t="s">
        <v>306</v>
      </c>
      <c r="B307" s="2948" t="s">
        <v>2978</v>
      </c>
      <c r="C307" s="2948">
        <v>5650</v>
      </c>
      <c r="D307" s="2948">
        <v>5600</v>
      </c>
      <c r="E307" s="2948">
        <v>6590</v>
      </c>
      <c r="F307" s="2948">
        <v>930</v>
      </c>
      <c r="G307" s="2961">
        <v>3380</v>
      </c>
    </row>
    <row r="308" spans="1:7" s="2781" customFormat="1" ht="14.25" customHeight="1">
      <c r="A308" s="2948" t="s">
        <v>306</v>
      </c>
      <c r="B308" s="2948" t="s">
        <v>3143</v>
      </c>
      <c r="C308" s="2948">
        <v>5620</v>
      </c>
      <c r="D308" s="2948">
        <v>5580</v>
      </c>
      <c r="E308" s="2948">
        <v>6540</v>
      </c>
      <c r="F308" s="2948">
        <v>910</v>
      </c>
      <c r="G308" s="2961">
        <v>3370</v>
      </c>
    </row>
    <row r="309" spans="1:7" s="2781" customFormat="1" ht="14.25" customHeight="1">
      <c r="A309" s="2948" t="s">
        <v>306</v>
      </c>
      <c r="B309" s="2948" t="s">
        <v>3144</v>
      </c>
      <c r="C309" s="2948">
        <v>5060</v>
      </c>
      <c r="D309" s="2948">
        <v>5020</v>
      </c>
      <c r="E309" s="2948">
        <v>6370</v>
      </c>
      <c r="F309" s="2948">
        <v>800</v>
      </c>
      <c r="G309" s="2961">
        <v>3020</v>
      </c>
    </row>
    <row r="310" spans="1:7" s="2781" customFormat="1" ht="14.25" customHeight="1">
      <c r="A310" s="2948" t="s">
        <v>306</v>
      </c>
      <c r="B310" s="2948" t="s">
        <v>2993</v>
      </c>
      <c r="C310" s="2948">
        <v>5150</v>
      </c>
      <c r="D310" s="2948">
        <v>5110</v>
      </c>
      <c r="E310" s="2948">
        <v>6500</v>
      </c>
      <c r="F310" s="2948">
        <v>880</v>
      </c>
      <c r="G310" s="2961">
        <v>3080</v>
      </c>
    </row>
    <row r="311" spans="1:7" s="2781" customFormat="1" ht="14.25" customHeight="1">
      <c r="A311" s="2948" t="s">
        <v>306</v>
      </c>
      <c r="B311" s="2948" t="s">
        <v>3145</v>
      </c>
      <c r="C311" s="2948">
        <v>4750</v>
      </c>
      <c r="D311" s="2948">
        <v>4710</v>
      </c>
      <c r="E311" s="2948">
        <v>5510</v>
      </c>
      <c r="F311" s="2948">
        <v>880</v>
      </c>
      <c r="G311" s="2961">
        <v>2840</v>
      </c>
    </row>
    <row r="312" spans="1:7" s="2781" customFormat="1" ht="14.25" customHeight="1">
      <c r="A312" s="2948" t="s">
        <v>306</v>
      </c>
      <c r="B312" s="2948" t="s">
        <v>3003</v>
      </c>
      <c r="C312" s="2948">
        <v>4690</v>
      </c>
      <c r="D312" s="2948">
        <v>4640</v>
      </c>
      <c r="E312" s="2948">
        <v>5420</v>
      </c>
      <c r="F312" s="2948">
        <v>800</v>
      </c>
      <c r="G312" s="2961">
        <v>2800</v>
      </c>
    </row>
    <row r="313" spans="1:7" s="2781" customFormat="1" ht="14.25" customHeight="1">
      <c r="A313" s="2948" t="s">
        <v>306</v>
      </c>
      <c r="B313" s="2948" t="s">
        <v>3008</v>
      </c>
      <c r="C313" s="2948">
        <v>4810</v>
      </c>
      <c r="D313" s="2948">
        <v>4760</v>
      </c>
      <c r="E313" s="2948">
        <v>5550</v>
      </c>
      <c r="F313" s="2948">
        <v>920</v>
      </c>
      <c r="G313" s="2961">
        <v>2870</v>
      </c>
    </row>
    <row r="314" spans="1:7" s="2781" customFormat="1" ht="14.25" customHeight="1">
      <c r="A314" s="2948" t="s">
        <v>306</v>
      </c>
      <c r="B314" s="2948" t="s">
        <v>3146</v>
      </c>
      <c r="C314" s="2948"/>
      <c r="D314" s="2948"/>
      <c r="E314" s="2948"/>
      <c r="F314" s="2948">
        <v>1020</v>
      </c>
      <c r="G314" s="2961"/>
    </row>
    <row r="315" spans="1:7" s="2781" customFormat="1" ht="14.25" customHeight="1">
      <c r="A315" s="2948" t="s">
        <v>306</v>
      </c>
      <c r="B315" s="2948" t="s">
        <v>3147</v>
      </c>
      <c r="C315" s="2948"/>
      <c r="D315" s="2948"/>
      <c r="E315" s="2948"/>
      <c r="F315" s="2948">
        <v>1050</v>
      </c>
      <c r="G315" s="2961"/>
    </row>
    <row r="316" spans="1:7" s="2781" customFormat="1" ht="14.25" customHeight="1">
      <c r="A316" s="2948" t="s">
        <v>306</v>
      </c>
      <c r="B316" s="2948" t="s">
        <v>3023</v>
      </c>
      <c r="C316" s="2948"/>
      <c r="D316" s="2948"/>
      <c r="E316" s="2948"/>
      <c r="F316" s="2948">
        <v>900</v>
      </c>
      <c r="G316" s="2961"/>
    </row>
    <row r="317" spans="1:7" s="2781" customFormat="1" ht="14.25" customHeight="1">
      <c r="A317" s="2948" t="s">
        <v>306</v>
      </c>
      <c r="B317" s="2948" t="s">
        <v>3148</v>
      </c>
      <c r="C317" s="2948"/>
      <c r="D317" s="2948"/>
      <c r="E317" s="2948"/>
      <c r="F317" s="2948">
        <v>920</v>
      </c>
      <c r="G317" s="2961"/>
    </row>
    <row r="318" spans="1:7" s="2781" customFormat="1" ht="14.25" customHeight="1">
      <c r="A318" s="2948" t="s">
        <v>306</v>
      </c>
      <c r="B318" s="2948" t="s">
        <v>3149</v>
      </c>
      <c r="C318" s="2948"/>
      <c r="D318" s="2948"/>
      <c r="E318" s="2948"/>
      <c r="F318" s="2948">
        <v>1080</v>
      </c>
      <c r="G318" s="2961"/>
    </row>
    <row r="319" spans="1:7" s="2781" customFormat="1" ht="14.25" customHeight="1">
      <c r="A319" s="2948" t="s">
        <v>306</v>
      </c>
      <c r="B319" s="2948" t="s">
        <v>3036</v>
      </c>
      <c r="C319" s="2948"/>
      <c r="D319" s="2948"/>
      <c r="E319" s="2948"/>
      <c r="F319" s="2948">
        <v>1020</v>
      </c>
      <c r="G319" s="2961"/>
    </row>
    <row r="320" spans="1:7" s="2781" customFormat="1" ht="14.25" customHeight="1">
      <c r="A320" s="2948" t="s">
        <v>306</v>
      </c>
      <c r="B320" s="2948" t="s">
        <v>3039</v>
      </c>
      <c r="C320" s="2948"/>
      <c r="D320" s="2948"/>
      <c r="E320" s="2948"/>
      <c r="F320" s="2948">
        <v>1050</v>
      </c>
      <c r="G320" s="2961"/>
    </row>
    <row r="321" spans="1:7" s="2781" customFormat="1" ht="14.25" customHeight="1">
      <c r="A321" s="2948" t="s">
        <v>306</v>
      </c>
      <c r="B321" s="2948" t="s">
        <v>3041</v>
      </c>
      <c r="C321" s="2948"/>
      <c r="D321" s="2948"/>
      <c r="E321" s="2948"/>
      <c r="F321" s="2948">
        <v>960</v>
      </c>
      <c r="G321" s="2961"/>
    </row>
    <row r="322" spans="1:7" s="2781" customFormat="1" ht="14.25" customHeight="1">
      <c r="A322" s="2948" t="s">
        <v>306</v>
      </c>
      <c r="B322" s="2948" t="s">
        <v>3043</v>
      </c>
      <c r="C322" s="2948"/>
      <c r="D322" s="2948"/>
      <c r="E322" s="2948"/>
      <c r="F322" s="2948">
        <v>960</v>
      </c>
      <c r="G322" s="2961"/>
    </row>
    <row r="323" spans="1:7" s="2781" customFormat="1" ht="14.25" customHeight="1">
      <c r="A323" s="2948" t="s">
        <v>306</v>
      </c>
      <c r="B323" s="2948" t="s">
        <v>3045</v>
      </c>
      <c r="C323" s="2948"/>
      <c r="D323" s="2948"/>
      <c r="E323" s="2948"/>
      <c r="F323" s="2948">
        <v>880</v>
      </c>
      <c r="G323" s="2961"/>
    </row>
    <row r="324" spans="1:7" s="2781" customFormat="1" ht="14.25" customHeight="1">
      <c r="A324" s="2948" t="s">
        <v>306</v>
      </c>
      <c r="B324" s="2948" t="s">
        <v>3047</v>
      </c>
      <c r="C324" s="2948"/>
      <c r="D324" s="2948"/>
      <c r="E324" s="2948"/>
      <c r="F324" s="2948">
        <v>930</v>
      </c>
      <c r="G324" s="2961"/>
    </row>
    <row r="325" spans="1:7" s="2781" customFormat="1" ht="14.25" customHeight="1">
      <c r="A325" s="2948" t="s">
        <v>306</v>
      </c>
      <c r="B325" s="2949" t="s">
        <v>3049</v>
      </c>
      <c r="C325" s="2948"/>
      <c r="D325" s="2948"/>
      <c r="E325" s="2948"/>
      <c r="F325" s="2948">
        <v>900</v>
      </c>
      <c r="G325" s="2961"/>
    </row>
    <row r="326" spans="1:7" s="2781" customFormat="1" ht="14.25" customHeight="1" thickBot="1">
      <c r="A326" s="2962" t="s">
        <v>306</v>
      </c>
      <c r="B326" s="2955" t="s">
        <v>3051</v>
      </c>
      <c r="C326" s="2955"/>
      <c r="D326" s="2955"/>
      <c r="E326" s="2955"/>
      <c r="F326" s="2955">
        <v>790</v>
      </c>
      <c r="G326" s="2963"/>
    </row>
    <row r="327" spans="1:7" s="2781" customFormat="1" ht="14.25" customHeight="1">
      <c r="A327" s="2953" t="s">
        <v>307</v>
      </c>
      <c r="B327" s="2944" t="s">
        <v>3150</v>
      </c>
      <c r="C327" s="2948">
        <v>3750</v>
      </c>
      <c r="D327" s="2948">
        <v>3710</v>
      </c>
      <c r="E327" s="2948">
        <v>4080</v>
      </c>
      <c r="F327" s="2948">
        <v>860</v>
      </c>
      <c r="G327" s="2948">
        <v>2210</v>
      </c>
    </row>
    <row r="328" spans="1:7" s="2781" customFormat="1" ht="14.25" customHeight="1">
      <c r="A328" s="2948" t="s">
        <v>307</v>
      </c>
      <c r="B328" s="2948" t="s">
        <v>136</v>
      </c>
      <c r="C328" s="2948">
        <v>3330</v>
      </c>
      <c r="D328" s="2948">
        <v>3290</v>
      </c>
      <c r="E328" s="2948">
        <v>3610</v>
      </c>
      <c r="F328" s="2948">
        <v>850</v>
      </c>
      <c r="G328" s="2948">
        <v>1960</v>
      </c>
    </row>
    <row r="329" spans="1:7" s="2781" customFormat="1" ht="14.25" customHeight="1">
      <c r="A329" s="2948" t="s">
        <v>307</v>
      </c>
      <c r="B329" s="2948" t="s">
        <v>3151</v>
      </c>
      <c r="C329" s="2948">
        <v>2730</v>
      </c>
      <c r="D329" s="2948">
        <v>2690</v>
      </c>
      <c r="E329" s="2948">
        <v>3100</v>
      </c>
      <c r="F329" s="2948">
        <v>660</v>
      </c>
      <c r="G329" s="2948">
        <v>1610</v>
      </c>
    </row>
    <row r="330" spans="1:7" s="2781" customFormat="1" ht="14.25" customHeight="1">
      <c r="A330" s="2948" t="s">
        <v>307</v>
      </c>
      <c r="B330" s="2948" t="s">
        <v>3152</v>
      </c>
      <c r="C330" s="2948">
        <v>3270</v>
      </c>
      <c r="D330" s="2948">
        <v>3240</v>
      </c>
      <c r="E330" s="2948">
        <v>3560</v>
      </c>
      <c r="F330" s="2948">
        <v>680</v>
      </c>
      <c r="G330" s="2948">
        <v>1940</v>
      </c>
    </row>
    <row r="331" spans="1:7" s="2781" customFormat="1" ht="14.25" customHeight="1">
      <c r="A331" s="2948" t="s">
        <v>307</v>
      </c>
      <c r="B331" s="2948" t="s">
        <v>161</v>
      </c>
      <c r="C331" s="2948">
        <v>3770</v>
      </c>
      <c r="D331" s="2948">
        <v>3740</v>
      </c>
      <c r="E331" s="2948">
        <v>4110</v>
      </c>
      <c r="F331" s="2948">
        <v>730</v>
      </c>
      <c r="G331" s="2948">
        <v>2230</v>
      </c>
    </row>
    <row r="332" spans="1:7" s="2781" customFormat="1" ht="14.25" customHeight="1">
      <c r="A332" s="2948" t="s">
        <v>307</v>
      </c>
      <c r="B332" s="2948" t="s">
        <v>2885</v>
      </c>
      <c r="C332" s="2948">
        <v>3520</v>
      </c>
      <c r="D332" s="2948">
        <v>3480</v>
      </c>
      <c r="E332" s="2948">
        <v>3830</v>
      </c>
      <c r="F332" s="2948">
        <v>720</v>
      </c>
      <c r="G332" s="2948">
        <v>2090</v>
      </c>
    </row>
    <row r="333" spans="1:7" s="2781" customFormat="1" ht="14.25" customHeight="1">
      <c r="A333" s="2948" t="s">
        <v>307</v>
      </c>
      <c r="B333" s="2948" t="s">
        <v>3153</v>
      </c>
      <c r="C333" s="2948">
        <v>3840</v>
      </c>
      <c r="D333" s="2948">
        <v>3800</v>
      </c>
      <c r="E333" s="2948">
        <v>4200</v>
      </c>
      <c r="F333" s="2948">
        <v>760</v>
      </c>
      <c r="G333" s="2948">
        <v>2270</v>
      </c>
    </row>
    <row r="334" spans="1:7" s="2781" customFormat="1" ht="14.25" customHeight="1">
      <c r="A334" s="2948" t="s">
        <v>307</v>
      </c>
      <c r="B334" s="2948" t="s">
        <v>183</v>
      </c>
      <c r="C334" s="2948">
        <v>3960</v>
      </c>
      <c r="D334" s="2948">
        <v>3910</v>
      </c>
      <c r="E334" s="2948">
        <v>4340</v>
      </c>
      <c r="F334" s="2948">
        <v>780</v>
      </c>
      <c r="G334" s="2948">
        <v>2340</v>
      </c>
    </row>
    <row r="335" spans="1:7" s="2781" customFormat="1" ht="14.25" customHeight="1">
      <c r="A335" s="2948" t="s">
        <v>307</v>
      </c>
      <c r="B335" s="2948" t="s">
        <v>193</v>
      </c>
      <c r="C335" s="2948">
        <v>3710</v>
      </c>
      <c r="D335" s="2948">
        <v>3670</v>
      </c>
      <c r="E335" s="2948">
        <v>4030</v>
      </c>
      <c r="F335" s="2948">
        <v>750</v>
      </c>
      <c r="G335" s="2948">
        <v>2200</v>
      </c>
    </row>
    <row r="336" spans="1:7" s="2781" customFormat="1" ht="14.25" customHeight="1">
      <c r="A336" s="2948" t="s">
        <v>307</v>
      </c>
      <c r="B336" s="2948" t="s">
        <v>2895</v>
      </c>
      <c r="C336" s="2948">
        <v>3570</v>
      </c>
      <c r="D336" s="2948">
        <v>3530</v>
      </c>
      <c r="E336" s="2948">
        <v>3880</v>
      </c>
      <c r="F336" s="2948">
        <v>770</v>
      </c>
      <c r="G336" s="2948">
        <v>2110</v>
      </c>
    </row>
    <row r="337" spans="1:10" s="2781" customFormat="1" ht="14.25" customHeight="1">
      <c r="A337" s="2948" t="s">
        <v>307</v>
      </c>
      <c r="B337" s="2948" t="s">
        <v>3154</v>
      </c>
      <c r="C337" s="2948">
        <v>3780</v>
      </c>
      <c r="D337" s="2948">
        <v>3750</v>
      </c>
      <c r="E337" s="2948">
        <v>4130</v>
      </c>
      <c r="F337" s="2948">
        <v>750</v>
      </c>
      <c r="G337" s="2948">
        <v>2240</v>
      </c>
    </row>
    <row r="338" spans="1:10" s="2781" customFormat="1" ht="14.25" customHeight="1">
      <c r="A338" s="2948" t="s">
        <v>307</v>
      </c>
      <c r="B338" s="2948" t="s">
        <v>220</v>
      </c>
      <c r="C338" s="2948">
        <v>3600</v>
      </c>
      <c r="D338" s="2948">
        <v>3570</v>
      </c>
      <c r="E338" s="2948">
        <v>3920</v>
      </c>
      <c r="F338" s="2948">
        <v>790</v>
      </c>
      <c r="G338" s="2948">
        <v>2140</v>
      </c>
    </row>
    <row r="339" spans="1:10" s="2781" customFormat="1" ht="14.25" customHeight="1">
      <c r="A339" s="2948" t="s">
        <v>307</v>
      </c>
      <c r="B339" s="2948" t="s">
        <v>228</v>
      </c>
      <c r="C339" s="2948">
        <v>3540</v>
      </c>
      <c r="D339" s="2948">
        <v>3500</v>
      </c>
      <c r="E339" s="2948">
        <v>3850</v>
      </c>
      <c r="F339" s="2948">
        <v>780</v>
      </c>
      <c r="G339" s="2948">
        <v>2100</v>
      </c>
    </row>
    <row r="340" spans="1:10" s="2781" customFormat="1" ht="14.25" customHeight="1">
      <c r="A340" s="2948" t="s">
        <v>307</v>
      </c>
      <c r="B340" s="2948" t="s">
        <v>3155</v>
      </c>
      <c r="C340" s="2948">
        <v>3850</v>
      </c>
      <c r="D340" s="2948">
        <v>3810</v>
      </c>
      <c r="E340" s="2948">
        <v>4210</v>
      </c>
      <c r="F340" s="2948">
        <v>750</v>
      </c>
      <c r="G340" s="2948">
        <v>2280</v>
      </c>
    </row>
    <row r="341" spans="1:10" s="2781" customFormat="1" ht="14.25" customHeight="1">
      <c r="A341" s="2948" t="s">
        <v>307</v>
      </c>
      <c r="B341" s="2948" t="s">
        <v>207</v>
      </c>
      <c r="C341" s="2948">
        <v>3780</v>
      </c>
      <c r="D341" s="2948">
        <v>3750</v>
      </c>
      <c r="E341" s="2948">
        <v>4140</v>
      </c>
      <c r="F341" s="2948">
        <v>720</v>
      </c>
      <c r="G341" s="2948">
        <v>2240</v>
      </c>
    </row>
    <row r="342" spans="1:10" s="2781" customFormat="1" ht="14.25" customHeight="1">
      <c r="A342" s="2948" t="s">
        <v>307</v>
      </c>
      <c r="B342" s="2948" t="s">
        <v>3156</v>
      </c>
      <c r="C342" s="2948">
        <v>3670</v>
      </c>
      <c r="D342" s="2948">
        <v>3620</v>
      </c>
      <c r="E342" s="2948">
        <v>3990</v>
      </c>
      <c r="F342" s="2948">
        <v>760</v>
      </c>
      <c r="G342" s="2948">
        <v>2170</v>
      </c>
    </row>
    <row r="343" spans="1:10" s="2781" customFormat="1" ht="14.25" customHeight="1">
      <c r="A343" s="2948" t="s">
        <v>307</v>
      </c>
      <c r="B343" s="2948" t="s">
        <v>257</v>
      </c>
      <c r="C343" s="2948">
        <v>3760</v>
      </c>
      <c r="D343" s="2948">
        <v>3720</v>
      </c>
      <c r="E343" s="2948">
        <v>4090</v>
      </c>
      <c r="F343" s="2948">
        <v>780</v>
      </c>
      <c r="G343" s="2948">
        <v>2220</v>
      </c>
    </row>
    <row r="344" spans="1:10" s="2781"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1"/>
    </row>
    <row r="346" spans="1:10">
      <c r="A346" s="2948" t="s">
        <v>307</v>
      </c>
      <c r="B346" s="2948" t="s">
        <v>3157</v>
      </c>
      <c r="C346" s="2948">
        <v>3630</v>
      </c>
      <c r="D346" s="2948">
        <v>3590</v>
      </c>
      <c r="E346" s="2948">
        <v>3940</v>
      </c>
      <c r="F346" s="2948">
        <v>730</v>
      </c>
      <c r="G346" s="2948">
        <v>2150</v>
      </c>
      <c r="J346" s="2781"/>
    </row>
    <row r="347" spans="1:10">
      <c r="A347" s="2948" t="s">
        <v>307</v>
      </c>
      <c r="B347" s="2948" t="s">
        <v>243</v>
      </c>
      <c r="C347" s="2948">
        <v>3860</v>
      </c>
      <c r="D347" s="2948">
        <v>3820</v>
      </c>
      <c r="E347" s="2948">
        <v>4220</v>
      </c>
      <c r="F347" s="2948">
        <v>750</v>
      </c>
      <c r="G347" s="2948">
        <v>2280</v>
      </c>
      <c r="J347" s="2781"/>
    </row>
    <row r="348" spans="1:10">
      <c r="A348" s="2948" t="s">
        <v>307</v>
      </c>
      <c r="B348" s="2948" t="s">
        <v>2929</v>
      </c>
      <c r="C348" s="2948">
        <v>4000</v>
      </c>
      <c r="D348" s="2948">
        <v>3950</v>
      </c>
      <c r="E348" s="2948">
        <v>4430</v>
      </c>
      <c r="F348" s="2948">
        <v>760</v>
      </c>
      <c r="G348" s="2948">
        <v>2360</v>
      </c>
      <c r="J348" s="2781"/>
    </row>
    <row r="349" spans="1:10">
      <c r="A349" s="2948" t="s">
        <v>307</v>
      </c>
      <c r="B349" s="2948" t="s">
        <v>2934</v>
      </c>
      <c r="C349" s="2948">
        <v>3820</v>
      </c>
      <c r="D349" s="2948">
        <v>3780</v>
      </c>
      <c r="E349" s="2948">
        <v>4170</v>
      </c>
      <c r="F349" s="2948">
        <v>710</v>
      </c>
      <c r="G349" s="2948">
        <v>2260</v>
      </c>
      <c r="J349" s="2781"/>
    </row>
    <row r="350" spans="1:10">
      <c r="A350" s="2948" t="s">
        <v>307</v>
      </c>
      <c r="B350" s="2948" t="s">
        <v>3158</v>
      </c>
      <c r="C350" s="2948">
        <v>3760</v>
      </c>
      <c r="D350" s="2948">
        <v>3730</v>
      </c>
      <c r="E350" s="2948">
        <v>4100</v>
      </c>
      <c r="F350" s="2948">
        <v>800</v>
      </c>
      <c r="G350" s="2948">
        <v>2230</v>
      </c>
      <c r="J350" s="2781"/>
    </row>
    <row r="351" spans="1:10">
      <c r="A351" s="2948" t="s">
        <v>307</v>
      </c>
      <c r="B351" s="2948" t="s">
        <v>2942</v>
      </c>
      <c r="C351" s="2948">
        <v>3610</v>
      </c>
      <c r="D351" s="2948">
        <v>3580</v>
      </c>
      <c r="E351" s="2948">
        <v>3930</v>
      </c>
      <c r="F351" s="2948">
        <v>700</v>
      </c>
      <c r="G351" s="2948">
        <v>2140</v>
      </c>
      <c r="J351" s="2781"/>
    </row>
    <row r="352" spans="1:10">
      <c r="A352" s="2948" t="s">
        <v>307</v>
      </c>
      <c r="B352" s="2948" t="s">
        <v>2947</v>
      </c>
      <c r="C352" s="2948">
        <v>3670</v>
      </c>
      <c r="D352" s="2948">
        <v>3630</v>
      </c>
      <c r="E352" s="2948">
        <v>4000</v>
      </c>
      <c r="F352" s="2948">
        <v>750</v>
      </c>
      <c r="G352" s="2948">
        <v>2180</v>
      </c>
    </row>
    <row r="353" spans="1:7" s="2782" customFormat="1">
      <c r="A353" s="2948" t="s">
        <v>307</v>
      </c>
      <c r="B353" s="2948" t="s">
        <v>3159</v>
      </c>
      <c r="C353" s="2948">
        <v>3190</v>
      </c>
      <c r="D353" s="2948">
        <v>3150</v>
      </c>
      <c r="E353" s="2948">
        <v>3640</v>
      </c>
      <c r="F353" s="2948">
        <v>630</v>
      </c>
      <c r="G353" s="2948">
        <v>1890</v>
      </c>
    </row>
    <row r="354" spans="1:7" s="2782" customFormat="1">
      <c r="A354" s="2948" t="s">
        <v>307</v>
      </c>
      <c r="B354" s="2948" t="s">
        <v>280</v>
      </c>
      <c r="C354" s="2948">
        <v>3450</v>
      </c>
      <c r="D354" s="2948">
        <v>3420</v>
      </c>
      <c r="E354" s="2948">
        <v>3960</v>
      </c>
      <c r="F354" s="2948">
        <v>660</v>
      </c>
      <c r="G354" s="2948">
        <v>2050</v>
      </c>
    </row>
    <row r="355" spans="1:7" s="2782" customFormat="1">
      <c r="A355" s="2948" t="s">
        <v>307</v>
      </c>
      <c r="B355" s="2948" t="s">
        <v>2967</v>
      </c>
      <c r="C355" s="2948">
        <v>3650</v>
      </c>
      <c r="D355" s="2948">
        <v>3610</v>
      </c>
      <c r="E355" s="2948">
        <v>4200</v>
      </c>
      <c r="F355" s="2948">
        <v>640</v>
      </c>
      <c r="G355" s="2948">
        <v>2160</v>
      </c>
    </row>
    <row r="356" spans="1:7" s="2782" customFormat="1">
      <c r="A356" s="2948" t="s">
        <v>307</v>
      </c>
      <c r="B356" s="2948" t="s">
        <v>2974</v>
      </c>
      <c r="C356" s="2948">
        <v>3260</v>
      </c>
      <c r="D356" s="2948">
        <v>3230</v>
      </c>
      <c r="E356" s="2948">
        <v>3740</v>
      </c>
      <c r="F356" s="2948">
        <v>600</v>
      </c>
      <c r="G356" s="2948">
        <v>1930</v>
      </c>
    </row>
    <row r="357" spans="1:7" s="2782" customFormat="1" ht="12" thickBot="1">
      <c r="A357" s="2956" t="s">
        <v>307</v>
      </c>
      <c r="B357" s="2959" t="s">
        <v>3160</v>
      </c>
      <c r="C357" s="2959">
        <v>3690</v>
      </c>
      <c r="D357" s="2959">
        <v>3650</v>
      </c>
      <c r="E357" s="2959">
        <v>4020</v>
      </c>
      <c r="F357" s="2959">
        <v>700</v>
      </c>
      <c r="G357" s="2959">
        <v>2190</v>
      </c>
    </row>
    <row r="358" spans="1:7" s="2782" customFormat="1">
      <c r="A358" s="2953" t="s">
        <v>3161</v>
      </c>
      <c r="B358" s="2944" t="s">
        <v>3162</v>
      </c>
      <c r="C358" s="2944">
        <v>2080</v>
      </c>
      <c r="D358" s="2944">
        <v>2040</v>
      </c>
      <c r="E358" s="2944">
        <v>2010</v>
      </c>
      <c r="F358" s="2944">
        <v>530</v>
      </c>
      <c r="G358" s="2960">
        <v>1230</v>
      </c>
    </row>
    <row r="359" spans="1:7" s="2782" customFormat="1">
      <c r="A359" s="2948" t="s">
        <v>3161</v>
      </c>
      <c r="B359" s="2948" t="s">
        <v>3163</v>
      </c>
      <c r="C359" s="2948">
        <v>1850</v>
      </c>
      <c r="D359" s="2948">
        <v>1820</v>
      </c>
      <c r="E359" s="2948">
        <v>1780</v>
      </c>
      <c r="F359" s="2948">
        <v>520</v>
      </c>
      <c r="G359" s="2961">
        <v>1100</v>
      </c>
    </row>
    <row r="360" spans="1:7" s="2782" customFormat="1">
      <c r="A360" s="2948" t="s">
        <v>3161</v>
      </c>
      <c r="B360" s="2948" t="s">
        <v>3164</v>
      </c>
      <c r="C360" s="2948">
        <v>2020</v>
      </c>
      <c r="D360" s="2948">
        <v>1990</v>
      </c>
      <c r="E360" s="2948">
        <v>1950</v>
      </c>
      <c r="F360" s="2948">
        <v>500</v>
      </c>
      <c r="G360" s="2961">
        <v>1200</v>
      </c>
    </row>
    <row r="361" spans="1:7" s="2782" customFormat="1">
      <c r="A361" s="2948" t="s">
        <v>3161</v>
      </c>
      <c r="B361" s="2948" t="s">
        <v>153</v>
      </c>
      <c r="C361" s="2948">
        <v>2260</v>
      </c>
      <c r="D361" s="2948">
        <v>2220</v>
      </c>
      <c r="E361" s="2948">
        <v>2180</v>
      </c>
      <c r="F361" s="2948">
        <v>580</v>
      </c>
      <c r="G361" s="2961">
        <v>1340</v>
      </c>
    </row>
    <row r="362" spans="1:7" s="2782" customFormat="1">
      <c r="A362" s="2948" t="s">
        <v>3161</v>
      </c>
      <c r="B362" s="2948" t="s">
        <v>3165</v>
      </c>
      <c r="C362" s="2948">
        <v>2650</v>
      </c>
      <c r="D362" s="2948">
        <v>2610</v>
      </c>
      <c r="E362" s="2948">
        <v>2570</v>
      </c>
      <c r="F362" s="2948">
        <v>630</v>
      </c>
      <c r="G362" s="2961">
        <v>1570</v>
      </c>
    </row>
    <row r="363" spans="1:7" s="2782" customFormat="1">
      <c r="A363" s="2948" t="s">
        <v>3161</v>
      </c>
      <c r="B363" s="2948" t="s">
        <v>2886</v>
      </c>
      <c r="C363" s="2948">
        <v>2390</v>
      </c>
      <c r="D363" s="2948">
        <v>2360</v>
      </c>
      <c r="E363" s="2948">
        <v>2320</v>
      </c>
      <c r="F363" s="2948">
        <v>600</v>
      </c>
      <c r="G363" s="2961">
        <v>1420</v>
      </c>
    </row>
    <row r="364" spans="1:7" s="2782" customFormat="1">
      <c r="A364" s="2948" t="s">
        <v>3161</v>
      </c>
      <c r="B364" s="2948" t="s">
        <v>3166</v>
      </c>
      <c r="C364" s="2948">
        <v>2050</v>
      </c>
      <c r="D364" s="2948">
        <v>2030</v>
      </c>
      <c r="E364" s="2948">
        <v>1990</v>
      </c>
      <c r="F364" s="2948">
        <v>550</v>
      </c>
      <c r="G364" s="2961">
        <v>1220</v>
      </c>
    </row>
    <row r="365" spans="1:7" s="2782" customFormat="1">
      <c r="A365" s="2948" t="s">
        <v>3161</v>
      </c>
      <c r="B365" s="2948" t="s">
        <v>200</v>
      </c>
      <c r="C365" s="2948">
        <v>2140</v>
      </c>
      <c r="D365" s="2948">
        <v>2100</v>
      </c>
      <c r="E365" s="2948">
        <v>2060</v>
      </c>
      <c r="F365" s="2948">
        <v>540</v>
      </c>
      <c r="G365" s="2961">
        <v>1270</v>
      </c>
    </row>
    <row r="366" spans="1:7" s="2782" customFormat="1">
      <c r="A366" s="2948" t="s">
        <v>3161</v>
      </c>
      <c r="B366" s="2948" t="s">
        <v>2893</v>
      </c>
      <c r="C366" s="2948">
        <v>2410</v>
      </c>
      <c r="D366" s="2948">
        <v>2370</v>
      </c>
      <c r="E366" s="2948">
        <v>2330</v>
      </c>
      <c r="F366" s="2948">
        <v>570</v>
      </c>
      <c r="G366" s="2961">
        <v>1440</v>
      </c>
    </row>
    <row r="367" spans="1:7" s="2782" customFormat="1">
      <c r="A367" s="2948" t="s">
        <v>3161</v>
      </c>
      <c r="B367" s="2948" t="s">
        <v>3167</v>
      </c>
      <c r="C367" s="2948">
        <v>2300</v>
      </c>
      <c r="D367" s="2948">
        <v>2260</v>
      </c>
      <c r="E367" s="2948">
        <v>2220</v>
      </c>
      <c r="F367" s="2948">
        <v>560</v>
      </c>
      <c r="G367" s="2961">
        <v>1370</v>
      </c>
    </row>
    <row r="368" spans="1:7" s="2782" customFormat="1">
      <c r="A368" s="2948" t="s">
        <v>3161</v>
      </c>
      <c r="B368" s="2948" t="s">
        <v>3168</v>
      </c>
      <c r="C368" s="2948">
        <v>2430</v>
      </c>
      <c r="D368" s="2948">
        <v>2390</v>
      </c>
      <c r="E368" s="2948">
        <v>2350</v>
      </c>
      <c r="F368" s="2948">
        <v>570</v>
      </c>
      <c r="G368" s="2961">
        <v>1450</v>
      </c>
    </row>
    <row r="369" spans="1:7" s="2782" customFormat="1">
      <c r="A369" s="2948" t="s">
        <v>3161</v>
      </c>
      <c r="B369" s="2948" t="s">
        <v>214</v>
      </c>
      <c r="C369" s="2948">
        <v>2320</v>
      </c>
      <c r="D369" s="2948">
        <v>2290</v>
      </c>
      <c r="E369" s="2948">
        <v>2250</v>
      </c>
      <c r="F369" s="2948">
        <v>550</v>
      </c>
      <c r="G369" s="2961">
        <v>1380</v>
      </c>
    </row>
    <row r="370" spans="1:7" s="2782" customFormat="1">
      <c r="A370" s="2948" t="s">
        <v>3161</v>
      </c>
      <c r="B370" s="2948" t="s">
        <v>221</v>
      </c>
      <c r="C370" s="2948">
        <v>2190</v>
      </c>
      <c r="D370" s="2948">
        <v>2170</v>
      </c>
      <c r="E370" s="2948">
        <v>2130</v>
      </c>
      <c r="F370" s="2948">
        <v>530</v>
      </c>
      <c r="G370" s="2961">
        <v>1310</v>
      </c>
    </row>
    <row r="371" spans="1:7" s="2782" customFormat="1">
      <c r="A371" s="2948" t="s">
        <v>3161</v>
      </c>
      <c r="B371" s="2948" t="s">
        <v>229</v>
      </c>
      <c r="C371" s="2948">
        <v>2460</v>
      </c>
      <c r="D371" s="2948">
        <v>2420</v>
      </c>
      <c r="E371" s="2948">
        <v>2370</v>
      </c>
      <c r="F371" s="2948">
        <v>560</v>
      </c>
      <c r="G371" s="2961">
        <v>1470</v>
      </c>
    </row>
    <row r="372" spans="1:7" s="2782" customFormat="1">
      <c r="A372" s="2948" t="s">
        <v>3161</v>
      </c>
      <c r="B372" s="2948" t="s">
        <v>3169</v>
      </c>
      <c r="C372" s="2948">
        <v>2250</v>
      </c>
      <c r="D372" s="2948">
        <v>2210</v>
      </c>
      <c r="E372" s="2948">
        <v>2180</v>
      </c>
      <c r="F372" s="2948">
        <v>550</v>
      </c>
      <c r="G372" s="2961">
        <v>1340</v>
      </c>
    </row>
    <row r="373" spans="1:7" s="2782" customFormat="1">
      <c r="A373" s="2948" t="s">
        <v>3161</v>
      </c>
      <c r="B373" s="2948" t="s">
        <v>258</v>
      </c>
      <c r="C373" s="2948">
        <v>2210</v>
      </c>
      <c r="D373" s="2948">
        <v>2190</v>
      </c>
      <c r="E373" s="2948">
        <v>2150</v>
      </c>
      <c r="F373" s="2948">
        <v>530</v>
      </c>
      <c r="G373" s="2961">
        <v>1320</v>
      </c>
    </row>
    <row r="374" spans="1:7" s="2782" customFormat="1">
      <c r="A374" s="2948" t="s">
        <v>3161</v>
      </c>
      <c r="B374" s="2948" t="s">
        <v>266</v>
      </c>
      <c r="C374" s="2948">
        <v>2320</v>
      </c>
      <c r="D374" s="2948">
        <v>2280</v>
      </c>
      <c r="E374" s="2948">
        <v>2230</v>
      </c>
      <c r="F374" s="2948">
        <v>580</v>
      </c>
      <c r="G374" s="2961">
        <v>1380</v>
      </c>
    </row>
    <row r="375" spans="1:7" s="2782" customFormat="1">
      <c r="A375" s="2948" t="s">
        <v>3161</v>
      </c>
      <c r="B375" s="2948" t="s">
        <v>3170</v>
      </c>
      <c r="C375" s="2948">
        <v>2090</v>
      </c>
      <c r="D375" s="2948">
        <v>2050</v>
      </c>
      <c r="E375" s="2948">
        <v>2020</v>
      </c>
      <c r="F375" s="2948">
        <v>520</v>
      </c>
      <c r="G375" s="2961">
        <v>1240</v>
      </c>
    </row>
    <row r="376" spans="1:7" s="2782" customFormat="1">
      <c r="A376" s="2948" t="s">
        <v>3161</v>
      </c>
      <c r="B376" s="2948" t="s">
        <v>277</v>
      </c>
      <c r="C376" s="2948">
        <v>2010</v>
      </c>
      <c r="D376" s="2948">
        <v>1980</v>
      </c>
      <c r="E376" s="2948">
        <v>1940</v>
      </c>
      <c r="F376" s="2948">
        <v>540</v>
      </c>
      <c r="G376" s="2961">
        <v>1190</v>
      </c>
    </row>
    <row r="377" spans="1:7" s="2782" customFormat="1" ht="12" thickBot="1">
      <c r="A377" s="2956" t="s">
        <v>3161</v>
      </c>
      <c r="B377" s="2959" t="s">
        <v>2923</v>
      </c>
      <c r="C377" s="2959">
        <v>1930</v>
      </c>
      <c r="D377" s="2959">
        <v>1890</v>
      </c>
      <c r="E377" s="2959">
        <v>1860</v>
      </c>
      <c r="F377" s="2959">
        <v>530</v>
      </c>
      <c r="G377" s="2964">
        <v>1150</v>
      </c>
    </row>
    <row r="378" spans="1:7" s="2782" customFormat="1">
      <c r="A378" s="2965" t="s">
        <v>3171</v>
      </c>
      <c r="B378" s="2944" t="s">
        <v>3172</v>
      </c>
      <c r="C378" s="2944">
        <v>1520</v>
      </c>
      <c r="D378" s="2944">
        <v>1490</v>
      </c>
      <c r="E378" s="2944">
        <v>1460</v>
      </c>
      <c r="F378" s="2944">
        <v>460</v>
      </c>
      <c r="G378" s="2960">
        <v>940</v>
      </c>
    </row>
    <row r="379" spans="1:7" s="2782" customFormat="1">
      <c r="A379" s="2966" t="s">
        <v>3171</v>
      </c>
      <c r="B379" s="2948" t="s">
        <v>3173</v>
      </c>
      <c r="C379" s="2948">
        <v>1500</v>
      </c>
      <c r="D379" s="2948">
        <v>1470</v>
      </c>
      <c r="E379" s="2948">
        <v>1430</v>
      </c>
      <c r="F379" s="2948">
        <v>460</v>
      </c>
      <c r="G379" s="2961">
        <v>920</v>
      </c>
    </row>
    <row r="380" spans="1:7" s="2782" customFormat="1">
      <c r="A380" s="2966" t="s">
        <v>3171</v>
      </c>
      <c r="B380" s="2948" t="s">
        <v>3174</v>
      </c>
      <c r="C380" s="2948">
        <v>1620</v>
      </c>
      <c r="D380" s="2948">
        <v>1590</v>
      </c>
      <c r="E380" s="2948">
        <v>1560</v>
      </c>
      <c r="F380" s="2948">
        <v>480</v>
      </c>
      <c r="G380" s="2961">
        <v>1000</v>
      </c>
    </row>
    <row r="381" spans="1:7" s="2782" customFormat="1">
      <c r="A381" s="2966" t="s">
        <v>3171</v>
      </c>
      <c r="B381" s="2948" t="s">
        <v>3175</v>
      </c>
      <c r="C381" s="2948">
        <v>1460</v>
      </c>
      <c r="D381" s="2948">
        <v>1430</v>
      </c>
      <c r="E381" s="2948">
        <v>1390</v>
      </c>
      <c r="F381" s="2948">
        <v>450</v>
      </c>
      <c r="G381" s="2961">
        <v>900</v>
      </c>
    </row>
    <row r="382" spans="1:7" s="2782" customFormat="1">
      <c r="A382" s="2966" t="s">
        <v>3171</v>
      </c>
      <c r="B382" s="2948" t="s">
        <v>3176</v>
      </c>
      <c r="C382" s="2948">
        <v>1310</v>
      </c>
      <c r="D382" s="2948">
        <v>1280</v>
      </c>
      <c r="E382" s="2948">
        <v>1250</v>
      </c>
      <c r="F382" s="2948">
        <v>440</v>
      </c>
      <c r="G382" s="2961">
        <v>800</v>
      </c>
    </row>
    <row r="383" spans="1:7" s="2782" customFormat="1">
      <c r="A383" s="2966" t="s">
        <v>3171</v>
      </c>
      <c r="B383" s="2948" t="s">
        <v>3177</v>
      </c>
      <c r="C383" s="2948">
        <v>1260</v>
      </c>
      <c r="D383" s="2948">
        <v>1230</v>
      </c>
      <c r="E383" s="2948">
        <v>1200</v>
      </c>
      <c r="F383" s="2948">
        <v>420</v>
      </c>
      <c r="G383" s="2961">
        <v>770</v>
      </c>
    </row>
    <row r="384" spans="1:7" s="2782"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3"/>
  </cols>
  <sheetData>
    <row r="1" spans="1:7">
      <c r="A1" s="3481" t="s">
        <v>3179</v>
      </c>
      <c r="B1" s="3481"/>
    </row>
    <row r="2" spans="1:7" ht="14.25" thickBot="1">
      <c r="A2" s="2969"/>
      <c r="B2" s="2969"/>
    </row>
    <row r="3" spans="1:7" ht="14.25" thickBot="1">
      <c r="A3" s="2969"/>
      <c r="B3" s="2969"/>
      <c r="C3" s="2970" t="s">
        <v>2803</v>
      </c>
      <c r="D3" s="2970" t="s">
        <v>2865</v>
      </c>
      <c r="E3" s="2970" t="s">
        <v>2805</v>
      </c>
      <c r="F3" s="2970" t="s">
        <v>2866</v>
      </c>
      <c r="G3" s="2970" t="s">
        <v>2623</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82" t="s">
        <v>3230</v>
      </c>
      <c r="B1" s="3482"/>
      <c r="C1" s="3482"/>
      <c r="D1" s="3482"/>
      <c r="E1" s="3482"/>
      <c r="F1" s="3483"/>
    </row>
    <row r="2" spans="1:6">
      <c r="A2" s="3003" t="s">
        <v>3231</v>
      </c>
    </row>
    <row r="3" spans="1:6">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148" sqref="A148:XFD148"/>
    </sheetView>
  </sheetViews>
  <sheetFormatPr defaultRowHeight="13.5"/>
  <cols>
    <col min="1" max="1" width="13.875" customWidth="1"/>
  </cols>
  <sheetData>
    <row r="1" spans="1:30">
      <c r="A1" s="2938">
        <f>基准地价修正!G23</f>
        <v>44922</v>
      </c>
      <c r="B1" s="2930" t="s">
        <v>2836</v>
      </c>
      <c r="C1" s="2931"/>
      <c r="D1" s="2931"/>
      <c r="E1" s="2931"/>
      <c r="F1" s="2931"/>
      <c r="G1" s="2931"/>
      <c r="H1" s="2931"/>
      <c r="I1" s="2931"/>
      <c r="J1" s="2896"/>
      <c r="K1" s="2931" t="s">
        <v>454</v>
      </c>
      <c r="L1" s="2931"/>
      <c r="M1" s="2931"/>
      <c r="N1" s="2931"/>
      <c r="O1" s="2931"/>
      <c r="P1" s="2931"/>
      <c r="Q1" s="2896"/>
      <c r="R1" s="3484" t="s">
        <v>456</v>
      </c>
      <c r="S1" s="3485"/>
      <c r="T1" s="3485"/>
      <c r="U1" s="3485"/>
      <c r="V1" s="3485"/>
      <c r="W1" s="3485"/>
      <c r="X1" s="2896"/>
      <c r="Y1" s="3484" t="s">
        <v>457</v>
      </c>
      <c r="Z1" s="3485"/>
      <c r="AA1" s="3485"/>
      <c r="AB1" s="3485"/>
      <c r="AC1" s="3485"/>
      <c r="AD1" s="3485"/>
    </row>
    <row r="2" spans="1:30" s="2010" customFormat="1" ht="14.25" thickBot="1">
      <c r="B2" s="2881"/>
      <c r="C2" s="2882"/>
      <c r="D2" s="2011" t="s">
        <v>2802</v>
      </c>
      <c r="E2" s="2012" t="s">
        <v>2803</v>
      </c>
      <c r="F2" s="2012" t="s">
        <v>2804</v>
      </c>
      <c r="G2" s="2012" t="s">
        <v>2805</v>
      </c>
      <c r="H2" s="2012" t="s">
        <v>2806</v>
      </c>
      <c r="I2" s="2012" t="s">
        <v>2623</v>
      </c>
      <c r="J2" s="2883"/>
      <c r="K2" s="2011" t="s">
        <v>2802</v>
      </c>
      <c r="L2" s="2012" t="s">
        <v>2803</v>
      </c>
      <c r="M2" s="2012" t="s">
        <v>2804</v>
      </c>
      <c r="N2" s="2012" t="s">
        <v>2805</v>
      </c>
      <c r="O2" s="2012" t="s">
        <v>2807</v>
      </c>
      <c r="P2" s="2012" t="s">
        <v>2623</v>
      </c>
      <c r="Q2" s="2883"/>
      <c r="R2" s="2011" t="s">
        <v>2802</v>
      </c>
      <c r="S2" s="2012" t="s">
        <v>2803</v>
      </c>
      <c r="T2" s="2012" t="s">
        <v>2804</v>
      </c>
      <c r="U2" s="2012" t="s">
        <v>2808</v>
      </c>
      <c r="V2" s="2012" t="s">
        <v>2809</v>
      </c>
      <c r="W2" s="2012" t="s">
        <v>2623</v>
      </c>
      <c r="X2" s="2883"/>
      <c r="Y2" s="2011" t="s">
        <v>2802</v>
      </c>
      <c r="Z2" s="2012" t="s">
        <v>2803</v>
      </c>
      <c r="AA2" s="2012" t="s">
        <v>2804</v>
      </c>
      <c r="AB2" s="2012" t="s">
        <v>2810</v>
      </c>
      <c r="AC2" s="2012" t="s">
        <v>2809</v>
      </c>
      <c r="AD2" s="2012" t="s">
        <v>2623</v>
      </c>
    </row>
    <row r="3" spans="1:30" s="2886" customFormat="1" ht="12.75">
      <c r="A3" s="2884" t="s">
        <v>2811</v>
      </c>
      <c r="B3" s="2885"/>
      <c r="D3" s="2886">
        <f>ROUND(AVERAGEIF(D4:D13,"&lt;&gt;0"),2)</f>
        <v>0.84</v>
      </c>
      <c r="E3" s="2886">
        <f t="shared" ref="E3:H3" si="0">ROUND(AVERAGEIF(E4:E13,"&lt;&gt;0"),2)</f>
        <v>0.35</v>
      </c>
      <c r="F3" s="2886">
        <f t="shared" si="0"/>
        <v>0.15</v>
      </c>
      <c r="G3" s="2886">
        <f t="shared" si="0"/>
        <v>0.92</v>
      </c>
      <c r="H3" s="2886">
        <f t="shared" si="0"/>
        <v>0.68</v>
      </c>
      <c r="I3" s="2886">
        <f>F3</f>
        <v>0.15</v>
      </c>
      <c r="J3" s="2887"/>
      <c r="K3" s="2888">
        <f>ROUND(AVERAGEIF(K4:K13,"&lt;&gt;0"),4)</f>
        <v>8.3999999999999995E-3</v>
      </c>
      <c r="L3" s="2889">
        <f t="shared" ref="L3:O3" si="1">ROUND(AVERAGEIF(L4:L13,"&lt;&gt;0"),4)</f>
        <v>3.5000000000000001E-3</v>
      </c>
      <c r="M3" s="2889">
        <f t="shared" si="1"/>
        <v>1.5E-3</v>
      </c>
      <c r="N3" s="2889">
        <f t="shared" si="1"/>
        <v>9.1999999999999998E-3</v>
      </c>
      <c r="O3" s="2889">
        <f t="shared" si="1"/>
        <v>6.7999999999999996E-3</v>
      </c>
      <c r="P3" s="2889">
        <f>M3</f>
        <v>1.5E-3</v>
      </c>
      <c r="Q3" s="2887"/>
      <c r="R3" s="2890">
        <f>ROUND(SUMPRODUCT(PRODUCT(1+K4:K13)),4)</f>
        <v>1.0602</v>
      </c>
      <c r="S3" s="2891">
        <f t="shared" ref="S3:V3" si="2">ROUND(SUMPRODUCT(PRODUCT(1+L4:L13)),4)</f>
        <v>1.0246</v>
      </c>
      <c r="T3" s="2891">
        <f t="shared" si="2"/>
        <v>1.0107999999999999</v>
      </c>
      <c r="U3" s="2891">
        <f t="shared" si="2"/>
        <v>1.0662</v>
      </c>
      <c r="V3" s="2891">
        <f t="shared" si="2"/>
        <v>1.0485</v>
      </c>
      <c r="W3" s="2890">
        <f>T3</f>
        <v>1.0107999999999999</v>
      </c>
      <c r="X3" s="2887"/>
      <c r="Y3" s="2892">
        <f>ROUND(AVERAGEIF(Y5:Y13,"&lt;&gt;0"),4)</f>
        <v>8.8000000000000005E-3</v>
      </c>
      <c r="Z3" s="2893">
        <f t="shared" ref="Z3:AC3" si="3">ROUND(AVERAGEIF(Z5:Z13,"&lt;&gt;0"),4)</f>
        <v>3.5999999999999999E-3</v>
      </c>
      <c r="AA3" s="2894">
        <f t="shared" si="3"/>
        <v>8.0000000000000004E-4</v>
      </c>
      <c r="AB3" s="2892">
        <f t="shared" si="3"/>
        <v>9.5999999999999992E-3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2812</v>
      </c>
      <c r="B5" s="2031">
        <v>2023</v>
      </c>
      <c r="C5" s="2042">
        <v>1</v>
      </c>
      <c r="D5" s="2007">
        <v>0</v>
      </c>
      <c r="E5" s="2007">
        <v>0</v>
      </c>
      <c r="F5" s="2007">
        <v>0</v>
      </c>
      <c r="G5" s="2007">
        <v>0</v>
      </c>
      <c r="H5" s="2007">
        <v>0</v>
      </c>
      <c r="I5" s="2008">
        <f t="shared" ref="I5:I13" si="4">F5</f>
        <v>0</v>
      </c>
      <c r="J5" s="2906"/>
      <c r="K5" s="2043">
        <f t="shared" ref="K5:O13" si="5">D5/100</f>
        <v>0</v>
      </c>
      <c r="L5" s="2028">
        <f t="shared" si="5"/>
        <v>0</v>
      </c>
      <c r="M5" s="2028">
        <f t="shared" si="5"/>
        <v>0</v>
      </c>
      <c r="N5" s="2028">
        <f t="shared" si="5"/>
        <v>0</v>
      </c>
      <c r="O5" s="2028">
        <f t="shared" si="5"/>
        <v>0</v>
      </c>
      <c r="P5" s="2028">
        <f>M5</f>
        <v>0</v>
      </c>
      <c r="Q5" s="2906"/>
      <c r="R5" s="2027">
        <f>ROUND(IF([4]项目基本情况!B8="出让",SUMPRODUCT(PRODUCT(1+K5:K13)),SUMPRODUCT(PRODUCT(1+K5:K12))),4)</f>
        <v>1.05</v>
      </c>
      <c r="S5" s="2027">
        <f>ROUND(IF([4]项目基本情况!B8="出让",SUMPRODUCT(PRODUCT(1+L5:L13)),SUMPRODUCT(PRODUCT(1+L5:L12))),4)</f>
        <v>1.0229999999999999</v>
      </c>
      <c r="T5" s="2027">
        <f>ROUND(IF([4]项目基本情况!B8="出让",SUMPRODUCT(PRODUCT(1+M5:M13)),SUMPRODUCT(PRODUCT(1+M5:M12))),4)</f>
        <v>1.0134000000000001</v>
      </c>
      <c r="U5" s="2027">
        <f>ROUND(IF([4]项目基本情况!B8="出让",SUMPRODUCT(PRODUCT(1+N5:N13)),SUMPRODUCT(PRODUCT(1+N5:N12))),4)</f>
        <v>1.0545</v>
      </c>
      <c r="V5" s="2027">
        <f>ROUND(IF([4]项目基本情况!B8="出让",SUMPRODUCT(PRODUCT(1+O5:O13)),SUMPRODUCT(PRODUCT(1+O5:O12))),4)</f>
        <v>1.0447</v>
      </c>
      <c r="W5" s="2027">
        <f>T5</f>
        <v>1.0134000000000001</v>
      </c>
      <c r="X5" s="2906"/>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7" customFormat="1" ht="12.75">
      <c r="A6" s="2905" t="s">
        <v>2813</v>
      </c>
      <c r="B6" s="2031">
        <v>2022</v>
      </c>
      <c r="C6" s="2042">
        <v>4</v>
      </c>
      <c r="D6" s="2007">
        <v>0</v>
      </c>
      <c r="E6" s="2007">
        <v>0</v>
      </c>
      <c r="F6" s="2007">
        <v>0</v>
      </c>
      <c r="G6" s="2007">
        <v>0</v>
      </c>
      <c r="H6" s="2007">
        <v>0</v>
      </c>
      <c r="I6" s="2008">
        <f t="shared" si="4"/>
        <v>0</v>
      </c>
      <c r="J6" s="2906"/>
      <c r="K6" s="2043">
        <f t="shared" si="5"/>
        <v>0</v>
      </c>
      <c r="L6" s="2028">
        <f t="shared" si="5"/>
        <v>0</v>
      </c>
      <c r="M6" s="2028">
        <f t="shared" si="5"/>
        <v>0</v>
      </c>
      <c r="N6" s="2028">
        <f t="shared" si="5"/>
        <v>0</v>
      </c>
      <c r="O6" s="2028">
        <f t="shared" si="5"/>
        <v>0</v>
      </c>
      <c r="P6" s="2028">
        <f t="shared" ref="P6:P13" si="8">M6</f>
        <v>0</v>
      </c>
      <c r="Q6" s="2906"/>
      <c r="R6" s="2027">
        <f>ROUND(IF([4]项目基本情况!B8="出让",SUMPRODUCT(PRODUCT(1+K6:K13)),SUMPRODUCT(PRODUCT(1+K6:K12))),4)</f>
        <v>1.05</v>
      </c>
      <c r="S6" s="2027">
        <f>ROUND(IF([4]项目基本情况!B8="出让",SUMPRODUCT(PRODUCT(1+L6:L13)),SUMPRODUCT(PRODUCT(1+L6:L12))),4)</f>
        <v>1.0229999999999999</v>
      </c>
      <c r="T6" s="2027">
        <f>ROUND(IF([4]项目基本情况!B8="出让",SUMPRODUCT(PRODUCT(1+M6:M13)),SUMPRODUCT(PRODUCT(1+M6:M12))),4)</f>
        <v>1.0134000000000001</v>
      </c>
      <c r="U6" s="2027">
        <f>ROUND(IF([4]项目基本情况!B8="出让",SUMPRODUCT(PRODUCT(1+N6:N13)),SUMPRODUCT(PRODUCT(1+N6:N12))),4)</f>
        <v>1.0545</v>
      </c>
      <c r="V6" s="2027">
        <f>ROUND(IF([4]项目基本情况!B8="出让",SUMPRODUCT(PRODUCT(1+O6:O13)),SUMPRODUCT(PRODUCT(1+O6:O12))),4)</f>
        <v>1.0447</v>
      </c>
      <c r="W6" s="2027">
        <f t="shared" ref="W6:W13" si="9">T6</f>
        <v>1.0134000000000001</v>
      </c>
      <c r="X6" s="2906"/>
      <c r="Y6" s="2028">
        <f>IF(D6=0,0,ROUND(AVERAGE(D6:D14)/100,4))</f>
        <v>0</v>
      </c>
      <c r="Z6" s="2028">
        <f t="shared" ref="Z6:AC6" si="10">IF(E6=0,0,ROUND(AVERAGE(E6:E13)/100,4))</f>
        <v>0</v>
      </c>
      <c r="AA6" s="2028">
        <f t="shared" si="10"/>
        <v>0</v>
      </c>
      <c r="AB6" s="2028">
        <f t="shared" si="10"/>
        <v>0</v>
      </c>
      <c r="AC6" s="2028">
        <f t="shared" si="10"/>
        <v>0</v>
      </c>
      <c r="AD6" s="2028">
        <f t="shared" si="7"/>
        <v>0</v>
      </c>
    </row>
    <row r="7" spans="1:30" s="2917" customFormat="1" ht="12.75">
      <c r="A7" s="2908" t="s">
        <v>3353</v>
      </c>
      <c r="B7" s="2909">
        <v>2022</v>
      </c>
      <c r="C7" s="2910">
        <v>3</v>
      </c>
      <c r="D7" s="2911">
        <v>0.66</v>
      </c>
      <c r="E7" s="2911">
        <v>0.32</v>
      </c>
      <c r="F7" s="2911">
        <v>0.23</v>
      </c>
      <c r="G7" s="2911">
        <v>0.72</v>
      </c>
      <c r="H7" s="2912">
        <v>0.63</v>
      </c>
      <c r="I7" s="2913">
        <f t="shared" si="4"/>
        <v>0.23</v>
      </c>
      <c r="J7" s="2914"/>
      <c r="K7" s="2915">
        <f t="shared" si="5"/>
        <v>6.6E-3</v>
      </c>
      <c r="L7" s="2916">
        <f t="shared" si="5"/>
        <v>3.2000000000000002E-3</v>
      </c>
      <c r="M7" s="2916">
        <f t="shared" si="5"/>
        <v>2.3E-3</v>
      </c>
      <c r="N7" s="2916">
        <f t="shared" si="5"/>
        <v>7.1999999999999998E-3</v>
      </c>
      <c r="O7" s="2916">
        <f t="shared" si="5"/>
        <v>6.3E-3</v>
      </c>
      <c r="P7" s="2916">
        <f t="shared" si="8"/>
        <v>2.3E-3</v>
      </c>
      <c r="Q7" s="2914"/>
      <c r="R7" s="2914">
        <f>ROUND(IF([4]项目基本情况!B8="出让",SUMPRODUCT(PRODUCT(1+K7:K13)),SUMPRODUCT(PRODUCT(1+K7:K12))),4)</f>
        <v>1.05</v>
      </c>
      <c r="S7" s="2914">
        <f>ROUND(IF([4]项目基本情况!B8="出让",SUMPRODUCT(PRODUCT(1+L7:L13)),SUMPRODUCT(PRODUCT(1+L7:L12))),4)</f>
        <v>1.0229999999999999</v>
      </c>
      <c r="T7" s="2914">
        <f>ROUND(IF([4]项目基本情况!B8="出让",SUMPRODUCT(PRODUCT(1+M7:M13)),SUMPRODUCT(PRODUCT(1+M7:M12))),4)</f>
        <v>1.0134000000000001</v>
      </c>
      <c r="U7" s="2914">
        <f>ROUND(IF([4]项目基本情况!B8="出让",SUMPRODUCT(PRODUCT(1+N7:N13)),SUMPRODUCT(PRODUCT(1+N7:N12))),4)</f>
        <v>1.0545</v>
      </c>
      <c r="V7" s="2914">
        <f>ROUND(IF([4]项目基本情况!B8="出让",SUMPRODUCT(PRODUCT(1+O7:O13)),SUMPRODUCT(PRODUCT(1+O7:O12))),4)</f>
        <v>1.0447</v>
      </c>
      <c r="W7" s="2914">
        <f t="shared" si="9"/>
        <v>1.0134000000000001</v>
      </c>
      <c r="X7" s="2914"/>
      <c r="Y7" s="2916">
        <f>IF(D7=0,0,ROUND(AVERAGE(D7:D13)/100,4))</f>
        <v>8.3999999999999995E-3</v>
      </c>
      <c r="Z7" s="2916">
        <f t="shared" ref="Z7:AC7" si="11">IF(E7=0,0,ROUND(AVERAGE(E7:E13)/100,4))</f>
        <v>3.5000000000000001E-3</v>
      </c>
      <c r="AA7" s="2916">
        <f t="shared" si="11"/>
        <v>1.5E-3</v>
      </c>
      <c r="AB7" s="2916">
        <f t="shared" si="11"/>
        <v>9.1999999999999998E-3</v>
      </c>
      <c r="AC7" s="2916">
        <f t="shared" si="11"/>
        <v>6.7999999999999996E-3</v>
      </c>
      <c r="AD7" s="2916">
        <f t="shared" si="7"/>
        <v>1.5E-3</v>
      </c>
    </row>
    <row r="8" spans="1:30" s="2045" customFormat="1" ht="12.75">
      <c r="A8" s="2905" t="s">
        <v>3354</v>
      </c>
      <c r="B8" s="2031">
        <v>2022</v>
      </c>
      <c r="C8" s="2042">
        <v>2</v>
      </c>
      <c r="D8" s="2007">
        <v>0.93</v>
      </c>
      <c r="E8" s="2007">
        <v>0.15</v>
      </c>
      <c r="F8" s="2007">
        <v>0.01</v>
      </c>
      <c r="G8" s="2007">
        <v>1.05</v>
      </c>
      <c r="H8" s="2918">
        <v>1.08</v>
      </c>
      <c r="I8" s="2008">
        <f t="shared" si="4"/>
        <v>0.01</v>
      </c>
      <c r="J8" s="2906"/>
      <c r="K8" s="2043">
        <f t="shared" si="5"/>
        <v>9.300000000000001E-3</v>
      </c>
      <c r="L8" s="2028">
        <f t="shared" si="5"/>
        <v>1.5E-3</v>
      </c>
      <c r="M8" s="2028">
        <f t="shared" si="5"/>
        <v>1E-4</v>
      </c>
      <c r="N8" s="2028">
        <f t="shared" si="5"/>
        <v>1.0500000000000001E-2</v>
      </c>
      <c r="O8" s="2028">
        <f t="shared" si="5"/>
        <v>1.0800000000000001E-2</v>
      </c>
      <c r="P8" s="2028">
        <f t="shared" si="8"/>
        <v>1E-4</v>
      </c>
      <c r="Q8" s="2906"/>
      <c r="R8" s="2027">
        <f>ROUND(IF([4]项目基本情况!B8="出让",SUMPRODUCT(PRODUCT(1+K8:K13)),SUMPRODUCT(PRODUCT(1+K8:K12))),4)</f>
        <v>1.0430999999999999</v>
      </c>
      <c r="S8" s="2027">
        <f>ROUND(IF([4]项目基本情况!B8="出让",SUMPRODUCT(PRODUCT(1+L8:L13)),SUMPRODUCT(PRODUCT(1+L8:L12))),4)</f>
        <v>1.0197000000000001</v>
      </c>
      <c r="T8" s="2027">
        <f>ROUND(IF([4]项目基本情况!B8="出让",SUMPRODUCT(PRODUCT(1+M8:M13)),SUMPRODUCT(PRODUCT(1+M8:M12))),4)</f>
        <v>1.0109999999999999</v>
      </c>
      <c r="U8" s="2027">
        <f>ROUND(IF([4]项目基本情况!B8="出让",SUMPRODUCT(PRODUCT(1+N8:N13)),SUMPRODUCT(PRODUCT(1+N8:N12))),4)</f>
        <v>1.0468999999999999</v>
      </c>
      <c r="V8" s="2027">
        <f>ROUND(IF([4]项目基本情况!B8="出让",SUMPRODUCT(PRODUCT(1+O8:O13)),SUMPRODUCT(PRODUCT(1+O8:O12))),4)</f>
        <v>1.0382</v>
      </c>
      <c r="W8" s="2027">
        <f t="shared" si="9"/>
        <v>1.0109999999999999</v>
      </c>
      <c r="X8" s="2906"/>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5" t="s">
        <v>2814</v>
      </c>
      <c r="B9" s="2031">
        <v>2022</v>
      </c>
      <c r="C9" s="2042">
        <v>1</v>
      </c>
      <c r="D9" s="2007">
        <v>0.89</v>
      </c>
      <c r="E9" s="2007">
        <v>0.44</v>
      </c>
      <c r="F9" s="2007">
        <v>0.37</v>
      </c>
      <c r="G9" s="2007">
        <v>0.96</v>
      </c>
      <c r="H9" s="2918">
        <v>0.64</v>
      </c>
      <c r="I9" s="2008">
        <f t="shared" si="4"/>
        <v>0.37</v>
      </c>
      <c r="J9" s="2906"/>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6"/>
      <c r="R9" s="2027">
        <f>ROUND(IF([4]项目基本情况!B8="出让",SUMPRODUCT(PRODUCT(1+K9:K13)),SUMPRODUCT(PRODUCT(1+K9:K12))),4)</f>
        <v>1.0335000000000001</v>
      </c>
      <c r="S9" s="2027">
        <f>ROUND(IF([4]项目基本情况!B8="出让",SUMPRODUCT(PRODUCT(1+L9:L13)),SUMPRODUCT(PRODUCT(1+L9:L12))),4)</f>
        <v>1.0182</v>
      </c>
      <c r="T9" s="2027">
        <f>ROUND(IF([4]项目基本情况!B8="出让",SUMPRODUCT(PRODUCT(1+M9:M13)),SUMPRODUCT(PRODUCT(1+M9:M12))),4)</f>
        <v>1.0108999999999999</v>
      </c>
      <c r="U9" s="2027">
        <f>ROUND(IF([4]项目基本情况!B8="出让",SUMPRODUCT(PRODUCT(1+N9:N13)),SUMPRODUCT(PRODUCT(1+N9:N12))),4)</f>
        <v>1.0361</v>
      </c>
      <c r="V9" s="2027">
        <f>ROUND(IF([4]项目基本情况!B8="出让",SUMPRODUCT(PRODUCT(1+O9:O13)),SUMPRODUCT(PRODUCT(1+O9:O12))),4)</f>
        <v>1.0270999999999999</v>
      </c>
      <c r="W9" s="2027">
        <f t="shared" si="9"/>
        <v>1.0108999999999999</v>
      </c>
      <c r="X9" s="2906"/>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5" t="s">
        <v>2815</v>
      </c>
      <c r="B10" s="2031">
        <v>2021</v>
      </c>
      <c r="C10" s="2042">
        <v>4</v>
      </c>
      <c r="D10" s="2007">
        <v>1.03</v>
      </c>
      <c r="E10" s="2007">
        <v>0.24</v>
      </c>
      <c r="F10" s="2007">
        <v>7.0000000000000007E-2</v>
      </c>
      <c r="G10" s="2007">
        <v>1.17</v>
      </c>
      <c r="H10" s="2918">
        <v>0.55000000000000004</v>
      </c>
      <c r="I10" s="2008">
        <f t="shared" si="4"/>
        <v>7.0000000000000007E-2</v>
      </c>
      <c r="J10" s="2906"/>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6"/>
      <c r="R10" s="2027">
        <f>ROUND(IF([4]项目基本情况!B8="出让",SUMPRODUCT(PRODUCT(1+K10:K13)),SUMPRODUCT(PRODUCT(1+K10:K12))),4)</f>
        <v>1.0244</v>
      </c>
      <c r="S10" s="2027">
        <f>ROUND(IF([4]项目基本情况!B8="出让",SUMPRODUCT(PRODUCT(1+L10:L13)),SUMPRODUCT(PRODUCT(1+L10:L12))),4)</f>
        <v>1.0138</v>
      </c>
      <c r="T10" s="2027">
        <f>ROUND(IF([4]项目基本情况!B8="出让",SUMPRODUCT(PRODUCT(1+M10:M13)),SUMPRODUCT(PRODUCT(1+M10:M12))),4)</f>
        <v>1.0072000000000001</v>
      </c>
      <c r="U10" s="2027">
        <f>ROUND(IF([4]项目基本情况!B8="出让",SUMPRODUCT(PRODUCT(1+N10:N13)),SUMPRODUCT(PRODUCT(1+N10:N12))),4)</f>
        <v>1.0262</v>
      </c>
      <c r="V10" s="2027">
        <f>ROUND(IF([4]项目基本情况!B8="出让",SUMPRODUCT(PRODUCT(1+O10:O13)),SUMPRODUCT(PRODUCT(1+O10:O12))),4)</f>
        <v>1.0205</v>
      </c>
      <c r="W10" s="2027">
        <f t="shared" si="9"/>
        <v>1.0072000000000001</v>
      </c>
      <c r="X10" s="2906"/>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5" t="s">
        <v>2816</v>
      </c>
      <c r="B11" s="2031">
        <v>2021</v>
      </c>
      <c r="C11" s="2042">
        <v>3</v>
      </c>
      <c r="D11" s="2007">
        <v>0.47</v>
      </c>
      <c r="E11" s="2007">
        <v>0.41</v>
      </c>
      <c r="F11" s="2007">
        <v>0.24</v>
      </c>
      <c r="G11" s="2007">
        <v>0.48</v>
      </c>
      <c r="H11" s="2918">
        <v>0.48</v>
      </c>
      <c r="I11" s="2008">
        <f t="shared" si="4"/>
        <v>0.24</v>
      </c>
      <c r="J11" s="2906"/>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6"/>
      <c r="R11" s="2027">
        <f>ROUND(IF([4]项目基本情况!B8="出让",SUMPRODUCT(PRODUCT(1+K11:K13)),SUMPRODUCT(PRODUCT(1+K11:K12))),4)</f>
        <v>1.0139</v>
      </c>
      <c r="S11" s="2027">
        <f>ROUND(IF([4]项目基本情况!B8="出让",SUMPRODUCT(PRODUCT(1+L11:L13)),SUMPRODUCT(PRODUCT(1+L11:L12))),4)</f>
        <v>1.0113000000000001</v>
      </c>
      <c r="T11" s="2027">
        <f>ROUND(IF([4]项目基本情况!B8="出让",SUMPRODUCT(PRODUCT(1+M11:M13)),SUMPRODUCT(PRODUCT(1+M11:M12))),4)</f>
        <v>1.0065</v>
      </c>
      <c r="U11" s="2027">
        <f>ROUND(IF([4]项目基本情况!B8="出让",SUMPRODUCT(PRODUCT(1+N11:N13)),SUMPRODUCT(PRODUCT(1+N11:N12))),4)</f>
        <v>1.0143</v>
      </c>
      <c r="V11" s="2027">
        <f>ROUND(IF([4]项目基本情况!B8="出让",SUMPRODUCT(PRODUCT(1+O11:O13)),SUMPRODUCT(PRODUCT(1+O11:O12))),4)</f>
        <v>1.0148999999999999</v>
      </c>
      <c r="W11" s="2027">
        <f t="shared" si="9"/>
        <v>1.0065</v>
      </c>
      <c r="X11" s="2906"/>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5" t="s">
        <v>2817</v>
      </c>
      <c r="B12" s="2031">
        <v>2021</v>
      </c>
      <c r="C12" s="2042">
        <v>2</v>
      </c>
      <c r="D12" s="2007">
        <v>0.92</v>
      </c>
      <c r="E12" s="2007">
        <v>0.72</v>
      </c>
      <c r="F12" s="2007">
        <v>0.41</v>
      </c>
      <c r="G12" s="2007">
        <v>0.95</v>
      </c>
      <c r="H12" s="2918">
        <v>1.01</v>
      </c>
      <c r="I12" s="2008">
        <f t="shared" si="4"/>
        <v>0.41</v>
      </c>
      <c r="J12" s="2906"/>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6"/>
      <c r="R12" s="2027">
        <f>ROUND(IF([4]项目基本情况!B8="出让",SUMPRODUCT(PRODUCT(1+K12:K13)),SUMPRODUCT(PRODUCT(1+K12:K12))),4)</f>
        <v>1.0092000000000001</v>
      </c>
      <c r="S12" s="2027">
        <f>ROUND(IF([4]项目基本情况!B8="出让",SUMPRODUCT(PRODUCT(1+L12:L13)),SUMPRODUCT(PRODUCT(1+L12:L12))),4)</f>
        <v>1.0072000000000001</v>
      </c>
      <c r="T12" s="2027">
        <f>ROUND(IF([4]项目基本情况!B8="出让",SUMPRODUCT(PRODUCT(1+M12:M13)),SUMPRODUCT(PRODUCT(1+M12:M12))),4)</f>
        <v>1.0041</v>
      </c>
      <c r="U12" s="2027">
        <f>ROUND(IF([4]项目基本情况!B8="出让",SUMPRODUCT(PRODUCT(1+N12:N13)),SUMPRODUCT(PRODUCT(1+N12:N12))),4)</f>
        <v>1.0095000000000001</v>
      </c>
      <c r="V12" s="2027">
        <f>ROUND(IF([4]项目基本情况!B8="出让",SUMPRODUCT(PRODUCT(1+O12:O13)),SUMPRODUCT(PRODUCT(1+O12:O12))),4)</f>
        <v>1.0101</v>
      </c>
      <c r="W12" s="2027">
        <f t="shared" si="9"/>
        <v>1.0041</v>
      </c>
      <c r="X12" s="2906"/>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29" customFormat="1" thickBot="1">
      <c r="A13" s="2919" t="s">
        <v>2818</v>
      </c>
      <c r="B13" s="2920">
        <v>2021</v>
      </c>
      <c r="C13" s="2921">
        <v>1</v>
      </c>
      <c r="D13" s="2922">
        <v>0.97</v>
      </c>
      <c r="E13" s="2922">
        <v>0.16</v>
      </c>
      <c r="F13" s="2922">
        <v>-0.25</v>
      </c>
      <c r="G13" s="2922">
        <v>1.1100000000000001</v>
      </c>
      <c r="H13" s="2923">
        <v>0.36</v>
      </c>
      <c r="I13" s="2924">
        <f t="shared" si="4"/>
        <v>-0.25</v>
      </c>
      <c r="J13" s="2925"/>
      <c r="K13" s="2926">
        <f t="shared" si="5"/>
        <v>9.7000000000000003E-3</v>
      </c>
      <c r="L13" s="2927">
        <f t="shared" si="5"/>
        <v>1.6000000000000001E-3</v>
      </c>
      <c r="M13" s="2927">
        <f>F13/100</f>
        <v>-2.5000000000000001E-3</v>
      </c>
      <c r="N13" s="2927">
        <f t="shared" si="5"/>
        <v>1.11E-2</v>
      </c>
      <c r="O13" s="2927">
        <f t="shared" si="5"/>
        <v>3.5999999999999999E-3</v>
      </c>
      <c r="P13" s="2927">
        <f t="shared" si="8"/>
        <v>-2.5000000000000001E-3</v>
      </c>
      <c r="Q13" s="2925"/>
      <c r="R13" s="2928">
        <v>1</v>
      </c>
      <c r="S13" s="2928">
        <v>1</v>
      </c>
      <c r="T13" s="2928">
        <v>1</v>
      </c>
      <c r="U13" s="2928">
        <v>1</v>
      </c>
      <c r="V13" s="2928">
        <v>1</v>
      </c>
      <c r="W13" s="2928">
        <f t="shared" si="9"/>
        <v>1</v>
      </c>
      <c r="X13" s="2925"/>
      <c r="Y13" s="2927">
        <f>IF(D13=0,0,ROUND(AVERAGE(D13:D13)/100,4))</f>
        <v>9.7000000000000003E-3</v>
      </c>
      <c r="Z13" s="2927">
        <f>IF(E13=0,0,ROUND(AVERAGE(E13:E13)/100,4))</f>
        <v>1.6000000000000001E-3</v>
      </c>
      <c r="AA13" s="2927">
        <f>IF(F13=0,0,ROUND(AVERAGE(F13:F13)/100,4))</f>
        <v>-2.5000000000000001E-3</v>
      </c>
      <c r="AB13" s="2927">
        <f>IF(G13=0,0,ROUND(AVERAGE(G13:G13)/100,4))</f>
        <v>1.11E-2</v>
      </c>
      <c r="AC13" s="2927">
        <f>IF(H13=0,0,ROUND(AVERAGE(H13:H13)/100,4))</f>
        <v>3.5999999999999999E-3</v>
      </c>
      <c r="AD13" s="2927">
        <f>AA13</f>
        <v>-2.5000000000000001E-3</v>
      </c>
    </row>
    <row r="14" spans="1:30" ht="14.25" thickTop="1"/>
    <row r="16" spans="1:30">
      <c r="I16" s="1405" t="s">
        <v>2819</v>
      </c>
    </row>
    <row r="18" spans="1:30" s="2009" customFormat="1" ht="12.75">
      <c r="B18" s="2930" t="s">
        <v>2820</v>
      </c>
      <c r="C18" s="2931"/>
      <c r="D18" s="2931"/>
      <c r="E18" s="2931"/>
      <c r="F18" s="2931"/>
      <c r="G18" s="2931"/>
      <c r="H18" s="2931"/>
      <c r="I18" s="2931"/>
      <c r="J18" s="2896"/>
      <c r="K18" s="2931" t="s">
        <v>2821</v>
      </c>
      <c r="L18" s="2931"/>
      <c r="M18" s="2931"/>
      <c r="N18" s="2931"/>
      <c r="O18" s="2931"/>
      <c r="P18" s="2931"/>
      <c r="Q18" s="2896"/>
      <c r="R18" s="3484" t="s">
        <v>2822</v>
      </c>
      <c r="S18" s="3485"/>
      <c r="T18" s="3485"/>
      <c r="U18" s="3485"/>
      <c r="V18" s="3485"/>
      <c r="W18" s="3485"/>
      <c r="X18" s="2896"/>
      <c r="Y18" s="3484" t="s">
        <v>2823</v>
      </c>
      <c r="Z18" s="3485"/>
      <c r="AA18" s="3485"/>
      <c r="AB18" s="3485"/>
      <c r="AC18" s="3485"/>
      <c r="AD18" s="3485"/>
    </row>
    <row r="19" spans="1:30" s="2010" customFormat="1" ht="14.25" thickBot="1">
      <c r="B19" s="2881"/>
      <c r="C19" s="2882"/>
      <c r="D19" s="2011" t="s">
        <v>2824</v>
      </c>
      <c r="E19" s="2012" t="s">
        <v>2825</v>
      </c>
      <c r="F19" s="2012" t="s">
        <v>2826</v>
      </c>
      <c r="G19" s="2012" t="s">
        <v>2827</v>
      </c>
      <c r="H19" s="2012"/>
      <c r="I19" s="2012" t="s">
        <v>2828</v>
      </c>
      <c r="J19" s="2883"/>
      <c r="K19" s="2011" t="s">
        <v>2824</v>
      </c>
      <c r="L19" s="2012" t="s">
        <v>2825</v>
      </c>
      <c r="M19" s="2012" t="s">
        <v>2826</v>
      </c>
      <c r="N19" s="2012" t="s">
        <v>2827</v>
      </c>
      <c r="O19" s="2012"/>
      <c r="P19" s="2012" t="s">
        <v>2828</v>
      </c>
      <c r="Q19" s="2883"/>
      <c r="R19" s="2011" t="s">
        <v>2824</v>
      </c>
      <c r="S19" s="2012" t="s">
        <v>2825</v>
      </c>
      <c r="T19" s="2012" t="s">
        <v>2826</v>
      </c>
      <c r="U19" s="2012" t="s">
        <v>2827</v>
      </c>
      <c r="V19" s="2012"/>
      <c r="W19" s="2012" t="s">
        <v>2828</v>
      </c>
      <c r="X19" s="2883"/>
      <c r="Y19" s="2011" t="s">
        <v>2824</v>
      </c>
      <c r="Z19" s="2012" t="s">
        <v>2825</v>
      </c>
      <c r="AA19" s="2012" t="s">
        <v>2826</v>
      </c>
      <c r="AB19" s="2012" t="s">
        <v>2827</v>
      </c>
      <c r="AC19" s="2012"/>
      <c r="AD19" s="2012" t="s">
        <v>2828</v>
      </c>
    </row>
    <row r="20" spans="1:30" s="2886" customFormat="1" ht="12.75">
      <c r="A20" s="2884" t="s">
        <v>2829</v>
      </c>
      <c r="B20" s="2885"/>
      <c r="E20" s="2886">
        <f t="shared" ref="E20:G20" si="15">ROUND(AVERAGEIF(E21:E30,"&lt;&gt;0"),2)</f>
        <v>0.39</v>
      </c>
      <c r="F20" s="2886">
        <f t="shared" si="15"/>
        <v>0.27</v>
      </c>
      <c r="G20" s="2886">
        <f t="shared" si="15"/>
        <v>0.79</v>
      </c>
      <c r="I20" s="2886">
        <f>F20</f>
        <v>0.27</v>
      </c>
      <c r="J20" s="2887"/>
      <c r="K20" s="2888"/>
      <c r="L20" s="2889">
        <f t="shared" ref="L20:N20" si="16">ROUND(AVERAGEIF(L21:L30,"&lt;&gt;0"),4)</f>
        <v>3.8999999999999998E-3</v>
      </c>
      <c r="M20" s="2889">
        <f t="shared" si="16"/>
        <v>2.7000000000000001E-3</v>
      </c>
      <c r="N20" s="2889">
        <f t="shared" si="16"/>
        <v>7.9000000000000008E-3</v>
      </c>
      <c r="O20" s="2889"/>
      <c r="P20" s="2889">
        <f>M20</f>
        <v>2.7000000000000001E-3</v>
      </c>
      <c r="Q20" s="2887"/>
      <c r="R20" s="2890"/>
      <c r="S20" s="2891">
        <f>ROUND(SUMPRODUCT(PRODUCT(1+L21:L30)),4)</f>
        <v>1.0277000000000001</v>
      </c>
      <c r="T20" s="2891">
        <f t="shared" ref="T20:U20" si="17">ROUND(SUMPRODUCT(PRODUCT(1+M21:M30)),4)</f>
        <v>1.0192000000000001</v>
      </c>
      <c r="U20" s="2891">
        <f t="shared" si="17"/>
        <v>1.0569</v>
      </c>
      <c r="V20" s="2891"/>
      <c r="W20" s="2890">
        <f>T20</f>
        <v>1.0192000000000001</v>
      </c>
      <c r="X20" s="2887"/>
      <c r="Y20" s="2892"/>
      <c r="Z20" s="2893">
        <f t="shared" ref="Z20:AB20" si="18">ROUND(AVERAGEIF(Z21:Z30,"&lt;&gt;0"),4)</f>
        <v>4.4000000000000003E-3</v>
      </c>
      <c r="AA20" s="2894">
        <f t="shared" si="18"/>
        <v>3.7000000000000002E-3</v>
      </c>
      <c r="AB20" s="2892">
        <f t="shared" si="18"/>
        <v>9.1000000000000004E-3</v>
      </c>
      <c r="AC20" s="2895"/>
      <c r="AD20" s="2892">
        <f>AA20</f>
        <v>3.7000000000000002E-3</v>
      </c>
    </row>
    <row r="21" spans="1:30" s="2009" customFormat="1" ht="12.75">
      <c r="B21" s="2025"/>
      <c r="J21" s="2896"/>
      <c r="K21" s="2897"/>
      <c r="L21" s="2898"/>
      <c r="M21" s="2898"/>
      <c r="N21" s="2898"/>
      <c r="O21" s="2898"/>
      <c r="P21" s="2898"/>
      <c r="Q21" s="2896"/>
      <c r="R21" s="2027"/>
      <c r="S21" s="2899"/>
      <c r="T21" s="2900"/>
      <c r="U21" s="2027"/>
      <c r="V21" s="2901"/>
      <c r="W21" s="2027"/>
      <c r="X21" s="2896"/>
      <c r="Y21" s="2028"/>
      <c r="Z21" s="2902"/>
      <c r="AA21" s="2903"/>
      <c r="AB21" s="2028"/>
      <c r="AC21" s="2904"/>
      <c r="AD21" s="2028"/>
    </row>
    <row r="22" spans="1:30" s="2045" customFormat="1" ht="12.75">
      <c r="A22" s="2905" t="s">
        <v>2830</v>
      </c>
      <c r="B22" s="2031">
        <v>2023</v>
      </c>
      <c r="C22" s="2042">
        <v>1</v>
      </c>
      <c r="D22" s="2007"/>
      <c r="E22" s="2007">
        <v>0</v>
      </c>
      <c r="F22" s="2007">
        <v>0</v>
      </c>
      <c r="G22" s="2007">
        <v>0</v>
      </c>
      <c r="H22" s="2007"/>
      <c r="I22" s="2008">
        <f t="shared" ref="I22:I30" si="19">F22</f>
        <v>0</v>
      </c>
      <c r="J22" s="2906"/>
      <c r="K22" s="2043"/>
      <c r="L22" s="2028">
        <f t="shared" ref="L22:N30" si="20">E22/100</f>
        <v>0</v>
      </c>
      <c r="M22" s="2028">
        <f t="shared" si="20"/>
        <v>0</v>
      </c>
      <c r="N22" s="2028">
        <f t="shared" si="20"/>
        <v>0</v>
      </c>
      <c r="O22" s="2028"/>
      <c r="P22" s="2028">
        <f>M22</f>
        <v>0</v>
      </c>
      <c r="Q22" s="2906"/>
      <c r="R22" s="2027"/>
      <c r="S22" s="2027">
        <f>ROUND(IF([4]项目基本情况!$B$8="出让",SUMPRODUCT(PRODUCT(1+L22:L$30)),SUMPRODUCT(PRODUCT(1+L22:L$29))),4)</f>
        <v>1.0241</v>
      </c>
      <c r="T22" s="2027">
        <f>ROUND(IF([4]项目基本情况!$B$8="出让",SUMPRODUCT(PRODUCT(1+M22:M$30)),SUMPRODUCT(PRODUCT(1+M22:M$29))),4)</f>
        <v>1.0144</v>
      </c>
      <c r="U22" s="2027">
        <f>ROUND(IF([4]项目基本情况!$B$8="出让",SUMPRODUCT(PRODUCT(1+N22:N$30)),SUMPRODUCT(PRODUCT(1+N22:N$29))),4)</f>
        <v>1.0467</v>
      </c>
      <c r="V22" s="2027"/>
      <c r="W22" s="2027">
        <f>T22</f>
        <v>1.0144</v>
      </c>
      <c r="X22" s="2906"/>
      <c r="Y22" s="2028"/>
      <c r="Z22" s="2902">
        <f>IF(E22=0,0,ROUND(AVERAGE(E22:E30)/100,4))</f>
        <v>0</v>
      </c>
      <c r="AA22" s="2902">
        <f>IF(F22=0,0,ROUND(AVERAGE(F22:F30)/100,4))</f>
        <v>0</v>
      </c>
      <c r="AB22" s="2902">
        <f>IF(G22=0,0,ROUND(AVERAGE(G22:G30)/100,4))</f>
        <v>0</v>
      </c>
      <c r="AC22" s="2904"/>
      <c r="AD22" s="2028">
        <f>IF(I22=0,0,ROUND(AVERAGE(I22:I30)/100,4))</f>
        <v>0</v>
      </c>
    </row>
    <row r="23" spans="1:30" s="2907" customFormat="1" ht="12.75">
      <c r="A23" s="2905" t="s">
        <v>2831</v>
      </c>
      <c r="B23" s="2031">
        <v>2022</v>
      </c>
      <c r="C23" s="2042">
        <v>4</v>
      </c>
      <c r="D23" s="2007"/>
      <c r="E23" s="2007">
        <v>0</v>
      </c>
      <c r="F23" s="2007">
        <v>0</v>
      </c>
      <c r="G23" s="2007">
        <v>0</v>
      </c>
      <c r="H23" s="2007"/>
      <c r="I23" s="2008">
        <f t="shared" si="19"/>
        <v>0</v>
      </c>
      <c r="J23" s="2906"/>
      <c r="K23" s="2043"/>
      <c r="L23" s="2028">
        <f t="shared" si="20"/>
        <v>0</v>
      </c>
      <c r="M23" s="2028">
        <f t="shared" si="20"/>
        <v>0</v>
      </c>
      <c r="N23" s="2028">
        <f t="shared" si="20"/>
        <v>0</v>
      </c>
      <c r="O23" s="2028"/>
      <c r="P23" s="2028">
        <f t="shared" ref="P23:P30" si="21">M23</f>
        <v>0</v>
      </c>
      <c r="Q23" s="2906"/>
      <c r="R23" s="2027"/>
      <c r="S23" s="2027">
        <f>ROUND(IF([4]项目基本情况!$B$8="出让",SUMPRODUCT(PRODUCT(1+L23:L$30)),SUMPRODUCT(PRODUCT(1+L23:L$29))),4)</f>
        <v>1.0241</v>
      </c>
      <c r="T23" s="2027">
        <f>ROUND(IF([4]项目基本情况!$B$8="出让",SUMPRODUCT(PRODUCT(1+M23:M$30)),SUMPRODUCT(PRODUCT(1+M23:M$29))),4)</f>
        <v>1.0144</v>
      </c>
      <c r="U23" s="2027">
        <f>ROUND(IF([4]项目基本情况!$B$8="出让",SUMPRODUCT(PRODUCT(1+N23:N$30)),SUMPRODUCT(PRODUCT(1+N23:N$29))),4)</f>
        <v>1.0467</v>
      </c>
      <c r="V23" s="2027"/>
      <c r="W23" s="2027">
        <f t="shared" ref="W23:W30" si="22">T23</f>
        <v>1.0144</v>
      </c>
      <c r="X23" s="2906"/>
      <c r="Y23" s="2028"/>
      <c r="Z23" s="2902">
        <f t="shared" ref="Z23:AD30" si="23">IF(E23=0,0,ROUND(AVERAGE(E23:E31)/100,4))</f>
        <v>0</v>
      </c>
      <c r="AA23" s="2903">
        <f t="shared" si="23"/>
        <v>0</v>
      </c>
      <c r="AB23" s="2028">
        <f t="shared" si="23"/>
        <v>0</v>
      </c>
      <c r="AC23" s="2904"/>
      <c r="AD23" s="2028">
        <f t="shared" si="23"/>
        <v>0</v>
      </c>
    </row>
    <row r="24" spans="1:30" s="2917" customFormat="1" ht="12.75">
      <c r="A24" s="2908" t="s">
        <v>3355</v>
      </c>
      <c r="B24" s="2909">
        <v>2022</v>
      </c>
      <c r="C24" s="2910">
        <v>3</v>
      </c>
      <c r="D24" s="2911"/>
      <c r="E24" s="2911">
        <v>0.3</v>
      </c>
      <c r="F24" s="2911">
        <v>0.28999999999999998</v>
      </c>
      <c r="G24" s="2911">
        <v>0.83</v>
      </c>
      <c r="H24" s="2912"/>
      <c r="I24" s="2913">
        <f t="shared" si="19"/>
        <v>0.28999999999999998</v>
      </c>
      <c r="J24" s="2914"/>
      <c r="K24" s="2915"/>
      <c r="L24" s="2916">
        <f t="shared" si="20"/>
        <v>3.0000000000000001E-3</v>
      </c>
      <c r="M24" s="2916">
        <f t="shared" si="20"/>
        <v>2.8999999999999998E-3</v>
      </c>
      <c r="N24" s="2916">
        <f t="shared" si="20"/>
        <v>8.3000000000000001E-3</v>
      </c>
      <c r="O24" s="2916"/>
      <c r="P24" s="2916">
        <f t="shared" si="21"/>
        <v>2.8999999999999998E-3</v>
      </c>
      <c r="Q24" s="2914"/>
      <c r="R24" s="2914"/>
      <c r="S24" s="2914">
        <f>ROUND(IF([4]项目基本情况!$B$8="出让",SUMPRODUCT(PRODUCT(1+L24:L$30)),SUMPRODUCT(PRODUCT(1+L24:L$29))),4)</f>
        <v>1.0241</v>
      </c>
      <c r="T24" s="2914">
        <f>ROUND(IF([4]项目基本情况!$B$8="出让",SUMPRODUCT(PRODUCT(1+M24:M$30)),SUMPRODUCT(PRODUCT(1+M24:M$29))),4)</f>
        <v>1.0144</v>
      </c>
      <c r="U24" s="2914">
        <f>ROUND(IF([4]项目基本情况!$B$8="出让",SUMPRODUCT(PRODUCT(1+N24:N$30)),SUMPRODUCT(PRODUCT(1+N24:N$29))),4)</f>
        <v>1.0467</v>
      </c>
      <c r="V24" s="2914"/>
      <c r="W24" s="2914">
        <f t="shared" si="22"/>
        <v>1.0144</v>
      </c>
      <c r="X24" s="2914"/>
      <c r="Y24" s="2916"/>
      <c r="Z24" s="2932">
        <f t="shared" si="23"/>
        <v>3.8999999999999998E-3</v>
      </c>
      <c r="AA24" s="2933">
        <f t="shared" si="23"/>
        <v>2.7000000000000001E-3</v>
      </c>
      <c r="AB24" s="2916">
        <f t="shared" si="23"/>
        <v>7.9000000000000008E-3</v>
      </c>
      <c r="AC24" s="2934"/>
      <c r="AD24" s="2916">
        <f t="shared" si="23"/>
        <v>2.7000000000000001E-3</v>
      </c>
    </row>
    <row r="25" spans="1:30" s="2045" customFormat="1" ht="12.75">
      <c r="A25" s="2905" t="s">
        <v>3354</v>
      </c>
      <c r="B25" s="2031">
        <v>2022</v>
      </c>
      <c r="C25" s="2042">
        <v>2</v>
      </c>
      <c r="D25" s="2007"/>
      <c r="E25" s="2007">
        <v>-0.11</v>
      </c>
      <c r="F25" s="2007">
        <v>-0.13</v>
      </c>
      <c r="G25" s="2007">
        <v>0.53</v>
      </c>
      <c r="H25" s="2918"/>
      <c r="I25" s="2008">
        <f t="shared" si="19"/>
        <v>-0.13</v>
      </c>
      <c r="J25" s="2906"/>
      <c r="K25" s="2043"/>
      <c r="L25" s="2028">
        <f t="shared" si="20"/>
        <v>-1.1000000000000001E-3</v>
      </c>
      <c r="M25" s="2028">
        <f t="shared" si="20"/>
        <v>-1.2999999999999999E-3</v>
      </c>
      <c r="N25" s="2028">
        <f t="shared" si="20"/>
        <v>5.3E-3</v>
      </c>
      <c r="O25" s="2028"/>
      <c r="P25" s="2028">
        <f t="shared" si="21"/>
        <v>-1.2999999999999999E-3</v>
      </c>
      <c r="Q25" s="2906"/>
      <c r="R25" s="2027"/>
      <c r="S25" s="2027">
        <f>ROUND(IF([4]项目基本情况!$B$8="出让",SUMPRODUCT(PRODUCT(1+L25:L$30)),SUMPRODUCT(PRODUCT(1+L25:L$29))),4)</f>
        <v>1.0210999999999999</v>
      </c>
      <c r="T25" s="2027">
        <f>ROUND(IF([4]项目基本情况!$B$8="出让",SUMPRODUCT(PRODUCT(1+M25:M$30)),SUMPRODUCT(PRODUCT(1+M25:M$29))),4)</f>
        <v>1.0114000000000001</v>
      </c>
      <c r="U25" s="2027">
        <f>ROUND(IF([4]项目基本情况!$B$8="出让",SUMPRODUCT(PRODUCT(1+N25:N$30)),SUMPRODUCT(PRODUCT(1+N25:N$29))),4)</f>
        <v>1.0381</v>
      </c>
      <c r="V25" s="2027"/>
      <c r="W25" s="2027">
        <f t="shared" si="22"/>
        <v>1.0114000000000001</v>
      </c>
      <c r="X25" s="2906"/>
      <c r="Y25" s="2028"/>
      <c r="Z25" s="2902">
        <f t="shared" si="23"/>
        <v>4.1000000000000003E-3</v>
      </c>
      <c r="AA25" s="2903">
        <f t="shared" si="23"/>
        <v>2.7000000000000001E-3</v>
      </c>
      <c r="AB25" s="2028">
        <f t="shared" si="23"/>
        <v>7.9000000000000008E-3</v>
      </c>
      <c r="AC25" s="2904"/>
      <c r="AD25" s="2028">
        <f t="shared" si="23"/>
        <v>2.7000000000000001E-3</v>
      </c>
    </row>
    <row r="26" spans="1:30" s="2045" customFormat="1" ht="12.75">
      <c r="A26" s="2905" t="s">
        <v>2832</v>
      </c>
      <c r="B26" s="2031">
        <v>2022</v>
      </c>
      <c r="C26" s="2042">
        <v>1</v>
      </c>
      <c r="D26" s="2007"/>
      <c r="E26" s="2007">
        <v>0.6</v>
      </c>
      <c r="F26" s="2007">
        <v>0.45</v>
      </c>
      <c r="G26" s="2007">
        <v>0.53</v>
      </c>
      <c r="H26" s="2918"/>
      <c r="I26" s="2008">
        <f t="shared" si="19"/>
        <v>0.45</v>
      </c>
      <c r="J26" s="2906"/>
      <c r="K26" s="2043"/>
      <c r="L26" s="2028">
        <f t="shared" si="20"/>
        <v>6.0000000000000001E-3</v>
      </c>
      <c r="M26" s="2028">
        <f t="shared" si="20"/>
        <v>4.5000000000000005E-3</v>
      </c>
      <c r="N26" s="2028">
        <f t="shared" si="20"/>
        <v>5.3E-3</v>
      </c>
      <c r="O26" s="2028"/>
      <c r="P26" s="2028">
        <f t="shared" si="21"/>
        <v>4.5000000000000005E-3</v>
      </c>
      <c r="Q26" s="2906"/>
      <c r="R26" s="2027"/>
      <c r="S26" s="2027">
        <f>ROUND(IF([4]项目基本情况!$B$8="出让",SUMPRODUCT(PRODUCT(1+L26:L$30)),SUMPRODUCT(PRODUCT(1+L26:L$29))),4)</f>
        <v>1.0222</v>
      </c>
      <c r="T26" s="2027">
        <f>ROUND(IF([4]项目基本情况!$B$8="出让",SUMPRODUCT(PRODUCT(1+M26:M$30)),SUMPRODUCT(PRODUCT(1+M26:M$29))),4)</f>
        <v>1.0127999999999999</v>
      </c>
      <c r="U26" s="2027">
        <f>ROUND(IF([4]项目基本情况!$B$8="出让",SUMPRODUCT(PRODUCT(1+N26:N$30)),SUMPRODUCT(PRODUCT(1+N26:N$29))),4)</f>
        <v>1.0326</v>
      </c>
      <c r="V26" s="2027"/>
      <c r="W26" s="2027">
        <f t="shared" si="22"/>
        <v>1.0127999999999999</v>
      </c>
      <c r="X26" s="2906"/>
      <c r="Y26" s="2028"/>
      <c r="Z26" s="2902">
        <f t="shared" si="23"/>
        <v>5.1000000000000004E-3</v>
      </c>
      <c r="AA26" s="2903">
        <f t="shared" si="23"/>
        <v>3.5000000000000001E-3</v>
      </c>
      <c r="AB26" s="2028">
        <f t="shared" si="23"/>
        <v>8.3999999999999995E-3</v>
      </c>
      <c r="AC26" s="2904"/>
      <c r="AD26" s="2028">
        <f t="shared" si="23"/>
        <v>3.5000000000000001E-3</v>
      </c>
    </row>
    <row r="27" spans="1:30" s="2045" customFormat="1" ht="12.75">
      <c r="A27" s="2905" t="s">
        <v>2833</v>
      </c>
      <c r="B27" s="2031">
        <v>2021</v>
      </c>
      <c r="C27" s="2042">
        <v>4</v>
      </c>
      <c r="D27" s="2007"/>
      <c r="E27" s="2007">
        <v>0.57999999999999996</v>
      </c>
      <c r="F27" s="2007">
        <v>0.08</v>
      </c>
      <c r="G27" s="2007">
        <v>0.68</v>
      </c>
      <c r="H27" s="2918"/>
      <c r="I27" s="2008">
        <f t="shared" si="19"/>
        <v>0.08</v>
      </c>
      <c r="J27" s="2906"/>
      <c r="K27" s="2043"/>
      <c r="L27" s="2028">
        <f t="shared" si="20"/>
        <v>5.7999999999999996E-3</v>
      </c>
      <c r="M27" s="2028">
        <f t="shared" si="20"/>
        <v>8.0000000000000004E-4</v>
      </c>
      <c r="N27" s="2028">
        <f t="shared" si="20"/>
        <v>6.8000000000000005E-3</v>
      </c>
      <c r="O27" s="2028"/>
      <c r="P27" s="2028">
        <f t="shared" si="21"/>
        <v>8.0000000000000004E-4</v>
      </c>
      <c r="Q27" s="2906"/>
      <c r="R27" s="2027"/>
      <c r="S27" s="2027">
        <f>ROUND(IF([4]项目基本情况!$B$8="出让",SUMPRODUCT(PRODUCT(1+L27:L$30)),SUMPRODUCT(PRODUCT(1+L27:L$29))),4)</f>
        <v>1.0161</v>
      </c>
      <c r="T27" s="2027">
        <f>ROUND(IF([4]项目基本情况!$B$8="出让",SUMPRODUCT(PRODUCT(1+M27:M$30)),SUMPRODUCT(PRODUCT(1+M27:M$29))),4)</f>
        <v>1.0082</v>
      </c>
      <c r="U27" s="2027">
        <f>ROUND(IF([4]项目基本情况!$B$8="出让",SUMPRODUCT(PRODUCT(1+N27:N$30)),SUMPRODUCT(PRODUCT(1+N27:N$29))),4)</f>
        <v>1.0270999999999999</v>
      </c>
      <c r="V27" s="2027"/>
      <c r="W27" s="2027">
        <f t="shared" si="22"/>
        <v>1.0082</v>
      </c>
      <c r="X27" s="2906"/>
      <c r="Y27" s="2028"/>
      <c r="Z27" s="2902">
        <f t="shared" si="23"/>
        <v>4.8999999999999998E-3</v>
      </c>
      <c r="AA27" s="2903">
        <f t="shared" si="23"/>
        <v>3.3E-3</v>
      </c>
      <c r="AB27" s="2028">
        <f t="shared" si="23"/>
        <v>9.1999999999999998E-3</v>
      </c>
      <c r="AC27" s="2904"/>
      <c r="AD27" s="2028">
        <f t="shared" si="23"/>
        <v>3.3E-3</v>
      </c>
    </row>
    <row r="28" spans="1:30" s="2045" customFormat="1" ht="12.75">
      <c r="A28" s="2905" t="s">
        <v>2834</v>
      </c>
      <c r="B28" s="2031">
        <v>2021</v>
      </c>
      <c r="C28" s="2042">
        <v>3</v>
      </c>
      <c r="D28" s="2007"/>
      <c r="E28" s="2007">
        <v>0.47</v>
      </c>
      <c r="F28" s="2007">
        <v>0.28000000000000003</v>
      </c>
      <c r="G28" s="2007">
        <v>0.91</v>
      </c>
      <c r="H28" s="2918"/>
      <c r="I28" s="2008">
        <f t="shared" si="19"/>
        <v>0.28000000000000003</v>
      </c>
      <c r="J28" s="2906"/>
      <c r="K28" s="2043"/>
      <c r="L28" s="2028">
        <f t="shared" si="20"/>
        <v>4.6999999999999993E-3</v>
      </c>
      <c r="M28" s="2028">
        <f t="shared" si="20"/>
        <v>2.8000000000000004E-3</v>
      </c>
      <c r="N28" s="2028">
        <f t="shared" si="20"/>
        <v>9.1000000000000004E-3</v>
      </c>
      <c r="O28" s="2028"/>
      <c r="P28" s="2028">
        <f t="shared" si="21"/>
        <v>2.8000000000000004E-3</v>
      </c>
      <c r="Q28" s="2906"/>
      <c r="R28" s="2027"/>
      <c r="S28" s="2027">
        <f>ROUND(IF([4]项目基本情况!$B$8="出让",SUMPRODUCT(PRODUCT(1+L28:L$30)),SUMPRODUCT(PRODUCT(1+L28:L$29))),4)</f>
        <v>1.0102</v>
      </c>
      <c r="T28" s="2027">
        <f>ROUND(IF([4]项目基本情况!$B$8="出让",SUMPRODUCT(PRODUCT(1+M28:M$30)),SUMPRODUCT(PRODUCT(1+M28:M$29))),4)</f>
        <v>1.0074000000000001</v>
      </c>
      <c r="U28" s="2027">
        <f>ROUND(IF([4]项目基本情况!$B$8="出让",SUMPRODUCT(PRODUCT(1+N28:N$30)),SUMPRODUCT(PRODUCT(1+N28:N$29))),4)</f>
        <v>1.0202</v>
      </c>
      <c r="V28" s="2027"/>
      <c r="W28" s="2027">
        <f t="shared" si="22"/>
        <v>1.0074000000000001</v>
      </c>
      <c r="X28" s="2906"/>
      <c r="Y28" s="2028"/>
      <c r="Z28" s="2902">
        <f t="shared" si="23"/>
        <v>4.5999999999999999E-3</v>
      </c>
      <c r="AA28" s="2903">
        <f t="shared" si="23"/>
        <v>4.1000000000000003E-3</v>
      </c>
      <c r="AB28" s="2028">
        <f t="shared" si="23"/>
        <v>0.01</v>
      </c>
      <c r="AC28" s="2904"/>
      <c r="AD28" s="2028">
        <f t="shared" si="23"/>
        <v>4.1000000000000003E-3</v>
      </c>
    </row>
    <row r="29" spans="1:30" s="2045" customFormat="1" ht="12.75">
      <c r="A29" s="2905" t="s">
        <v>2835</v>
      </c>
      <c r="B29" s="2031">
        <v>2021</v>
      </c>
      <c r="C29" s="2042">
        <v>2</v>
      </c>
      <c r="D29" s="2007"/>
      <c r="E29" s="2007">
        <v>0.55000000000000004</v>
      </c>
      <c r="F29" s="2007">
        <v>0.46</v>
      </c>
      <c r="G29" s="2007">
        <v>1.1000000000000001</v>
      </c>
      <c r="H29" s="2918"/>
      <c r="I29" s="2008">
        <f t="shared" si="19"/>
        <v>0.46</v>
      </c>
      <c r="J29" s="2906"/>
      <c r="K29" s="2043"/>
      <c r="L29" s="2028">
        <f t="shared" si="20"/>
        <v>5.5000000000000005E-3</v>
      </c>
      <c r="M29" s="2028">
        <f t="shared" si="20"/>
        <v>4.5999999999999999E-3</v>
      </c>
      <c r="N29" s="2028">
        <f t="shared" si="20"/>
        <v>1.1000000000000001E-2</v>
      </c>
      <c r="O29" s="2028"/>
      <c r="P29" s="2028">
        <f t="shared" si="21"/>
        <v>4.5999999999999999E-3</v>
      </c>
      <c r="Q29" s="2906"/>
      <c r="R29" s="2027"/>
      <c r="S29" s="2027">
        <f>ROUND(IF([4]项目基本情况!$B$8="出让",SUMPRODUCT(PRODUCT(1+L29:L$30)),SUMPRODUCT(PRODUCT(1+L29:L$29))),4)</f>
        <v>1.0055000000000001</v>
      </c>
      <c r="T29" s="2027">
        <f>ROUND(IF([4]项目基本情况!$B$8="出让",SUMPRODUCT(PRODUCT(1+M29:M$30)),SUMPRODUCT(PRODUCT(1+M29:M$29))),4)</f>
        <v>1.0045999999999999</v>
      </c>
      <c r="U29" s="2027">
        <f>ROUND(IF([4]项目基本情况!$B$8="出让",SUMPRODUCT(PRODUCT(1+N29:N$30)),SUMPRODUCT(PRODUCT(1+N29:N$29))),4)</f>
        <v>1.0109999999999999</v>
      </c>
      <c r="V29" s="2027"/>
      <c r="W29" s="2027">
        <f t="shared" si="22"/>
        <v>1.0045999999999999</v>
      </c>
      <c r="X29" s="2906"/>
      <c r="Y29" s="2028"/>
      <c r="Z29" s="2902">
        <f t="shared" si="23"/>
        <v>4.4999999999999997E-3</v>
      </c>
      <c r="AA29" s="2903">
        <f t="shared" si="23"/>
        <v>4.7000000000000002E-3</v>
      </c>
      <c r="AB29" s="2028">
        <f t="shared" si="23"/>
        <v>1.04E-2</v>
      </c>
      <c r="AC29" s="2904"/>
      <c r="AD29" s="2028">
        <f t="shared" si="23"/>
        <v>4.7000000000000002E-3</v>
      </c>
    </row>
    <row r="30" spans="1:30" s="2929" customFormat="1" thickBot="1">
      <c r="A30" s="2919" t="s">
        <v>2818</v>
      </c>
      <c r="B30" s="2920">
        <v>2021</v>
      </c>
      <c r="C30" s="2921">
        <v>1</v>
      </c>
      <c r="D30" s="2922"/>
      <c r="E30" s="2922">
        <v>0.35</v>
      </c>
      <c r="F30" s="2922">
        <v>0.48</v>
      </c>
      <c r="G30" s="2922">
        <v>0.98</v>
      </c>
      <c r="H30" s="2923"/>
      <c r="I30" s="2924">
        <f t="shared" si="19"/>
        <v>0.48</v>
      </c>
      <c r="J30" s="2925"/>
      <c r="K30" s="2926"/>
      <c r="L30" s="2927">
        <f t="shared" si="20"/>
        <v>3.4999999999999996E-3</v>
      </c>
      <c r="M30" s="2927">
        <f>F30/100</f>
        <v>4.7999999999999996E-3</v>
      </c>
      <c r="N30" s="2927">
        <f t="shared" si="20"/>
        <v>9.7999999999999997E-3</v>
      </c>
      <c r="O30" s="2927"/>
      <c r="P30" s="2927">
        <f t="shared" si="21"/>
        <v>4.7999999999999996E-3</v>
      </c>
      <c r="Q30" s="2925"/>
      <c r="R30" s="2928"/>
      <c r="S30" s="2928">
        <v>1</v>
      </c>
      <c r="T30" s="2928">
        <v>1</v>
      </c>
      <c r="U30" s="2928">
        <v>1</v>
      </c>
      <c r="V30" s="2928"/>
      <c r="W30" s="2928">
        <f t="shared" si="22"/>
        <v>1</v>
      </c>
      <c r="X30" s="2925"/>
      <c r="Y30" s="2927"/>
      <c r="Z30" s="2935">
        <f t="shared" si="23"/>
        <v>3.5000000000000001E-3</v>
      </c>
      <c r="AA30" s="2936">
        <f t="shared" si="23"/>
        <v>4.7999999999999996E-3</v>
      </c>
      <c r="AB30" s="2927">
        <f t="shared" si="23"/>
        <v>9.7999999999999997E-3</v>
      </c>
      <c r="AC30" s="2937"/>
      <c r="AD30" s="2927">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A148" sqref="A148:XFD1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2302</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39707.960000000006</v>
      </c>
      <c r="C4" s="801">
        <f>项目基本情况!C18</f>
        <v>6294.36</v>
      </c>
      <c r="D4" s="801">
        <f ca="1">结果表!D118</f>
        <v>48521</v>
      </c>
      <c r="E4" s="801">
        <f ca="1">结果表!E118</f>
        <v>12220</v>
      </c>
      <c r="F4" s="801">
        <f ca="1">结果表!F118</f>
        <v>20303</v>
      </c>
      <c r="G4" s="801">
        <f ca="1">结果表!G118</f>
        <v>5113</v>
      </c>
      <c r="H4" s="801">
        <f ca="1">结果表!H118</f>
        <v>68824</v>
      </c>
      <c r="I4" s="801">
        <f ca="1">结果表!I118</f>
        <v>17333</v>
      </c>
    </row>
    <row r="5" spans="1:9" ht="30" customHeight="1">
      <c r="A5" s="3174" t="s">
        <v>927</v>
      </c>
      <c r="B5" s="3174"/>
      <c r="C5" s="3174"/>
      <c r="D5" s="3174" t="str">
        <f ca="1">结果表!D119</f>
        <v>肆亿捌仟伍佰贰拾壹万元整</v>
      </c>
      <c r="E5" s="3174"/>
      <c r="F5" s="3174" t="str">
        <f ca="1">结果表!F119</f>
        <v>贰亿零叁佰零叁万元整</v>
      </c>
      <c r="G5" s="3174"/>
      <c r="H5" s="3174" t="str">
        <f ca="1">结果表!H119</f>
        <v>陆亿捌仟捌佰贰拾肆万元整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68824</v>
      </c>
      <c r="E8" s="3173"/>
      <c r="F8" s="3173"/>
      <c r="G8" s="3173"/>
      <c r="H8" s="3173"/>
      <c r="I8" s="3173"/>
    </row>
    <row r="9" spans="1:9" ht="15">
      <c r="A9" s="3174" t="s">
        <v>927</v>
      </c>
      <c r="B9" s="3174"/>
      <c r="C9" s="3174"/>
      <c r="D9" s="3174" t="str">
        <f ca="1">结果表!D123</f>
        <v>陆亿捌仟捌佰贰拾肆万元整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44923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f ca="1">IF(C6&lt;B2,"已过期",1120050019)</f>
        <v>1120050019</v>
      </c>
      <c r="C6" s="2162">
        <v>45410</v>
      </c>
      <c r="D6" s="2163" t="str">
        <f t="shared" ca="1" si="0"/>
        <v>王鹏（注册号：1120050019）</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f ca="1">IF(C9&lt;B2,"已过期",1120060040)</f>
        <v>1120060040</v>
      </c>
      <c r="C9" s="2167">
        <v>45592</v>
      </c>
      <c r="D9" s="2163" t="str">
        <f t="shared" ca="1" si="0"/>
        <v>陈颖（注册号：1120060040）</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f ca="1">IF(C13&lt;B2,"已过期",1120020033)</f>
        <v>1120020033</v>
      </c>
      <c r="C13" s="2162">
        <v>45375</v>
      </c>
      <c r="D13" s="2163" t="str">
        <f t="shared" ca="1" si="0"/>
        <v>刘敬东（注册号：1120020033）</v>
      </c>
      <c r="E13" s="2164" t="s">
        <v>2155</v>
      </c>
      <c r="F13" s="1219">
        <f ca="1">IF(G13&lt;B2,"已过期",2000110137)</f>
        <v>2000110137</v>
      </c>
      <c r="G13" s="2165">
        <v>46387</v>
      </c>
      <c r="H13" s="2166" t="str">
        <f t="shared" ca="1" si="1"/>
        <v>刘敬东（注册号：2000110137）</v>
      </c>
    </row>
    <row r="14" spans="1:8" ht="24" customHeight="1">
      <c r="A14" s="1219" t="s">
        <v>2156</v>
      </c>
      <c r="B14" s="1219">
        <f ca="1">IF(C14&lt;B2,"已过期",1119980106)</f>
        <v>1119980106</v>
      </c>
      <c r="C14" s="2167">
        <v>44969</v>
      </c>
      <c r="D14" s="2163" t="str">
        <f t="shared" ca="1" si="0"/>
        <v>刘俊财（注册号：1119980106）</v>
      </c>
      <c r="E14" s="2164" t="s">
        <v>2156</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2158</v>
      </c>
      <c r="B17" s="3197"/>
      <c r="C17" s="3197"/>
      <c r="D17" s="3197"/>
      <c r="E17" s="3197"/>
      <c r="F17" s="3197"/>
      <c r="G17" s="3197"/>
      <c r="H17" s="3197"/>
    </row>
    <row r="18" spans="1:8" ht="24" customHeight="1">
      <c r="A18" s="3198" t="s">
        <v>2159</v>
      </c>
      <c r="B18" s="3198"/>
      <c r="C18" s="3198"/>
      <c r="D18" s="2160"/>
      <c r="E18" s="3199" t="s">
        <v>2160</v>
      </c>
      <c r="F18" s="3198"/>
      <c r="G18" s="3198"/>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土地比较法-住宅、综合</vt:lpstr>
      <vt:lpstr>基准地价修正</vt:lpstr>
      <vt:lpstr>土地案例</vt:lpstr>
      <vt:lpstr>收益法 (车库)</vt:lpstr>
      <vt:lpstr>收益法</vt:lpstr>
      <vt:lpstr>收益法（汇总）</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2022-12-28T02:14:19Z</dcterms:modified>
</cp:coreProperties>
</file>