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71" l="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G2" i="43"/>
  <c r="I2" i="43"/>
  <c r="M6" i="43"/>
  <c r="C6" i="43"/>
  <c r="G17" i="43"/>
  <c r="H17" i="43"/>
  <c r="I17" i="43"/>
  <c r="J17" i="43"/>
  <c r="C17" i="43"/>
  <c r="C16" i="43"/>
  <c r="C7" i="43"/>
  <c r="C5" i="43"/>
  <c r="C1" i="73"/>
  <c r="J1" i="73"/>
  <c r="D4" i="73"/>
  <c r="E20" i="43"/>
  <c r="M17" i="43"/>
  <c r="G20" i="43"/>
  <c r="J20" i="43"/>
  <c r="E15" i="4"/>
  <c r="F6" i="1"/>
  <c r="I20" i="43"/>
  <c r="C20" i="43"/>
  <c r="C24" i="43"/>
  <c r="F39" i="43"/>
  <c r="C39" i="43"/>
  <c r="G39" i="43"/>
  <c r="F38" i="43"/>
  <c r="C38" i="43"/>
  <c r="G38" i="43"/>
  <c r="F37" i="43"/>
  <c r="C37" i="43"/>
  <c r="G37" i="43"/>
  <c r="D5" i="43"/>
  <c r="F36" i="43"/>
  <c r="C36" i="43"/>
  <c r="G36" i="43"/>
  <c r="F35" i="43"/>
  <c r="C35" i="43"/>
  <c r="G35" i="43"/>
  <c r="F34" i="43"/>
  <c r="C34" i="43"/>
  <c r="G34" i="43"/>
  <c r="J53" i="67"/>
  <c r="J53" i="15"/>
  <c r="G3" i="43"/>
  <c r="C18" i="43"/>
  <c r="F33" i="43"/>
  <c r="C33" i="43"/>
  <c r="G33" i="43"/>
  <c r="I33" i="43"/>
  <c r="E33" i="43"/>
  <c r="C101" i="43"/>
  <c r="C102" i="43"/>
  <c r="C103" i="43"/>
  <c r="C104" i="43"/>
  <c r="C105" i="43"/>
  <c r="C106" i="43"/>
  <c r="C107" i="43"/>
  <c r="C109" i="43"/>
  <c r="B113" i="43"/>
  <c r="B115" i="43"/>
  <c r="C115" i="43"/>
  <c r="B116" i="43"/>
  <c r="C116" i="43"/>
  <c r="B117" i="43"/>
  <c r="C117" i="43"/>
  <c r="B118" i="43"/>
  <c r="C118" i="43"/>
  <c r="E22" i="43"/>
  <c r="G22" i="43"/>
  <c r="F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H113" i="43"/>
  <c r="D113" i="43"/>
  <c r="E7" i="76"/>
  <c r="E8" i="76"/>
  <c r="E9" i="76"/>
  <c r="E10" i="76"/>
  <c r="E11" i="76"/>
  <c r="E12" i="76"/>
  <c r="E13" i="76"/>
  <c r="D8" i="71"/>
  <c r="AH6" i="71"/>
  <c r="AG6" i="71"/>
  <c r="AE6" i="71"/>
  <c r="AF6" i="71"/>
  <c r="AD6" i="71"/>
  <c r="L3" i="71"/>
  <c r="K3" i="71"/>
  <c r="I3" i="71"/>
  <c r="J3" i="71"/>
  <c r="AY6" i="3"/>
  <c r="D3" i="6"/>
  <c r="M19" i="9"/>
  <c r="C118" i="9"/>
  <c r="C14" i="74"/>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F7"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N17"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N6" i="43"/>
  <c r="F48" i="43"/>
  <c r="H52" i="43"/>
  <c r="N7" i="43"/>
  <c r="F70" i="43"/>
  <c r="H73"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7" i="9"/>
  <c r="D58" i="9"/>
  <c r="D56" i="9"/>
  <c r="M54" i="9"/>
  <c r="N57" i="9"/>
  <c r="C67" i="9"/>
  <c r="C68" i="9"/>
  <c r="D54" i="9"/>
  <c r="C79" i="9"/>
  <c r="C81" i="9"/>
  <c r="D6" i="74"/>
  <c r="C6" i="74"/>
  <c r="C96" i="9"/>
  <c r="E96" i="9"/>
  <c r="E97" i="9"/>
  <c r="C80"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<sst xmlns="http://schemas.openxmlformats.org/spreadsheetml/2006/main" count="7258" uniqueCount="3059">
  <si>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</si>
  <si>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</si>
  <si>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</si>
  <si>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</si>
  <si>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</si>
  <si>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</si>
  <si>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</si>
  <si>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</si>
  <si>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</si>
  <si>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</si>
  <si>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</si>
  <si>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</si>
  <si>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</si>
  <si>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</si>
  <si>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</si>
  <si>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</si>
  <si>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</si>
  <si>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</si>
  <si>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</si>
  <si>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</si>
  <si>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</si>
  <si>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</si>
  <si>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</si>
  <si>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</si>
  <si>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</si>
  <si>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</si>
  <si>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</si>
  <si>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</si>
  <si>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</si>
  <si>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</si>
  <si>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</si>
  <si>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</si>
  <si>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</si>
  <si>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</si>
  <si>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</si>
  <si>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</si>
  <si>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</si>
  <si>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</si>
  <si>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</si>
  <si>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</si>
  <si>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</si>
  <si>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</si>
  <si>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</si>
  <si>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</si>
  <si>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</si>
  <si>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</si>
  <si>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</si>
  <si>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</si>
  <si>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</si>
  <si>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</si>
  <si>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</si>
  <si>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</si>
  <si>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</si>
  <si>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</si>
  <si>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</si>
  <si>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</si>
  <si>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</si>
  <si>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</si>
  <si>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</si>
  <si>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</si>
  <si>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</si>
  <si>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</si>
  <si>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</si>
  <si>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</si>
  <si>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</si>
  <si>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</si>
  <si>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</si>
  <si>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</si>
  <si>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</si>
  <si>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</si>
  <si>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</si>
  <si>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</si>
  <si>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</si>
  <si>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</si>
  <si>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</si>
  <si>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</si>
  <si>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</si>
  <si>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</si>
  <si>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</si>
  <si>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</si>
  <si>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</si>
  <si>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</si>
  <si>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</si>
  <si>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</si>
  <si>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</si>
  <si>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</si>
  <si>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</si>
  <si>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</si>
  <si>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</si>
  <si>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</si>
  <si>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</si>
  <si>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</si>
  <si>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</si>
  <si>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</si>
  <si>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</si>
  <si>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</si>
  <si>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</si>
  <si>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</si>
  <si>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</si>
  <si>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</si>
  <si>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</si>
  <si>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</si>
  <si>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</si>
  <si>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</si>
  <si>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</si>
  <si>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</si>
  <si>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</si>
  <si>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</si>
  <si>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</si>
  <si>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</si>
  <si>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</si>
  <si>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</si>
  <si>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</si>
  <si>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</si>
  <si>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</si>
  <si>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</si>
  <si>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</si>
  <si>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</si>
  <si>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</si>
  <si>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</si>
  <si>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</si>
  <si>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</si>
  <si>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</si>
  <si>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</si>
  <si>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</si>
  <si>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</si>
  <si>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</si>
  <si>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</si>
  <si>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</si>
  <si>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</si>
  <si>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</si>
  <si>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</si>
  <si>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</si>
  <si>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</si>
  <si>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</si>
  <si>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</si>
  <si>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</si>
  <si>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</si>
  <si>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</si>
  <si>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</si>
  <si>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</si>
  <si>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</si>
  <si>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</si>
  <si>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</si>
  <si>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</si>
  <si>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</si>
  <si>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</si>
  <si>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</si>
  <si>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</si>
  <si>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</si>
  <si>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</si>
  <si>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</si>
  <si>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</si>
  <si>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</si>
  <si>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</si>
  <si>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</si>
  <si>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</si>
  <si>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</si>
  <si>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</si>
  <si>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</si>
  <si>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</si>
  <si>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</si>
  <si>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</si>
  <si>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</si>
  <si>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</si>
  <si>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</si>
  <si>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</si>
  <si>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</si>
  <si>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</si>
  <si>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</si>
  <si>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</si>
  <si>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</si>
  <si>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</si>
  <si>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</si>
  <si>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</si>
  <si>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</si>
  <si>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</si>
  <si>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</si>
  <si>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</si>
  <si>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</si>
  <si>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</si>
  <si>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</si>
  <si>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</si>
  <si>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</si>
  <si>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</si>
  <si>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</si>
  <si>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</si>
  <si>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</si>
  <si>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</si>
  <si>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</si>
  <si>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</si>
  <si>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</si>
  <si>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</si>
  <si>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</si>
  <si>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</si>
  <si>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</si>
  <si>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</si>
  <si>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</si>
  <si>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</si>
  <si>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</si>
  <si>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</si>
  <si>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</si>
  <si>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</si>
  <si>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</si>
  <si>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</si>
  <si>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</si>
  <si>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</si>
  <si>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</si>
  <si>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</si>
  <si>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</si>
  <si>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</si>
  <si>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</si>
  <si>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</si>
  <si>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</si>
  <si>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</si>
  <si>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</si>
  <si>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</si>
  <si>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</si>
  <si>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</si>
  <si>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</si>
  <si>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</si>
  <si>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</si>
  <si>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</si>
  <si>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</si>
  <si>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</si>
  <si>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</si>
  <si>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</si>
  <si>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</si>
  <si>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</si>
  <si>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</si>
  <si>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</si>
  <si>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</si>
  <si>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</si>
  <si>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</si>
  <si>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</si>
  <si>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</si>
  <si>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</si>
  <si>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</si>
  <si>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</si>
  <si>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</si>
  <si>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</si>
  <si>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</si>
  <si>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</si>
  <si>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</si>
  <si>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</si>
  <si>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</si>
  <si>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</si>
  <si>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</si>
  <si>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</si>
  <si>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</si>
  <si>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</si>
  <si>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</si>
  <si>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</si>
  <si>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</si>
  <si>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</si>
  <si>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</si>
  <si>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</si>
  <si>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</si>
  <si>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</si>
  <si>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</si>
  <si>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</si>
  <si>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</si>
  <si>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</si>
  <si>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</si>
  <si>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</si>
  <si>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</si>
  <si>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</si>
  <si>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</si>
  <si>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</si>
  <si>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</si>
  <si>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</si>
  <si>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</si>
  <si>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</si>
  <si>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</si>
  <si>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</si>
  <si>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</si>
  <si>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</si>
  <si>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</si>
  <si>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</si>
  <si>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</si>
  <si>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</si>
  <si>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</si>
  <si>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</si>
  <si>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</si>
  <si>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</si>
  <si>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</si>
  <si>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</si>
  <si>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</si>
  <si>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</si>
  <si>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</si>
  <si>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</si>
  <si>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</si>
  <si>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</si>
  <si>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</si>
  <si>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</si>
  <si>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</si>
  <si>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</si>
  <si>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</si>
  <si>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</si>
  <si>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</si>
  <si>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</si>
  <si>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</si>
  <si>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</si>
  <si>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</si>
  <si>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</si>
  <si>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</si>
  <si>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</si>
  <si>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</si>
  <si>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</si>
  <si>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</si>
  <si>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</si>
  <si>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</si>
  <si>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</si>
  <si>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</si>
  <si>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</si>
  <si>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</si>
  <si>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</si>
  <si>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</si>
  <si>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</si>
  <si>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</si>
  <si>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</si>
  <si>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</si>
  <si>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</si>
  <si>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</si>
  <si>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</si>
  <si>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</si>
  <si>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</si>
  <si>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</si>
  <si>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</si>
  <si>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</si>
  <si>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</si>
  <si>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</si>
  <si>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</si>
  <si>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</si>
  <si>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</si>
  <si>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</si>
  <si>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</si>
  <si>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</si>
  <si>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</si>
  <si>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</si>
  <si>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</si>
  <si>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</si>
  <si>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</si>
  <si>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</si>
  <si>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</si>
  <si>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</si>
  <si>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</si>
  <si>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</si>
  <si>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</si>
  <si>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</si>
  <si>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</si>
  <si>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</si>
  <si>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</si>
  <si>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</si>
  <si>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</si>
  <si>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</si>
  <si>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</si>
  <si>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</si>
  <si>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</si>
  <si>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</si>
  <si>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</si>
  <si>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</si>
  <si>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</si>
  <si>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</si>
  <si>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</si>
  <si>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</si>
  <si>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</si>
  <si>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</si>
  <si>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</si>
  <si>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</si>
  <si>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</si>
  <si>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</si>
  <si>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</si>
  <si>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</si>
  <si>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</si>
  <si>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</si>
  <si>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</si>
  <si>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</si>
  <si>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</si>
  <si>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</si>
  <si>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</si>
  <si>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</si>
  <si>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</si>
  <si>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</si>
  <si>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</si>
  <si>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</si>
  <si>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</si>
  <si>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</si>
  <si>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</si>
  <si>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</si>
  <si>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</si>
  <si>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</si>
  <si>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</si>
  <si>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</si>
  <si>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</si>
  <si>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</si>
  <si>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</si>
  <si>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</si>
  <si>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</si>
  <si>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</si>
  <si>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</si>
  <si>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</si>
  <si>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</si>
  <si>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</si>
  <si>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</si>
  <si>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</si>
  <si>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</si>
  <si>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</si>
  <si>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</si>
  <si>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</si>
  <si>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</si>
  <si>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</si>
  <si>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</si>
  <si>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</si>
  <si>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</si>
  <si>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</si>
  <si>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</si>
  <si>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</si>
  <si>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</si>
  <si>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</si>
  <si>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</si>
  <si>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</si>
  <si>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</si>
  <si>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</si>
  <si>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</si>
  <si>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</si>
  <si>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</si>
  <si>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</si>
  <si>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</si>
  <si>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</si>
  <si>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</si>
  <si>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</si>
  <si>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</si>
  <si>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</si>
  <si>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</si>
  <si>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</si>
  <si>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</si>
  <si>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</si>
  <si>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</si>
  <si>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</si>
  <si>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</si>
  <si>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</si>
  <si>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</si>
  <si>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</si>
  <si>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</si>
  <si>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</si>
  <si>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</si>
  <si>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</si>
  <si>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</si>
  <si>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</si>
  <si>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</si>
  <si>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</si>
  <si>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</si>
  <si>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</si>
  <si>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</si>
  <si>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</si>
  <si>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</si>
  <si>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</si>
  <si>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</si>
  <si>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</si>
  <si>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</si>
  <si>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</si>
  <si>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</si>
  <si>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</si>
  <si>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</si>
  <si>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</si>
  <si>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</si>
  <si>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</si>
  <si>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</si>
  <si>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</si>
  <si>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</si>
  <si>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</si>
  <si>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</si>
  <si>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</si>
  <si>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</si>
  <si>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</si>
  <si>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</si>
  <si>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</si>
  <si>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</si>
  <si>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</si>
  <si>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</si>
  <si>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</si>
  <si>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</si>
  <si>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</si>
  <si>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</si>
  <si>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</si>
  <si>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</si>
  <si>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</si>
  <si>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</si>
  <si>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</si>
  <si>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</si>
  <si>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</si>
  <si>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</si>
  <si>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</si>
  <si>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</si>
  <si>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</si>
  <si>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</si>
  <si>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</si>
  <si>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</si>
  <si>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</si>
  <si>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</si>
  <si>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</si>
  <si>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</si>
  <si>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</si>
  <si>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</si>
  <si>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</si>
  <si>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</si>
  <si>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</si>
  <si>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</si>
  <si>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</si>
  <si>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</si>
  <si>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</si>
  <si>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</si>
  <si>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</si>
  <si>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</si>
  <si>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</si>
  <si>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</si>
  <si>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</si>
  <si>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</si>
  <si>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</si>
  <si>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</si>
  <si>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</si>
  <si>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</si>
  <si>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</si>
  <si>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</si>
  <si>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</si>
  <si>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</si>
  <si>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</si>
  <si>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</si>
  <si>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</si>
  <si>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</si>
  <si>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</si>
  <si>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</si>
  <si>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</si>
  <si>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</si>
  <si>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</si>
  <si>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</si>
  <si>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</si>
  <si>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</si>
  <si>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</si>
  <si>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</si>
  <si>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</si>
  <si>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</si>
  <si>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</si>
  <si>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</si>
  <si>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</si>
  <si>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</si>
  <si>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</si>
  <si>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</si>
  <si>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</si>
  <si>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</si>
  <si>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</si>
  <si>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</si>
  <si>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</si>
  <si>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</si>
  <si>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</si>
  <si>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</si>
  <si>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</si>
  <si>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</si>
  <si>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</si>
  <si>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</si>
  <si>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</si>
  <si>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</si>
  <si>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</si>
  <si>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</si>
  <si>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</si>
  <si>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</si>
  <si>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</si>
  <si>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</si>
  <si>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</si>
  <si>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</si>
  <si>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</si>
  <si>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</si>
  <si>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</si>
  <si>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</si>
  <si>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</si>
  <si>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</si>
  <si>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</si>
  <si>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</si>
  <si>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</si>
  <si>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</si>
  <si>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</si>
  <si>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</si>
  <si>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</si>
  <si>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</si>
  <si>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</si>
  <si>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</si>
  <si>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</si>
  <si>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</si>
  <si>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</si>
  <si>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</si>
  <si>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</si>
  <si>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</si>
  <si>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</si>
  <si>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</si>
  <si>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</si>
  <si>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</si>
  <si>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</si>
  <si>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</si>
  <si>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</si>
  <si>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</si>
  <si>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</si>
  <si>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</si>
  <si>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</si>
  <si>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</si>
  <si>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</si>
  <si>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</si>
  <si>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</si>
  <si>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</si>
  <si>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</si>
  <si>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</si>
  <si>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</si>
  <si>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</si>
  <si>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</si>
  <si>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</si>
  <si>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</si>
  <si>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</si>
  <si>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</si>
  <si>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</si>
  <si>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</si>
  <si>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</si>
  <si>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</si>
  <si>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</si>
  <si>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</si>
  <si>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</si>
  <si>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</si>
  <si>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</si>
  <si>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</si>
  <si>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</si>
  <si>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</si>
  <si>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</si>
  <si>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</si>
  <si>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</si>
  <si>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</si>
  <si>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</si>
  <si>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</si>
  <si>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</si>
  <si>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</si>
  <si>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</si>
  <si>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</si>
  <si>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</si>
  <si>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</si>
  <si>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</si>
  <si>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</si>
  <si>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</si>
  <si>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</si>
  <si>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</si>
  <si>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</si>
  <si>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</si>
  <si>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</si>
  <si>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</si>
  <si>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</si>
  <si>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</si>
  <si>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</si>
  <si>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</si>
  <si>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</si>
  <si>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</si>
  <si>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</si>
  <si>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</si>
  <si>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</si>
  <si>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</si>
  <si>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</si>
  <si>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</si>
  <si>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</si>
  <si>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</si>
  <si>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</si>
  <si>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</si>
  <si>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</si>
  <si>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</si>
  <si>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</si>
  <si>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</si>
  <si>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</si>
  <si>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</si>
  <si>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</si>
  <si>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</si>
  <si>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</si>
  <si>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</si>
  <si>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</si>
  <si>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</si>
  <si>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</si>
  <si>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</si>
  <si>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</si>
  <si>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</si>
  <si>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</si>
  <si>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</si>
  <si>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</si>
  <si>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</si>
  <si>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</si>
  <si>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</si>
  <si>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</si>
  <si>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</si>
  <si>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</si>
  <si>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</si>
  <si>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</si>
  <si>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</si>
  <si>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</si>
  <si>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</si>
  <si>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</si>
  <si>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</si>
  <si>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</si>
  <si>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</si>
  <si>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</si>
  <si>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</si>
  <si>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</si>
  <si>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</si>
  <si>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</si>
  <si>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</si>
  <si>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</si>
  <si>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</si>
  <si>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</si>
  <si>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</si>
  <si>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</si>
  <si>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</si>
  <si>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</si>
  <si>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</si>
  <si>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</si>
  <si>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</si>
  <si>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</si>
  <si>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</si>
  <si>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</si>
  <si>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</si>
  <si>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</si>
  <si>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</si>
  <si>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</si>
  <si>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</si>
  <si>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</si>
  <si>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</si>
  <si>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</si>
  <si>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</si>
  <si>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</si>
  <si>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</si>
  <si>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</si>
  <si>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</si>
  <si>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</si>
  <si>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</si>
  <si>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</si>
  <si>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</si>
  <si>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</si>
  <si>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</si>
  <si>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</si>
  <si>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</si>
  <si>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</si>
  <si>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</si>
  <si>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</si>
  <si>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</si>
  <si>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</si>
  <si>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</si>
  <si>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</si>
  <si>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</si>
  <si>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</si>
  <si>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</si>
  <si>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</si>
  <si>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</si>
  <si>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</si>
  <si>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</si>
  <si>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</si>
  <si>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</si>
  <si>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</si>
  <si>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</si>
  <si>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</si>
  <si>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</si>
  <si>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</si>
  <si>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</si>
  <si>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</si>
  <si>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</si>
  <si>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</si>
  <si>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</si>
  <si>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</si>
  <si>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</si>
  <si>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</si>
  <si>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</si>
  <si>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</si>
  <si>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</si>
  <si>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</si>
  <si>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</si>
  <si>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</si>
  <si>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</si>
  <si>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</si>
  <si>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</si>
  <si>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</si>
  <si>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</si>
  <si>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</si>
  <si>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</si>
  <si>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</si>
  <si>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</si>
  <si>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</si>
  <si>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</si>
  <si>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</si>
  <si>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</si>
  <si>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</si>
  <si>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</si>
  <si>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</si>
  <si>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</si>
  <si>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</si>
  <si>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</si>
  <si>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</si>
  <si>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</si>
  <si>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</si>
  <si>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</si>
  <si>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</si>
  <si>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</si>
  <si>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</si>
  <si>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</si>
  <si>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</si>
  <si>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</si>
  <si>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</si>
  <si>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</si>
  <si>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</si>
  <si>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</si>
  <si>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</si>
  <si>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</si>
  <si>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</si>
  <si>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</si>
  <si>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</si>
  <si>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</si>
  <si>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</si>
  <si>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</si>
  <si>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</si>
  <si>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</si>
  <si>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</si>
  <si>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</si>
  <si>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</si>
  <si>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</si>
  <si>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</si>
  <si>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</si>
  <si>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</si>
  <si>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</si>
  <si>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</si>
  <si>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</si>
  <si>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</si>
  <si>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</si>
  <si>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</si>
  <si>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</si>
  <si>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</si>
  <si>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</si>
  <si>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</si>
  <si>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</si>
  <si>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</si>
  <si>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</si>
  <si>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</si>
  <si>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</si>
  <si>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</si>
  <si>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</si>
  <si>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</si>
  <si>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</si>
  <si>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</si>
  <si>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</si>
  <si>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</si>
  <si>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</si>
  <si>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</si>
  <si>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</si>
  <si>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</si>
  <si>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</si>
  <si>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</si>
  <si>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</si>
  <si>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</si>
  <si>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</si>
  <si>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</si>
  <si>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</si>
  <si>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</si>
  <si>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</si>
  <si>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</si>
  <si>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</si>
  <si>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</si>
  <si>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</si>
  <si>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</si>
  <si>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</si>
  <si>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</si>
  <si>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</si>
  <si>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</si>
  <si>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</si>
  <si>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</si>
  <si>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</si>
  <si>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</si>
  <si>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</si>
  <si>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</si>
  <si>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</si>
  <si>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</si>
  <si>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</si>
  <si>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</si>
  <si>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</si>
  <si>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</si>
  <si>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</si>
  <si>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</si>
  <si>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</si>
  <si>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</si>
  <si>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</si>
  <si>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</si>
  <si>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</si>
  <si>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</si>
  <si>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</si>
  <si>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</si>
  <si>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</si>
  <si>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</si>
  <si>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</si>
  <si>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</si>
  <si>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</si>
  <si>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</si>
  <si>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</si>
  <si>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</si>
  <si>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</si>
  <si>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</si>
  <si>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</si>
  <si>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</si>
  <si>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</si>
  <si>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</si>
  <si>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</si>
  <si>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</si>
  <si>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</si>
  <si>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</si>
  <si>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</si>
  <si>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</si>
  <si>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</si>
  <si>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</si>
  <si>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</si>
  <si>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</si>
  <si>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</si>
  <si>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</si>
  <si>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</si>
  <si>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</si>
  <si>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</si>
  <si>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</si>
  <si>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</si>
  <si>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</si>
  <si>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</si>
  <si>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</si>
  <si>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</si>
  <si>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</si>
  <si>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</si>
  <si>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</si>
  <si>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</si>
  <si>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</si>
  <si>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</si>
  <si>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</si>
  <si>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</si>
  <si>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</si>
  <si>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</si>
  <si>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</si>
  <si>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</si>
  <si>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</si>
  <si>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</si>
  <si>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</si>
  <si>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</si>
  <si>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</si>
  <si>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</si>
  <si>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</si>
  <si>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</si>
  <si>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</si>
  <si>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</si>
  <si>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</si>
  <si>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</si>
  <si>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</si>
  <si>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</si>
  <si>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</si>
  <si>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</si>
  <si>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</si>
  <si>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</si>
  <si>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</si>
  <si>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</si>
  <si>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</si>
  <si>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</si>
  <si>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</si>
  <si>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</si>
  <si>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</si>
  <si>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</si>
  <si>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</si>
  <si>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</si>
  <si>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</si>
  <si>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</si>
  <si>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</si>
  <si>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</si>
  <si>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</si>
  <si>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</si>
  <si>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</si>
  <si>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</si>
  <si>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</si>
  <si>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</si>
  <si>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</si>
  <si>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</si>
  <si>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</si>
  <si>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</si>
  <si>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</si>
  <si>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</si>
  <si>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</si>
  <si>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</si>
  <si>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</si>
  <si>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</si>
  <si>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</si>
  <si>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</si>
  <si>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</si>
  <si>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</si>
  <si>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</si>
  <si>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</si>
  <si>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</si>
  <si>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</si>
  <si>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</si>
  <si>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</si>
  <si>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</si>
  <si>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</si>
  <si>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</si>
  <si>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</si>
  <si>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</si>
  <si>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</si>
  <si>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</si>
  <si>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</si>
  <si>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</si>
  <si>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</si>
  <si>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</si>
  <si>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</si>
  <si>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</si>
  <si>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</si>
  <si>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</si>
  <si>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</si>
  <si>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</si>
  <si>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</si>
  <si>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</si>
  <si>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</si>
  <si>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</si>
  <si>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</si>
  <si>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</si>
  <si>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</si>
  <si>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</si>
  <si>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</si>
  <si>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</si>
  <si>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</si>
  <si>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</si>
  <si>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</si>
  <si>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</si>
  <si>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</si>
  <si>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</si>
  <si>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</si>
  <si>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</si>
  <si>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</si>
  <si>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</si>
  <si>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</si>
  <si>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</si>
  <si>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</si>
  <si>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</si>
  <si>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</si>
  <si>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</si>
  <si>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</si>
  <si>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</si>
  <si>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</si>
  <si>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</si>
  <si>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</si>
  <si>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</si>
  <si>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</si>
  <si>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</si>
  <si>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</si>
  <si>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</si>
  <si>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</si>
  <si>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</si>
  <si>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</si>
  <si>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</si>
  <si>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</si>
  <si>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</si>
  <si>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</si>
  <si>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</si>
  <si>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</si>
  <si>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</si>
  <si>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</si>
  <si>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</si>
  <si>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</si>
  <si>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</si>
  <si>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</si>
  <si>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</si>
  <si>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</si>
  <si>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</si>
  <si>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</si>
  <si>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</si>
  <si>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</si>
  <si>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</si>
  <si>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</si>
  <si>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</si>
  <si>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</si>
  <si>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</si>
  <si>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</si>
  <si>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</si>
  <si>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</si>
  <si>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</si>
  <si>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</si>
  <si>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</si>
  <si>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</si>
  <si>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</si>
  <si>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</si>
  <si>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</si>
  <si>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</si>
  <si>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</si>
  <si>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</si>
  <si>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</si>
  <si>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</si>
  <si>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</si>
  <si>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</si>
  <si>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</si>
  <si>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</si>
  <si>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</si>
  <si>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</si>
  <si>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</si>
  <si>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</si>
  <si>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</si>
  <si>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</si>
  <si>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</si>
  <si>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</si>
  <si>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</si>
  <si>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</si>
  <si>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</si>
  <si>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</si>
  <si>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</si>
  <si>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</si>
  <si>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</si>
  <si>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</si>
  <si>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</si>
  <si>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</si>
  <si>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</si>
  <si>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</si>
  <si>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</si>
  <si>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</si>
  <si>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</si>
  <si>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</si>
  <si>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</si>
  <si>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</si>
  <si>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</si>
  <si>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</si>
  <si>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</si>
  <si>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</si>
  <si>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</si>
  <si>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</si>
  <si>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</si>
  <si>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</si>
  <si>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</si>
  <si>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</si>
  <si>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</si>
  <si>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</si>
  <si>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</si>
  <si>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</si>
  <si>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</si>
  <si>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</si>
  <si>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</si>
  <si>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</si>
  <si>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</si>
  <si>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</si>
  <si>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</si>
  <si>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</si>
  <si>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</si>
  <si>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</si>
  <si>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</si>
  <si>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</si>
  <si>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</si>
  <si>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</si>
  <si>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</si>
  <si>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</si>
  <si>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</si>
  <si>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</si>
  <si>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</si>
  <si>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</si>
  <si>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</si>
  <si>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</si>
  <si>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</si>
  <si>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</si>
  <si>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</si>
  <si>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</si>
  <si>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</si>
  <si>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</si>
  <si>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</si>
  <si>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</si>
  <si>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</si>
  <si>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</si>
  <si>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</si>
  <si>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</si>
  <si>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</si>
  <si>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</si>
  <si>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</si>
  <si>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</si>
  <si>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</si>
  <si>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</si>
  <si>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</si>
  <si>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</si>
  <si>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</si>
  <si>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</si>
  <si>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</si>
  <si>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</si>
  <si>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</si>
  <si>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</si>
  <si>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</si>
  <si>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</si>
  <si>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</si>
  <si>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</si>
  <si>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</si>
  <si>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</si>
  <si>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</si>
  <si>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</si>
  <si>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</si>
  <si>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</si>
  <si>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</si>
  <si>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</si>
  <si>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</si>
  <si>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</si>
  <si>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</si>
  <si>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</si>
  <si>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</si>
  <si>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</si>
  <si>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</si>
  <si>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</si>
  <si>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</si>
  <si>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</si>
  <si>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</si>
  <si>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</si>
  <si>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</si>
  <si>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</si>
  <si>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</si>
  <si>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</si>
  <si>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</si>
  <si>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</si>
  <si>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</si>
  <si>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</si>
  <si>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</si>
  <si>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</si>
  <si>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</si>
  <si>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</si>
  <si>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</si>
  <si>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</si>
  <si>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</si>
  <si>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</si>
  <si>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</si>
  <si>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</si>
  <si>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</si>
  <si>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</si>
  <si>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</si>
  <si>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</si>
  <si>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</si>
  <si>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</si>
  <si>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</si>
  <si>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</si>
  <si>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</si>
  <si>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</si>
  <si>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</si>
  <si>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</si>
  <si>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</si>
  <si>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</si>
  <si>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</si>
  <si>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</si>
  <si>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</si>
  <si>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</si>
  <si>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</si>
  <si>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</si>
  <si>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</si>
  <si>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</si>
  <si>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</si>
  <si>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</si>
  <si>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</si>
  <si>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</si>
  <si>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</si>
  <si>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</si>
  <si>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</si>
  <si>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</si>
  <si>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</si>
  <si>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</si>
  <si>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</si>
  <si>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</si>
  <si>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</si>
  <si>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</si>
  <si>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</si>
  <si>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</si>
  <si>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</si>
  <si>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</si>
  <si>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</si>
  <si>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</si>
  <si>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</si>
  <si>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</si>
  <si>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</si>
  <si>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</si>
  <si>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</si>
  <si>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</si>
  <si>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</si>
  <si>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</si>
  <si>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</si>
  <si>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</si>
  <si>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</si>
  <si>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</si>
  <si>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</si>
  <si>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</si>
  <si>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</si>
  <si>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</si>
  <si>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</si>
  <si>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</si>
  <si>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</si>
  <si>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</si>
  <si>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</si>
  <si>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</si>
  <si>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</si>
  <si>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</si>
  <si>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</si>
  <si>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</si>
  <si>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</si>
  <si>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</si>
  <si>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</si>
  <si>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</si>
  <si>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</si>
  <si>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</si>
  <si>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</si>
  <si>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</si>
  <si>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</si>
  <si>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</si>
  <si>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</si>
  <si>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</si>
  <si>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</si>
  <si>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</si>
  <si>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</si>
  <si>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</si>
  <si>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</si>
  <si>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</si>
  <si>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</si>
  <si>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</si>
  <si>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</si>
  <si>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</si>
  <si>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</si>
  <si>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</si>
  <si>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</si>
  <si>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</si>
  <si>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</si>
  <si>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</si>
  <si>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</si>
  <si>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</si>
  <si>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</si>
  <si>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</si>
  <si>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</si>
  <si>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</si>
  <si>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</si>
  <si>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</si>
  <si>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</si>
  <si>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</si>
  <si>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</si>
  <si>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</si>
  <si>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</si>
  <si>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</si>
  <si>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</si>
  <si>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</si>
  <si>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</si>
  <si>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</si>
  <si>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</si>
  <si>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</si>
  <si>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</si>
  <si>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</si>
  <si>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</si>
  <si>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</si>
  <si>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</si>
  <si>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</si>
  <si>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</si>
  <si>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</si>
  <si>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</si>
  <si>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</si>
  <si>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</si>
  <si>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</si>
  <si>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</si>
  <si>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</si>
  <si>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</si>
  <si>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</si>
  <si>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</si>
  <si>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</si>
  <si>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</si>
  <si>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</si>
  <si>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</si>
  <si>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</si>
  <si>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</si>
  <si>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</si>
  <si>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</si>
  <si>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</si>
  <si>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</si>
  <si>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</si>
  <si>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</si>
  <si>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</si>
  <si>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</si>
  <si>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</si>
  <si>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</si>
  <si>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</si>
  <si>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</si>
  <si>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</si>
  <si>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</si>
  <si>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</si>
  <si>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</si>
  <si>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</si>
  <si>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</si>
  <si>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</si>
  <si>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</si>
  <si>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</si>
  <si>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</si>
  <si>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</si>
  <si>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</si>
  <si>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</si>
  <si>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</si>
  <si>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</si>
  <si>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</si>
  <si>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</si>
  <si>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</si>
  <si>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</si>
  <si>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</si>
  <si>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</si>
  <si>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</si>
  <si>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</si>
  <si>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</si>
  <si>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</si>
  <si>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</si>
  <si>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</si>
  <si>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</si>
  <si>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</si>
  <si>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</si>
  <si>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</si>
  <si>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</si>
  <si>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</si>
  <si>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</si>
  <si>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</si>
  <si>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</si>
  <si>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</si>
  <si>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</si>
  <si>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</si>
  <si>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</si>
  <si>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</si>
  <si>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</si>
  <si>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</si>
  <si>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</si>
  <si>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</si>
  <si>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</si>
  <si>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</si>
  <si>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</si>
  <si>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</si>
  <si>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</si>
  <si>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</si>
  <si>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</si>
  <si>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</si>
  <si>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</si>
  <si>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</si>
  <si>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</si>
  <si>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</si>
  <si>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</si>
  <si>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</si>
  <si>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</si>
  <si>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</si>
  <si>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</si>
  <si>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</si>
  <si>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</si>
  <si>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</si>
  <si>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</si>
  <si>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</si>
  <si>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</si>
  <si>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</si>
  <si>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</si>
  <si>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</si>
  <si>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</si>
  <si>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</si>
  <si>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</si>
  <si>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</si>
  <si>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</si>
  <si>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</si>
  <si>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</si>
  <si>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</si>
  <si>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</si>
  <si>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</si>
  <si>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</si>
  <si>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</si>
  <si>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</si>
  <si>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</si>
  <si>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</si>
  <si>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</si>
  <si>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</si>
  <si>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</si>
  <si>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</si>
  <si>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</si>
  <si>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</si>
  <si>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</si>
  <si>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</si>
  <si>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</si>
  <si>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</si>
  <si>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</si>
  <si>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</si>
  <si>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</si>
  <si>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</si>
  <si>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</si>
  <si>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</si>
  <si>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</si>
  <si>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</si>
  <si>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</si>
  <si>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</si>
  <si>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</si>
  <si>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</si>
  <si>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</si>
  <si>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</si>
  <si>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</si>
  <si>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</si>
  <si>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</si>
  <si>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</si>
  <si>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</si>
  <si>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</si>
  <si>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</si>
  <si>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</si>
  <si>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</si>
  <si>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</si>
  <si>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</si>
  <si>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</si>
  <si>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</si>
  <si>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</si>
  <si>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</si>
  <si>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</si>
  <si>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</si>
  <si>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</si>
  <si>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</si>
  <si>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</si>
  <si>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</si>
  <si>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</si>
  <si>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</si>
  <si>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</si>
  <si>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</si>
  <si>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</si>
  <si>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</si>
  <si>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</si>
  <si>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</si>
  <si>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</si>
  <si>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</si>
  <si>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</si>
  <si>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</si>
  <si>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</si>
  <si>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</si>
  <si>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</si>
  <si>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</si>
  <si>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</si>
  <si>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</si>
  <si>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</si>
  <si>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</si>
  <si>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</si>
  <si>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</si>
  <si>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</si>
  <si>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</si>
  <si>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</si>
  <si>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</si>
  <si>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</si>
  <si>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</si>
  <si>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</si>
  <si>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</si>
  <si>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</si>
  <si>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</si>
  <si>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</si>
  <si>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</si>
  <si>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</si>
  <si>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</si>
  <si>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</si>
  <si>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</si>
  <si>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</si>
  <si>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</si>
  <si>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</si>
  <si>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</si>
  <si>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</si>
  <si>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</si>
  <si>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</si>
  <si>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</si>
  <si>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</si>
  <si>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</si>
  <si>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</si>
  <si>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</si>
  <si>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</si>
  <si>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</si>
  <si>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</si>
  <si>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</si>
  <si>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</si>
  <si>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</si>
  <si>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</si>
  <si>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</si>
  <si>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</si>
  <si>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</si>
  <si>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</si>
  <si>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</si>
  <si>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</si>
  <si>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</si>
  <si>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</si>
  <si>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</si>
  <si>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</si>
  <si>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</si>
  <si>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</si>
  <si>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</si>
  <si>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</si>
  <si>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</si>
  <si>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</si>
  <si>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</si>
  <si>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</si>
  <si>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</si>
  <si>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</si>
  <si>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</si>
  <si>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</si>
  <si>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</si>
  <si>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</si>
  <si>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</si>
  <si>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</si>
  <si>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</si>
  <si>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</si>
  <si>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</si>
  <si>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</si>
  <si>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</si>
  <si>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</si>
  <si>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</si>
  <si>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</si>
  <si>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</si>
  <si>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</si>
  <si>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</si>
  <si>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</si>
  <si>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</si>
  <si>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</si>
  <si>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</si>
  <si>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</si>
  <si>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</si>
  <si>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</si>
  <si>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</si>
  <si>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</si>
  <si>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</si>
  <si>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</si>
  <si>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</si>
  <si>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</si>
  <si>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</si>
  <si>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</si>
  <si>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</si>
  <si>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</si>
  <si>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</si>
  <si>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</si>
  <si>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</si>
  <si>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</si>
  <si>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</si>
  <si>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</si>
  <si>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</si>
  <si>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</si>
  <si>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</si>
  <si>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</si>
  <si>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</si>
  <si>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</si>
  <si>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</si>
  <si>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</si>
  <si>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</si>
  <si>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</si>
  <si>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</si>
  <si>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</si>
  <si>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</si>
  <si>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</si>
  <si>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</si>
  <si>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</si>
  <si>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</si>
  <si>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</si>
  <si>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</si>
  <si>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</si>
  <si>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</si>
  <si>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</si>
  <si>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</si>
  <si>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</si>
  <si>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</si>
  <si>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</si>
  <si>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</si>
  <si>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</si>
  <si>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</si>
  <si>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</si>
  <si>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</si>
  <si>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</si>
  <si>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</si>
  <si>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</si>
  <si>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</si>
  <si>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</si>
  <si>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</si>
  <si>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</si>
  <si>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</si>
  <si>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</si>
  <si>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</si>
  <si>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</si>
  <si>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</si>
  <si>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</si>
  <si>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</si>
  <si>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</si>
  <si>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</si>
  <si>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</si>
  <si>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</si>
  <si>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</si>
  <si>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</si>
  <si>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</si>
  <si>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</si>
  <si>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</si>
  <si>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</si>
  <si>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</si>
  <si>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</si>
  <si>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</si>
  <si>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</si>
  <si>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</si>
  <si>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</si>
  <si>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</si>
  <si>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</si>
  <si>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</si>
  <si>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</si>
  <si>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</si>
  <si>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</si>
  <si>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</si>
  <si>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</si>
  <si>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</si>
  <si>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</si>
  <si>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</si>
  <si>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</si>
  <si>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</si>
  <si>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</si>
  <si>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</si>
  <si>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</si>
  <si>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</si>
  <si>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</si>
  <si>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</si>
  <si>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</si>
  <si>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</si>
  <si>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</si>
  <si>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</si>
  <si>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</si>
  <si>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</si>
  <si>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</si>
  <si>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</si>
  <si>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</si>
  <si>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</si>
  <si>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</si>
  <si>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</si>
  <si>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</si>
  <si>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</si>
  <si>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</si>
  <si>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</si>
  <si>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</si>
  <si>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</si>
  <si>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</si>
  <si>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</si>
  <si>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</si>
  <si>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</si>
  <si>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</si>
  <si>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</si>
  <si>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</si>
  <si>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</si>
  <si>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</si>
  <si>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</si>
  <si>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</si>
  <si>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</si>
  <si>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</si>
  <si>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</si>
  <si>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</si>
  <si>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</si>
  <si>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</si>
  <si>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</si>
  <si>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</si>
  <si>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</si>
  <si>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</si>
  <si>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</si>
  <si>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</si>
  <si>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</si>
  <si>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</si>
  <si>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</si>
  <si>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</si>
  <si>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</si>
  <si>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</si>
  <si>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</si>
  <si>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</si>
  <si>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</si>
  <si>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</si>
  <si>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</si>
  <si>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</si>
  <si>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</si>
  <si>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</si>
  <si>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</si>
  <si>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</si>
  <si>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</si>
  <si>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</si>
  <si>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</si>
  <si>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</si>
  <si>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</si>
  <si>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</si>
  <si>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</si>
  <si>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</si>
  <si>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</si>
  <si>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</si>
  <si>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</si>
  <si>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</si>
  <si>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</si>
  <si>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</si>
  <si>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</si>
  <si>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</si>
  <si>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</si>
  <si>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</si>
  <si>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</si>
  <si>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</si>
  <si>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</si>
  <si>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</si>
  <si>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</si>
  <si>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</si>
  <si>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</si>
  <si>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</si>
  <si>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</si>
  <si>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</si>
  <si>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</si>
  <si>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</si>
  <si>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</si>
  <si>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</si>
  <si>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</si>
  <si>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</si>
  <si>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</si>
  <si>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</si>
  <si>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</si>
  <si>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</si>
  <si>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</si>
  <si>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</si>
  <si>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</si>
  <si>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</si>
  <si>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</si>
  <si>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</si>
  <si>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</si>
  <si>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</si>
  <si>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</si>
  <si>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</si>
  <si>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</si>
  <si>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</si>
  <si>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</si>
  <si>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</si>
  <si>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</si>
  <si>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</si>
  <si>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</si>
  <si>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</si>
  <si>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</si>
  <si>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</si>
  <si>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</si>
  <si>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</si>
  <si>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</si>
  <si>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</si>
  <si>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</si>
  <si>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</si>
  <si>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</si>
  <si>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</si>
  <si>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</si>
  <si>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</si>
  <si>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</si>
  <si>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</si>
  <si>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</si>
  <si>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</si>
  <si>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</si>
  <si>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</si>
  <si>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</si>
  <si>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</si>
  <si>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</si>
  <si>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</si>
  <si>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</si>
  <si>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</si>
  <si>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</si>
  <si>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</si>
  <si>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</si>
  <si>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</si>
  <si>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</si>
  <si>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</si>
  <si>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</si>
  <si>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</si>
  <si>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</si>
  <si>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</si>
  <si>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</si>
  <si>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</si>
  <si>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</si>
  <si>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</si>
  <si>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</si>
  <si>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</si>
  <si>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</si>
  <si>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</si>
  <si>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</si>
  <si>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</si>
  <si>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</si>
  <si>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</si>
  <si>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</si>
  <si>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</si>
  <si>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</si>
  <si>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</si>
  <si>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</si>
  <si>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</si>
  <si>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</si>
  <si>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</si>
  <si>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</si>
  <si>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</si>
  <si>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</si>
  <si>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</si>
  <si>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</si>
  <si>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</si>
  <si>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</si>
  <si>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</si>
  <si>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</si>
  <si>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</si>
  <si>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</si>
  <si>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</si>
  <si>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</si>
  <si>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</si>
  <si>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</si>
  <si>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</si>
  <si>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</si>
  <si>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</si>
  <si>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</si>
  <si>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</si>
  <si>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</si>
  <si>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</si>
  <si>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</si>
  <si>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</si>
  <si>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</si>
  <si>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</si>
  <si>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</si>
  <si>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</si>
  <si>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</si>
  <si>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</si>
  <si>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</si>
  <si>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</si>
  <si>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</si>
  <si>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</si>
  <si>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</si>
  <si>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</si>
  <si>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</si>
  <si>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</si>
  <si>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</si>
  <si>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</si>
  <si>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</si>
  <si>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</si>
  <si>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</si>
  <si>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</si>
  <si>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</si>
  <si>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</si>
  <si>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</si>
  <si>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</si>
  <si>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</si>
  <si>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</si>
  <si>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</si>
  <si>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</si>
  <si>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</si>
  <si>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</si>
  <si>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</si>
  <si>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</si>
  <si>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</si>
  <si>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</si>
  <si>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</si>
  <si>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</si>
  <si>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</si>
  <si>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</si>
  <si>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</si>
  <si>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</si>
  <si>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</si>
  <si>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</si>
  <si>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</si>
  <si>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</si>
  <si>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</si>
  <si>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</si>
  <si>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</si>
  <si>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</si>
  <si>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</si>
  <si>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</si>
  <si>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</si>
  <si>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</si>
  <si>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</si>
  <si>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</si>
  <si>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</si>
  <si>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</si>
  <si>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</si>
  <si>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</si>
  <si>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</si>
  <si>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</si>
  <si>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</si>
  <si>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</si>
  <si>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</si>
  <si>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</si>
  <si>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</si>
  <si>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</si>
  <si>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</si>
  <si>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</si>
  <si>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</si>
  <si>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</si>
  <si>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</si>
  <si>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</si>
  <si>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</si>
  <si>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</si>
  <si>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</si>
  <si>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</si>
  <si>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</si>
  <si>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</si>
  <si>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</si>
  <si>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</si>
  <si>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</si>
  <si>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</si>
  <si>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</si>
  <si>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</si>
  <si>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</si>
  <si>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</si>
  <si>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</si>
  <si>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</si>
  <si>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</si>
  <si>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</si>
  <si>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</si>
  <si>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</si>
  <si>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</si>
  <si>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</si>
  <si>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</si>
  <si>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</si>
  <si>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</si>
  <si>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</si>
  <si>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</si>
  <si>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</si>
  <si>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</si>
  <si>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</si>
  <si>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</si>
  <si>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</si>
  <si>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</si>
  <si>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</si>
  <si>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</si>
  <si>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</si>
  <si>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</si>
  <si>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</si>
  <si>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</si>
  <si>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</si>
  <si>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</si>
  <si>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</si>
  <si>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</si>
  <si>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</si>
  <si>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</si>
  <si>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</si>
  <si>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</si>
  <si>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</si>
  <si>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</si>
  <si>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</si>
  <si>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</si>
  <si>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</si>
  <si>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</si>
  <si>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</si>
  <si>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</si>
  <si>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</si>
  <si>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</si>
  <si>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</si>
  <si>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</si>
  <si>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</si>
  <si>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</si>
  <si>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</si>
  <si>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</si>
  <si>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</si>
  <si>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</si>
  <si>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</si>
  <si>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</si>
  <si>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</si>
  <si>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</si>
  <si>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</si>
  <si>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</si>
  <si>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</si>
  <si>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</si>
  <si>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</si>
  <si>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</si>
  <si>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</si>
  <si>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</si>
  <si>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</si>
  <si>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</si>
  <si>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</si>
  <si>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</si>
  <si>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</si>
  <si>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</si>
  <si>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</si>
  <si>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</si>
  <si>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</si>
  <si>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</si>
  <si>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</si>
  <si>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</si>
  <si>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</si>
  <si>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</si>
  <si>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</si>
  <si>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</si>
  <si>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</si>
  <si>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</si>
  <si>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</si>
  <si>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</si>
  <si>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</si>
  <si>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</si>
  <si>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</si>
  <si>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</si>
  <si>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</si>
  <si>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</si>
  <si>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</si>
  <si>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</si>
  <si>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</si>
  <si>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</si>
  <si>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</si>
  <si>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</si>
  <si>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</si>
  <si>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</si>
  <si>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</si>
  <si>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</si>
  <si>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</si>
  <si>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</si>
  <si>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</si>
  <si>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</si>
  <si>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</si>
  <si>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</si>
  <si>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</si>
  <si>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</si>
  <si>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</si>
  <si>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</si>
  <si>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</si>
  <si>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</si>
  <si>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</si>
  <si>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</si>
  <si>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</si>
  <si>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</si>
  <si>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</si>
  <si>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</si>
  <si>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</si>
  <si>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</si>
  <si>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</si>
  <si>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</si>
  <si>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</si>
  <si>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</si>
  <si>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</si>
  <si>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</si>
  <si>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</si>
  <si>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</si>
  <si>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</si>
  <si>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</si>
  <si>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</si>
  <si>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</si>
  <si>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</si>
  <si>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</si>
  <si>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</si>
  <si>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</si>
  <si>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</si>
  <si>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</si>
  <si>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</si>
  <si>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</si>
  <si>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</si>
  <si>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</si>
  <si>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</si>
  <si>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</si>
  <si>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</si>
  <si>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</si>
  <si>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</si>
  <si>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</si>
  <si>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</si>
  <si>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</si>
  <si>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</si>
  <si>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</si>
  <si>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</si>
  <si>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</si>
  <si>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</si>
  <si>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</si>
  <si>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</si>
  <si>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</si>
  <si>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</si>
  <si>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</si>
  <si>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</si>
  <si>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</si>
  <si>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</si>
  <si>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</si>
  <si>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</si>
  <si>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</si>
  <si>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</si>
  <si>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</si>
  <si>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</si>
  <si>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</si>
  <si>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</si>
  <si>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</si>
  <si>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</si>
  <si>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</si>
  <si>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</si>
  <si>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</si>
  <si>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</si>
  <si>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</si>
  <si>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</si>
  <si>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</si>
  <si>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</si>
  <si>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</si>
  <si>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</si>
  <si>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</si>
  <si>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</si>
  <si>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</si>
  <si>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</si>
  <si>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</si>
  <si>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</si>
  <si>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</si>
  <si>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</si>
  <si>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</si>
  <si>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</si>
  <si>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</si>
  <si>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</si>
  <si>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</si>
  <si>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</si>
  <si>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</si>
  <si>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</si>
  <si>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</si>
  <si>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</si>
  <si>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</si>
  <si>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</si>
  <si>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</si>
  <si>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</si>
  <si>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</si>
  <si>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</si>
  <si>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</si>
  <si>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</si>
  <si>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</si>
  <si>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</si>
  <si>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</si>
  <si>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</si>
  <si>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</si>
  <si>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</si>
  <si>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</si>
  <si>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</si>
  <si>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</si>
  <si>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</si>
  <si>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</si>
  <si>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</si>
  <si>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</si>
  <si>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</si>
  <si>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</si>
  <si>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</si>
  <si>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</si>
  <si>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</si>
  <si>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</si>
  <si>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</si>
  <si>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</si>
  <si>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</si>
  <si>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</si>
  <si>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</si>
  <si>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</si>
  <si>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</si>
  <si>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</si>
  <si>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</si>
  <si>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</si>
  <si>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</si>
  <si>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</si>
  <si>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</si>
  <si>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</si>
  <si>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</si>
  <si>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</si>
  <si>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</si>
  <si>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</si>
  <si>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</si>
  <si>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</si>
  <si>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</si>
  <si>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</si>
  <si>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</si>
  <si>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</si>
  <si>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</si>
  <si>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</si>
  <si>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</si>
  <si>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</si>
  <si>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</si>
  <si>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</si>
  <si>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</si>
  <si>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</si>
  <si>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</si>
  <si>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</si>
  <si>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</si>
  <si>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</si>
  <si>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</si>
  <si>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</si>
  <si>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</si>
  <si>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</si>
  <si>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</si>
  <si>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</si>
  <si>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</si>
  <si>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</si>
  <si>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</si>
  <si>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</si>
  <si>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</si>
  <si>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</si>
  <si>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</si>
  <si>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</si>
  <si>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</si>
  <si>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</si>
  <si>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</si>
  <si>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</si>
  <si>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</si>
  <si>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</si>
  <si>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</si>
  <si>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</si>
  <si>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</si>
  <si>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</si>
  <si>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</si>
  <si>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</si>
  <si>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</si>
  <si>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</si>
  <si>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</si>
  <si>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</si>
  <si>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</si>
  <si>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</si>
  <si>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</si>
  <si>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</si>
  <si>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</si>
  <si>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</si>
  <si>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</si>
  <si>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</si>
  <si>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</si>
  <si>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</si>
  <si>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</si>
  <si>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</si>
  <si>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</si>
  <si>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</si>
  <si>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</si>
  <si>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</si>
  <si>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</si>
  <si>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</si>
  <si>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</si>
  <si>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</si>
  <si>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</si>
  <si>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</si>
  <si>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</si>
  <si>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</si>
  <si>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</si>
  <si>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</si>
  <si>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</si>
  <si>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</si>
  <si>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</si>
  <si>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</si>
  <si>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</si>
  <si>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</si>
  <si>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</si>
  <si>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</si>
  <si>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</si>
  <si>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</si>
  <si>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</si>
  <si>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</si>
  <si>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</si>
  <si>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</si>
  <si>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</si>
  <si>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</si>
  <si>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</si>
  <si>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</si>
  <si>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</si>
  <si>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</si>
  <si>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</si>
  <si>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</si>
  <si>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</si>
  <si>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</si>
  <si>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</si>
  <si>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</si>
  <si>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</si>
  <si>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</si>
  <si>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</si>
  <si>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</si>
  <si>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</si>
  <si>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</si>
  <si>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</si>
  <si>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</si>
  <si>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</si>
  <si>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</si>
  <si>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</si>
  <si>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</si>
  <si>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</si>
  <si>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</si>
  <si>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</si>
  <si>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</si>
  <si>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</si>
  <si>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</si>
  <si>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</si>
  <si>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</si>
  <si>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</si>
  <si>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</si>
  <si>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</si>
  <si>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</si>
  <si>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</si>
  <si>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</si>
  <si>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</si>
  <si>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</si>
  <si>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</si>
  <si>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</si>
  <si>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</si>
  <si>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</si>
  <si>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</si>
  <si>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</si>
  <si>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</si>
  <si>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</si>
  <si>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</si>
  <si>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</si>
  <si>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</si>
  <si>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</si>
  <si>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</si>
  <si>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</si>
  <si>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</si>
  <si>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</si>
  <si>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</si>
  <si>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</si>
  <si>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</si>
  <si>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</si>
  <si>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</si>
  <si>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</si>
  <si>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</si>
  <si>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</si>
  <si>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</si>
  <si>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</si>
  <si>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</si>
  <si>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</si>
  <si>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</si>
  <si>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</si>
  <si>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</si>
  <si>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</si>
  <si>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</si>
  <si>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</si>
  <si>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</si>
  <si>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</si>
  <si>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</si>
  <si>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</si>
  <si>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</si>
  <si>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</si>
  <si>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</si>
  <si>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</si>
  <si>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</si>
  <si>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</si>
  <si>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</si>
  <si>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</si>
  <si>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</si>
  <si>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</si>
  <si>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</si>
  <si>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</si>
  <si>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</si>
  <si>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</si>
  <si>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</si>
  <si>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</si>
  <si>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</si>
  <si>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</si>
  <si>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</si>
  <si>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</si>
  <si>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</si>
  <si>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</si>
  <si>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</si>
  <si>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</si>
  <si>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</si>
  <si>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</si>
  <si>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</si>
  <si>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</si>
  <si>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</si>
  <si>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</si>
  <si>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</si>
  <si>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</si>
  <si>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</si>
  <si>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</si>
  <si>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</si>
  <si>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</si>
  <si>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</si>
  <si>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</si>
  <si>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</si>
  <si>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</si>
  <si>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</si>
  <si>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</si>
  <si>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</si>
  <si>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</si>
  <si>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</si>
  <si>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</si>
  <si>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</si>
  <si>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</si>
  <si>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</si>
  <si>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</si>
  <si>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</si>
  <si>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</si>
  <si>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</si>
  <si>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</si>
  <si>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</si>
  <si>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</si>
  <si>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</si>
  <si>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</si>
  <si>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</si>
  <si>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</si>
  <si>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</si>
  <si>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</si>
  <si>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</si>
  <si>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</si>
  <si>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</si>
  <si>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</si>
  <si>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</si>
  <si>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</si>
  <si>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</si>
  <si>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</si>
  <si>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</si>
  <si>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</si>
  <si>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</si>
  <si>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</si>
  <si>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</si>
  <si>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</si>
  <si>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</si>
  <si>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</si>
  <si>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</si>
  <si>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</si>
  <si>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</si>
  <si>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</si>
  <si>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</si>
  <si>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</si>
  <si>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</si>
  <si>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</si>
  <si>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</si>
  <si>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</si>
  <si>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</si>
  <si>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</si>
  <si>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</si>
  <si>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</si>
  <si>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</si>
  <si>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</si>
  <si>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</si>
  <si>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</si>
  <si>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</si>
  <si>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</si>
  <si>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</si>
  <si>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</si>
  <si>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</si>
  <si>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</si>
  <si>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</si>
  <si>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</si>
  <si>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</si>
  <si>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</si>
  <si>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</si>
  <si>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</si>
  <si>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</si>
  <si>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</si>
  <si>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</si>
  <si>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</si>
  <si>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</si>
  <si>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</si>
  <si>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</si>
  <si>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</si>
  <si>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</si>
  <si>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</si>
  <si>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</si>
  <si>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</si>
  <si>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</si>
  <si>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</si>
  <si>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</si>
  <si>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</si>
  <si>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</si>
  <si>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</si>
  <si>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</si>
  <si>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</si>
  <si>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</si>
  <si>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</si>
  <si>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</si>
  <si>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</si>
  <si>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</si>
  <si>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</si>
  <si>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</si>
  <si>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</si>
  <si>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</si>
  <si>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</si>
  <si>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</si>
  <si>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</si>
  <si>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</si>
  <si>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</si>
  <si>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</si>
  <si>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</si>
  <si>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</si>
  <si>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</si>
  <si>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</si>
  <si>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</si>
  <si>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</si>
  <si>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</si>
  <si>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</si>
  <si>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</si>
  <si>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</si>
  <si>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</si>
  <si>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</si>
  <si>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</si>
  <si>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</si>
  <si>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</si>
  <si>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</si>
  <si>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</si>
  <si>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</si>
  <si>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</si>
  <si>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</si>
  <si>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</si>
  <si>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</si>
  <si>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</si>
  <si>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</si>
  <si>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</si>
  <si>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</si>
  <si>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</si>
  <si>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</si>
  <si>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</si>
  <si>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</si>
  <si>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</si>
  <si>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</si>
  <si>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</si>
  <si>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</si>
  <si>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</si>
  <si>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</si>
  <si>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</si>
  <si>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</si>
  <si>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</si>
  <si>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</si>
  <si>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</si>
  <si>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</si>
  <si>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</si>
  <si>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</si>
  <si>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</si>
  <si>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</si>
  <si>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</si>
  <si>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</si>
  <si>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</si>
  <si>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</si>
  <si>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</si>
  <si>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</si>
  <si>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</si>
  <si>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</si>
  <si>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</si>
  <si>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</si>
  <si>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</si>
  <si>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</si>
  <si>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</si>
  <si>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</si>
  <si>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</si>
  <si>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</si>
  <si>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</si>
  <si>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</si>
  <si>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</si>
  <si>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</si>
  <si>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</si>
  <si>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</si>
  <si>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</si>
  <si>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</si>
  <si>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</si>
  <si>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</si>
  <si>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</si>
  <si>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</si>
  <si>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</si>
  <si>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</si>
  <si>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</si>
  <si>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</si>
  <si>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</si>
  <si>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</si>
  <si>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</si>
  <si>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</si>
  <si>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</si>
  <si>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</si>
  <si>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</si>
  <si>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</si>
  <si>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</si>
  <si>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</si>
  <si>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</si>
  <si>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</si>
  <si>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</si>
  <si>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</si>
  <si>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</si>
  <si>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</si>
  <si>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</si>
  <si>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</si>
  <si>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</si>
  <si>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</si>
  <si>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</si>
  <si>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</si>
  <si>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</si>
  <si>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</si>
  <si>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</si>
  <si>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</si>
  <si>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</si>
  <si>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</si>
  <si>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</si>
  <si>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</si>
  <si>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</si>
  <si>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</si>
  <si>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</si>
  <si>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</si>
  <si>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</si>
  <si>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</si>
  <si>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</si>
  <si>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</si>
  <si>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</si>
  <si>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</si>
  <si>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</si>
  <si>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</si>
  <si>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</si>
  <si>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</si>
  <si>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</si>
  <si>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</si>
  <si>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</si>
  <si>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</si>
  <si>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</si>
  <si>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</si>
  <si>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</si>
  <si>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</si>
  <si>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</si>
  <si>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</si>
  <si>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</si>
  <si>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</si>
  <si>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</si>
  <si>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</si>
  <si>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</si>
  <si>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</si>
  <si>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</si>
  <si>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</si>
  <si>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</si>
  <si>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</si>
  <si>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</si>
  <si>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</si>
  <si>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</si>
  <si>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</si>
  <si>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</si>
  <si>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</si>
  <si>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</si>
  <si>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</si>
  <si>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</si>
  <si>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</si>
  <si>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</si>
  <si>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</si>
  <si>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</si>
  <si>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</si>
  <si>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</si>
  <si>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</si>
  <si>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</si>
  <si>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</si>
  <si>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</si>
  <si>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</si>
  <si>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</si>
  <si>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</si>
  <si>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</si>
  <si>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</si>
  <si>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</si>
  <si>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</si>
  <si>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</si>
  <si>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</si>
  <si>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</si>
  <si>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</si>
  <si>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</si>
  <si>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</si>
  <si>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</si>
  <si>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</si>
  <si>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</si>
  <si>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</si>
  <si>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</si>
  <si>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</si>
  <si>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</si>
  <si>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</si>
  <si>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</si>
  <si>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</si>
  <si>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</si>
  <si>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</si>
  <si>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</si>
  <si>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</si>
  <si>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</si>
  <si>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</si>
  <si>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</si>
  <si>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</si>
  <si>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</si>
  <si>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</si>
  <si>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</si>
  <si>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</si>
  <si>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</si>
  <si>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</si>
  <si>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</si>
  <si>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</si>
  <si>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</si>
  <si>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</si>
  <si>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</si>
  <si>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</si>
  <si>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</si>
  <si>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</si>
  <si>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</si>
  <si>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</si>
  <si>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</si>
  <si>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</si>
  <si>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</si>
  <si>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</si>
  <si>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</si>
  <si>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</si>
  <si>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</si>
  <si>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</si>
  <si>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</si>
  <si>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</si>
  <si>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</si>
  <si>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</si>
  <si>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</si>
  <si>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</si>
  <si>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</si>
  <si>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</si>
  <si>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</si>
  <si>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</si>
  <si>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</si>
  <si>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</si>
  <si>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</si>
  <si>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</si>
  <si>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</si>
  <si>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</si>
  <si>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</si>
  <si>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</si>
  <si>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</si>
  <si>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</si>
  <si>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</si>
  <si>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</si>
  <si>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</si>
  <si>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</si>
  <si>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</si>
  <si>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</si>
  <si>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</si>
  <si>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</si>
  <si>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</si>
  <si>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</si>
  <si>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</si>
  <si>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</si>
  <si>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</si>
  <si>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</si>
  <si>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</si>
  <si>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</si>
  <si>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</si>
  <si>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</si>
  <si>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</si>
  <si>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</si>
  <si>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</si>
  <si>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</si>
  <si>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</si>
  <si>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</si>
  <si>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</si>
  <si>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</si>
  <si>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</si>
  <si>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</si>
  <si>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</si>
  <si>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</si>
  <si>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</si>
  <si>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</si>
  <si>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</si>
  <si>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</si>
  <si>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</si>
  <si>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</si>
  <si>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</si>
  <si>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</si>
  <si>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</si>
  <si>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</si>
  <si>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</si>
  <si>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</si>
  <si>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</si>
  <si>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</si>
  <si>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</si>
  <si>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</si>
  <si>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</si>
  <si>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</si>
  <si>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</si>
  <si>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</si>
  <si>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</si>
  <si>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</si>
  <si>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</si>
  <si>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</si>
  <si>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</si>
  <si>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</si>
  <si>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</si>
  <si>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</si>
  <si>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</si>
  <si>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</si>
  <si>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</si>
  <si>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</si>
  <si>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</si>
  <si>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</si>
  <si>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</si>
  <si>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</si>
  <si>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</si>
  <si>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</si>
  <si>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</si>
  <si>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</si>
  <si>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</si>
  <si>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</si>
  <si>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</si>
  <si>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</si>
  <si>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</si>
  <si>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</si>
  <si>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</si>
  <si>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</si>
  <si>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</si>
  <si>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</si>
  <si>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</si>
  <si>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</si>
  <si>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</si>
  <si>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</si>
  <si>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</si>
  <si>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</si>
  <si>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</si>
  <si>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</si>
  <si>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</si>
  <si>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</si>
  <si>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</si>
  <si>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</si>
  <si>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</si>
  <si>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</si>
  <si>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</si>
  <si>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</si>
  <si>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</si>
  <si>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</si>
  <si>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</si>
  <si>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</si>
  <si>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</si>
  <si>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</si>
  <si>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</si>
  <si>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</si>
  <si>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</si>
  <si>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</si>
  <si>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</si>
  <si>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</si>
  <si>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</si>
  <si>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</si>
  <si>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</si>
  <si>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</si>
  <si>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</si>
  <si>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</si>
  <si>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</si>
  <si>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</si>
  <si>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</si>
  <si>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</si>
  <si>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</si>
  <si>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</si>
  <si>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</si>
  <si>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</si>
  <si>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</si>
  <si>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</si>
  <si>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</si>
  <si>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</si>
  <si>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</si>
  <si>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</si>
  <si>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</si>
  <si>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</si>
  <si>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</si>
  <si>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</si>
  <si>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</si>
  <si>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</si>
  <si>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</si>
  <si>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</si>
  <si>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</si>
  <si>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</si>
  <si>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</si>
  <si>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</si>
  <si>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</si>
  <si>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</si>
  <si>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</si>
  <si>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</si>
  <si>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</si>
  <si>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</si>
  <si>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</si>
  <si>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</si>
  <si>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</si>
  <si>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</si>
  <si>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</si>
  <si>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</si>
  <si>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</si>
  <si>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</si>
  <si>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</si>
  <si>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</si>
  <si>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</si>
  <si>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</si>
  <si>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</si>
  <si>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</si>
  <si>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</si>
  <si>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</si>
  <si>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</si>
  <si>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</si>
  <si>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</si>
  <si>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</si>
  <si>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</si>
  <si>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</si>
  <si>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</si>
  <si>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</si>
  <si>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</si>
  <si>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</si>
  <si>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</si>
  <si>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</si>
  <si>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</si>
  <si>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</si>
  <si>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</si>
  <si>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</si>
  <si>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</si>
  <si>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</si>
  <si>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</si>
  <si>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</si>
  <si>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</si>
  <si>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</si>
  <si>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</si>
  <si>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</si>
  <si>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</si>
  <si>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</si>
  <si>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</si>
  <si>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</si>
  <si>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</si>
  <si>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</si>
  <si>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</si>
  <si>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</si>
  <si>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</si>
  <si>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</si>
  <si>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</si>
  <si>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</si>
  <si>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</si>
  <si>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</si>
  <si>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</si>
  <si>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</si>
  <si>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</si>
  <si>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</si>
  <si>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</si>
  <si>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</si>
  <si>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</si>
  <si>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</si>
  <si>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</si>
  <si>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</si>
  <si>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</si>
  <si>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</si>
  <si>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</si>
  <si>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</si>
  <si>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</si>
  <si>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</si>
  <si>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</si>
  <si>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</si>
  <si>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</si>
  <si>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</si>
  <si>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</si>
  <si>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</si>
  <si>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</si>
  <si>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</si>
  <si>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</si>
  <si>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</si>
  <si>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</si>
  <si>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</si>
  <si>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</si>
  <si>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</si>
  <si>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</si>
  <si>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</si>
  <si>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</si>
  <si>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</si>
  <si>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</si>
  <si>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</si>
  <si>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</si>
  <si>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</si>
  <si>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</si>
  <si>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</si>
  <si>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</si>
  <si>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</si>
  <si>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</si>
  <si>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</si>
  <si>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</si>
  <si>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</si>
  <si>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</si>
  <si>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</si>
  <si>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</si>
  <si>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</si>
  <si>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</si>
  <si>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</si>
  <si>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</si>
  <si>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</si>
  <si>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</si>
  <si>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</si>
  <si>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</si>
  <si>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</si>
  <si>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</si>
  <si>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</si>
  <si>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</si>
  <si>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</si>
  <si>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</si>
  <si>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</si>
  <si>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</si>
  <si>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</si>
  <si>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</si>
  <si>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</si>
  <si>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</si>
  <si>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</si>
  <si>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</si>
  <si>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</si>
  <si>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</si>
  <si>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</si>
  <si>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</si>
  <si>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</si>
  <si>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</si>
  <si>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</si>
  <si>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</si>
  <si>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</si>
  <si>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</si>
  <si>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</si>
  <si>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</si>
  <si>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商务金融用地（商业类）</t>
  </si>
  <si>
    <t>自定义容积率</t>
  </si>
  <si>
    <t>不临58条商业街</t>
  </si>
  <si>
    <t>Ⅵ-通1</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</si>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</sst>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e">
        <f>'预评函-1'!A7</f>
        <v>#DIV/0!</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e">
        <f>'预评函-1'!A10</f>
        <v>#DIV/0!</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2018年7月26日</v>
      </c>
    </row>
    <row r="13" spans="1:2" s="1596" customFormat="1">
      <c r="A13" s="1594" t="s">
        <v>1227</v>
      </c>
      <c r="B13" s="1595" t="str">
        <f>'预评函-1'!A18</f>
        <v>本次估价的“房地产价值”是指在正常市场情况下，在价值时点2018年7月26日，估价对象规划用途为，土地取得方式为，假定未设立法定优先受偿款下的房地产市场价值。</v>
      </c>
    </row>
    <row r="14" spans="1:2" s="1596" customFormat="1">
      <c r="A14" s="1594" t="s">
        <v>1228</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t="e">
        <f ca="1">'预评函-2'!D5</f>
        <v>#REF!</v>
      </c>
    </row>
    <row r="21" spans="1:2" s="1596" customFormat="1">
      <c r="A21" s="1594" t="s">
        <v>1235</v>
      </c>
      <c r="B21" s="1595" t="e">
        <f ca="1">'预评函-2'!D7</f>
        <v>#REF!</v>
      </c>
    </row>
    <row r="22" spans="1:2" s="1596" customFormat="1">
      <c r="A22" s="1594" t="s">
        <v>1236</v>
      </c>
      <c r="B22" s="1595" t="e">
        <f ca="1">'预评函-2'!D6</f>
        <v>#REF!</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t="e">
        <f ca="1">'预评函-2'!D13</f>
        <v>#REF!</v>
      </c>
    </row>
    <row r="31" spans="1:2" s="1596" customFormat="1">
      <c r="A31" s="1594" t="s">
        <v>1274</v>
      </c>
      <c r="B31" s="1595" t="e">
        <f ca="1">'预评函-2'!D15</f>
        <v>#REF!</v>
      </c>
    </row>
    <row r="32" spans="1:2" s="1596" customFormat="1">
      <c r="A32" s="1594" t="s">
        <v>1241</v>
      </c>
      <c r="B32" s="1595" t="e">
        <f ca="1">'预评函-2'!D14</f>
        <v>#REF!</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0</v>
      </c>
    </row>
    <row r="44" spans="1:2" s="1596" customFormat="1">
      <c r="A44" s="1594" t="s">
        <v>1273</v>
      </c>
      <c r="B44" s="1595" t="str">
        <f>'预评函-3'!C2</f>
        <v>(分摊)土地面积</v>
      </c>
    </row>
    <row r="45" spans="1:2" s="1596" customFormat="1">
      <c r="A45" s="1594" t="s">
        <v>1245</v>
      </c>
      <c r="B45" s="1595" t="e">
        <f>'预评函-3'!C4</f>
        <v>#DIV/0!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2025" t="s">
        <v>864</v>
      </c>
      <c r="C54" s="2022" t="s">
        <v>1281</v>
      </c>
    </row>
    <row r="55" spans="1:4">
      <c r="A55" s="2992"/>
      <c r="B55" s="2025" t="s">
        <v>865</v>
      </c>
      <c r="C55" s="2022" t="s">
        <v>1282</v>
      </c>
    </row>
    <row r="56" spans="1:4">
      <c r="A56" s="2992"/>
      <c r="B56" s="2025" t="s">
        <v>866</v>
      </c>
      <c r="C56" s="2022" t="s">
        <v>1286</v>
      </c>
    </row>
    <row r="57" spans="1:4">
      <c r="A57" s="299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2993" t="str">
        <f>IF(B10="北京市","北京市",C10)&amp;F10&amp;IF(结果表!G1="在建","出让国有建设用地使用权及在建建筑物",IF(结果表!G1="土地","出让国有建设用地使用权",))&amp;B9&amp;"预评估"</f>
        <v>出让国有建设用地使用权及在建建筑物预评估</v>
      </c>
      <c r="C1" s="2994"/>
      <c r="D1" s="2994"/>
      <c r="E1" s="2994"/>
      <c r="F1" s="2994"/>
      <c r="G1" s="2994"/>
      <c r="H1" s="2994"/>
      <c r="I1" s="299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c r="C3" s="2040" t="s">
        <v>1779</v>
      </c>
      <c r="D3" s="2039">
        <v>43307</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c r="C8" s="2059"/>
      <c r="D8" s="2996" t="s">
        <v>1785</v>
      </c>
      <c r="E8" s="2060"/>
      <c r="F8" s="2061"/>
      <c r="G8" s="2029"/>
      <c r="H8" s="2029"/>
      <c r="I8" s="2029"/>
      <c r="J8" s="2045"/>
      <c r="K8" s="2046"/>
      <c r="L8" s="2031"/>
      <c r="M8" s="2031"/>
      <c r="N8" s="2032"/>
      <c r="O8" s="2033"/>
      <c r="P8" s="2032"/>
      <c r="Q8" s="2032"/>
      <c r="R8" s="2032"/>
    </row>
    <row r="9" spans="1:19" ht="18" customHeight="1" thickBot="1">
      <c r="A9" s="2043" t="s">
        <v>1786</v>
      </c>
      <c r="B9" s="2062"/>
      <c r="C9" s="2063"/>
      <c r="D9" s="2997"/>
      <c r="E9" s="2062"/>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57917</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0</v>
      </c>
      <c r="E15" s="1052">
        <f>IF(B12="出让",IF(E13="","",ROUNDDOWN(MIN((E13-$D$3)/365,E14),2)),E14)</f>
        <v>40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6"/>
      <c r="L15" s="2087"/>
      <c r="M15" s="2087"/>
      <c r="N15" s="2088"/>
      <c r="O15" s="2087"/>
      <c r="P15" s="2088"/>
      <c r="Q15" s="2032"/>
      <c r="R15" s="2032"/>
    </row>
    <row r="16" spans="1:19" ht="30.75" customHeight="1">
      <c r="A16" s="2069" t="s">
        <v>1801</v>
      </c>
      <c r="B16" s="3003"/>
      <c r="C16" s="3004"/>
      <c r="D16" s="3005"/>
      <c r="E16" s="2089" t="s">
        <v>1802</v>
      </c>
      <c r="F16" s="3006"/>
      <c r="G16" s="3007"/>
      <c r="H16" s="3007"/>
      <c r="I16" s="3008"/>
      <c r="J16" s="2032"/>
      <c r="K16" s="2086"/>
      <c r="L16" s="2087"/>
      <c r="M16" s="2087"/>
      <c r="N16" s="2088"/>
      <c r="O16" s="2087"/>
      <c r="P16" s="2088"/>
      <c r="Q16" s="2032"/>
      <c r="R16" s="2032"/>
    </row>
    <row r="17" spans="1:22" ht="18" customHeight="1">
      <c r="A17" s="2090" t="s">
        <v>1803</v>
      </c>
      <c r="B17" s="2038" t="s">
        <v>1804</v>
      </c>
      <c r="C17" s="1057">
        <f>'数据-汇总表'!E3</f>
        <v>0</v>
      </c>
      <c r="D17" s="2091" t="s">
        <v>1805</v>
      </c>
      <c r="E17" s="3009" t="s">
        <v>1806</v>
      </c>
      <c r="F17" s="3010"/>
      <c r="G17" s="3010"/>
      <c r="H17" s="3010"/>
      <c r="I17" s="3011"/>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t="e">
        <f>'数据-汇总表'!D3</f>
        <v>#DIV/0!</v>
      </c>
      <c r="D18" s="2094" t="s">
        <v>1805</v>
      </c>
      <c r="E18" s="3012" t="s">
        <v>1809</v>
      </c>
      <c r="F18" s="3013"/>
      <c r="G18" s="3013"/>
      <c r="H18" s="3013"/>
      <c r="I18" s="3014"/>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2999" t="s">
        <v>1814</v>
      </c>
      <c r="C20" s="3000"/>
      <c r="D20" s="3001" t="s">
        <v>1815</v>
      </c>
      <c r="E20" s="3002"/>
      <c r="F20" s="2101" t="s">
        <v>1816</v>
      </c>
      <c r="G20" s="2045"/>
      <c r="H20" s="2045"/>
      <c r="I20" s="2045"/>
      <c r="J20" s="2045"/>
      <c r="K20" s="299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6"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6"/>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6"/>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7"/>
      <c r="B30" s="2038" t="s">
        <v>1833</v>
      </c>
      <c r="C30" s="3018"/>
      <c r="D30" s="301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0"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5" t="s">
        <v>1843</v>
      </c>
      <c r="T34" s="2138" t="str">
        <f>NUMBERSTRING(7-K34,1)&amp;"通"</f>
        <v>七通</v>
      </c>
      <c r="U34" s="2032"/>
      <c r="V34" s="2032"/>
    </row>
    <row r="35" spans="1:22" ht="18" customHeight="1">
      <c r="A35" s="2139"/>
      <c r="B35" s="3022" t="s">
        <v>1844</v>
      </c>
      <c r="C35" s="3022"/>
      <c r="D35" s="3022"/>
      <c r="E35" s="302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3057</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v>
      </c>
      <c r="B3" s="14">
        <f>IF(C3="否",G5-AT5,G5)</f>
        <v>0</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0</v>
      </c>
      <c r="H5" s="16">
        <f t="shared" ref="H5:AT5" si="0">SUM(H13:H656)</f>
        <v>0</v>
      </c>
      <c r="I5" s="16">
        <f t="shared" si="0"/>
        <v>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0</v>
      </c>
      <c r="BA5" s="18">
        <f t="shared" si="1"/>
        <v>0</v>
      </c>
      <c r="BB5" s="18">
        <f t="shared" si="1"/>
        <v>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t="e">
        <f>H6+AC6+AT6</f>
        <v>#DIV/0!</v>
      </c>
      <c r="F6" s="16" t="s">
        <v>1</v>
      </c>
      <c r="G6" s="16" t="s">
        <v>2</v>
      </c>
      <c r="H6" s="20" t="e">
        <f>SUMIF(I$12:AB$12,"总值",I6:AB6)</f>
        <v>#DIV/0!</v>
      </c>
      <c r="I6" s="16" t="e">
        <f t="shared" ref="I6:AB6" si="2">ROUND($A$3*I5/$B$3,2)</f>
        <v>#DIV/0!</v>
      </c>
      <c r="J6" s="16" t="e">
        <f t="shared" si="2"/>
        <v>#DIV/0!</v>
      </c>
      <c r="K6" s="16" t="e">
        <f t="shared" si="2"/>
        <v>#DIV/0!</v>
      </c>
      <c r="L6" s="16" t="e">
        <f t="shared" si="2"/>
        <v>#DIV/0!</v>
      </c>
      <c r="M6" s="16" t="e">
        <f t="shared" si="2"/>
        <v>#DIV/0!</v>
      </c>
      <c r="N6" s="16" t="e">
        <f t="shared" si="2"/>
        <v>#DIV/0!</v>
      </c>
      <c r="O6" s="16" t="e">
        <f t="shared" si="2"/>
        <v>#DIV/0!</v>
      </c>
      <c r="P6" s="16" t="e">
        <f t="shared" si="2"/>
        <v>#DIV/0!</v>
      </c>
      <c r="Q6" s="16" t="e">
        <f t="shared" si="2"/>
        <v>#DIV/0!</v>
      </c>
      <c r="R6" s="16" t="e">
        <f t="shared" si="2"/>
        <v>#DIV/0!</v>
      </c>
      <c r="S6" s="16" t="e">
        <f t="shared" si="2"/>
        <v>#DIV/0!</v>
      </c>
      <c r="T6" s="16" t="e">
        <f t="shared" si="2"/>
        <v>#DIV/0!</v>
      </c>
      <c r="U6" s="16" t="e">
        <f t="shared" si="2"/>
        <v>#DIV/0!</v>
      </c>
      <c r="V6" s="16" t="e">
        <f t="shared" si="2"/>
        <v>#DIV/0!</v>
      </c>
      <c r="W6" s="16" t="e">
        <f t="shared" si="2"/>
        <v>#DIV/0!</v>
      </c>
      <c r="X6" s="16" t="e">
        <f t="shared" si="2"/>
        <v>#DIV/0!</v>
      </c>
      <c r="Y6" s="16" t="e">
        <f t="shared" si="2"/>
        <v>#DIV/0!</v>
      </c>
      <c r="Z6" s="16" t="e">
        <f t="shared" si="2"/>
        <v>#DIV/0!</v>
      </c>
      <c r="AA6" s="16" t="e">
        <f t="shared" si="2"/>
        <v>#DIV/0!</v>
      </c>
      <c r="AB6" s="16" t="e">
        <f t="shared" si="2"/>
        <v>#DIV/0!</v>
      </c>
      <c r="AC6" s="20" t="e">
        <f>SUMIF(AD$12:AS$12,"总值",AD6:AS6)</f>
        <v>#DIV/0!</v>
      </c>
      <c r="AD6" s="16" t="e">
        <f t="shared" ref="AD6:AS6" si="3">ROUND($A$3*AD5/$B$3,2)</f>
        <v>#DIV/0!</v>
      </c>
      <c r="AE6" s="16" t="e">
        <f t="shared" si="3"/>
        <v>#DIV/0!</v>
      </c>
      <c r="AF6" s="16" t="e">
        <f t="shared" si="3"/>
        <v>#DIV/0!</v>
      </c>
      <c r="AG6" s="16" t="e">
        <f t="shared" si="3"/>
        <v>#DIV/0!</v>
      </c>
      <c r="AH6" s="16" t="e">
        <f t="shared" si="3"/>
        <v>#DIV/0!</v>
      </c>
      <c r="AI6" s="16" t="e">
        <f t="shared" si="3"/>
        <v>#DIV/0!</v>
      </c>
      <c r="AJ6" s="16" t="e">
        <f t="shared" si="3"/>
        <v>#DIV/0!</v>
      </c>
      <c r="AK6" s="16" t="e">
        <f t="shared" si="3"/>
        <v>#DIV/0!</v>
      </c>
      <c r="AL6" s="16" t="e">
        <f t="shared" si="3"/>
        <v>#DIV/0!</v>
      </c>
      <c r="AM6" s="16" t="e">
        <f t="shared" si="3"/>
        <v>#DIV/0!</v>
      </c>
      <c r="AN6" s="16" t="e">
        <f t="shared" si="3"/>
        <v>#DIV/0!</v>
      </c>
      <c r="AO6" s="16" t="e">
        <f t="shared" si="3"/>
        <v>#DIV/0!</v>
      </c>
      <c r="AP6" s="16" t="e">
        <f t="shared" si="3"/>
        <v>#DIV/0!</v>
      </c>
      <c r="AQ6" s="16" t="e">
        <f t="shared" si="3"/>
        <v>#DIV/0!</v>
      </c>
      <c r="AR6" s="16" t="e">
        <f t="shared" si="3"/>
        <v>#DIV/0!</v>
      </c>
      <c r="AS6" s="16" t="e">
        <f t="shared" si="3"/>
        <v>#DIV/0!</v>
      </c>
      <c r="AT6" s="20">
        <f>IF(C3="是",ROUND($A$3*AT5/$B$3,2),0)</f>
        <v>0</v>
      </c>
      <c r="AU6" s="2180"/>
      <c r="AV6" s="15" t="s">
        <v>1881</v>
      </c>
      <c r="AW6" s="2178"/>
      <c r="AX6" s="2178"/>
      <c r="AY6" s="21" t="e">
        <f>IF(AY3&gt;0,AY3,ROUND($A$3*AZ5/$B$3,2))</f>
        <v>#DIV/0!</v>
      </c>
      <c r="AZ6" s="16" t="s">
        <v>3</v>
      </c>
      <c r="BA6" s="16" t="e">
        <f>ROUND($AY$6*BA5/$AZ$5,2)</f>
        <v>#DIV/0!</v>
      </c>
      <c r="BB6" s="16" t="e">
        <f>ROUND($AY$6*BB5/$AZ$5,2)</f>
        <v>#DIV/0!</v>
      </c>
      <c r="BC6" s="16" t="e">
        <f t="shared" ref="BC6:BH6" si="4">ROUND($AY$6*BC5/$AZ$5,2)</f>
        <v>#DIV/0!</v>
      </c>
      <c r="BD6" s="16" t="e">
        <f t="shared" si="4"/>
        <v>#DIV/0!</v>
      </c>
      <c r="BE6" s="16" t="e">
        <f t="shared" si="4"/>
        <v>#DIV/0!</v>
      </c>
      <c r="BF6" s="16" t="e">
        <f t="shared" si="4"/>
        <v>#DIV/0!</v>
      </c>
      <c r="BG6" s="16" t="e">
        <f t="shared" si="4"/>
        <v>#DIV/0!</v>
      </c>
      <c r="BH6" s="16" t="e">
        <f t="shared" si="4"/>
        <v>#DIV/0!</v>
      </c>
      <c r="BI6" s="16" t="e">
        <f t="shared" ref="BI6:BT6" si="5">ROUND($AY$6*BI5/$AZ$5,2)</f>
        <v>#DIV/0!</v>
      </c>
      <c r="BJ6" s="16" t="e">
        <f t="shared" si="5"/>
        <v>#DIV/0!</v>
      </c>
      <c r="BK6" s="16" t="e">
        <f t="shared" si="5"/>
        <v>#DIV/0!</v>
      </c>
      <c r="BL6" s="16" t="e">
        <f t="shared" si="5"/>
        <v>#DIV/0!</v>
      </c>
      <c r="BM6" s="16" t="e">
        <f t="shared" si="5"/>
        <v>#DIV/0!</v>
      </c>
      <c r="BN6" s="16" t="e">
        <f t="shared" si="5"/>
        <v>#DIV/0!</v>
      </c>
      <c r="BO6" s="16" t="e">
        <f t="shared" si="5"/>
        <v>#DIV/0!</v>
      </c>
      <c r="BP6" s="16" t="e">
        <f t="shared" si="5"/>
        <v>#DIV/0!</v>
      </c>
      <c r="BQ6" s="16" t="e">
        <f t="shared" si="5"/>
        <v>#DIV/0!</v>
      </c>
      <c r="BR6" s="16" t="e">
        <f t="shared" si="5"/>
        <v>#DIV/0!</v>
      </c>
      <c r="BS6" s="16" t="e">
        <f t="shared" si="5"/>
        <v>#DIV/0!</v>
      </c>
      <c r="BT6" s="22" t="e">
        <f t="shared" si="5"/>
        <v>#DIV/0!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f>I9</f>
        <v>0</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f>I10</f>
        <v>0</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c r="E13" s="16" t="e">
        <f>IF($C$3="是",ROUND($A$3*G13/$B$3,2),ROUND($A$3*(G13-AT13)/$B$3,2))</f>
        <v>#DIV/0!</v>
      </c>
      <c r="F13" s="32"/>
      <c r="G13" s="33">
        <f>H13+AC13+AT13</f>
        <v>0</v>
      </c>
      <c r="H13" s="20">
        <f>SUMIF(I$12:AB$12,"总值",I13:AB13)</f>
        <v>0</v>
      </c>
      <c r="I13" s="2218"/>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t="e">
        <f>ROUND($AY$6*AZ13/$AZ$5,2)</f>
        <v>#DIV/0!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t="e">
        <f>IF($C$3="是",ROUND($A$3*G14/$B$3,2),ROUND($A$3*(G14-AT14)/$B$3,2))</f>
        <v>#DIV/0!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t="e">
        <f>ROUND($AY$6*AZ14/$AZ$5,2)</f>
        <v>#DIV/0!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t="e">
        <f>IF($C$3="是",ROUND($A$3*G15/$B$3,2),ROUND($A$3*(G15-AT15)/$B$3,2))</f>
        <v>#DIV/0!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t="e">
        <f>ROUND($AY$6*AZ15/$AZ$5,2)</f>
        <v>#DIV/0!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t="e">
        <f>IF($C$3="是",ROUND($A$3*G16/$B$3,2),ROUND($A$3*(G16-AT16)/$B$3,2))</f>
        <v>#DIV/0!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t="e">
        <f>ROUND($AY$6*AZ16/$AZ$5,2)</f>
        <v>#DIV/0!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t="e">
        <f>IF($C$3="是",ROUND($A$3*G17/$B$3,2),ROUND($A$3*(G17-AT17)/$B$3,2))</f>
        <v>#DIV/0!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t="e">
        <f>ROUND($AY$6*AZ17/$AZ$5,2)</f>
        <v>#DIV/0!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t="e">
        <f t="shared" ref="E18:E112" si="7">IF($C$3="是",ROUND($A$3*G18/$B$3,2),ROUND($A$3*(G18-AT18)/$B$3,2))</f>
        <v>#DIV/0!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t="e">
        <f t="shared" ref="AY18:AY109" si="14">ROUND($AY$6*AZ18/$AZ$5,2)</f>
        <v>#DIV/0!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t="e">
        <f t="shared" si="7"/>
        <v>#DIV/0!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t="e">
        <f t="shared" si="14"/>
        <v>#DIV/0!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t="e">
        <f t="shared" si="7"/>
        <v>#DIV/0!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t="e">
        <f t="shared" si="14"/>
        <v>#DIV/0!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t="e">
        <f t="shared" si="7"/>
        <v>#DIV/0!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t="e">
        <f t="shared" si="14"/>
        <v>#DIV/0!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t="e">
        <f t="shared" si="7"/>
        <v>#DIV/0!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t="e">
        <f t="shared" si="14"/>
        <v>#DIV/0!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t="e">
        <f t="shared" si="7"/>
        <v>#DIV/0!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t="e">
        <f t="shared" si="14"/>
        <v>#DIV/0!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t="e">
        <f t="shared" si="7"/>
        <v>#DIV/0!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t="e">
        <f t="shared" si="14"/>
        <v>#DIV/0!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t="e">
        <f t="shared" si="7"/>
        <v>#DIV/0!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t="e">
        <f t="shared" si="14"/>
        <v>#DIV/0!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t="e">
        <f t="shared" si="7"/>
        <v>#DIV/0!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t="e">
        <f t="shared" si="14"/>
        <v>#DIV/0!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t="e">
        <f t="shared" si="7"/>
        <v>#DIV/0!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t="e">
        <f t="shared" si="14"/>
        <v>#DIV/0!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t="e">
        <f t="shared" si="7"/>
        <v>#DIV/0!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t="e">
        <f t="shared" si="14"/>
        <v>#DIV/0!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t="e">
        <f t="shared" si="7"/>
        <v>#DIV/0!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t="e">
        <f t="shared" si="14"/>
        <v>#DIV/0!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t="e">
        <f t="shared" si="7"/>
        <v>#DIV/0!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t="e">
        <f t="shared" si="14"/>
        <v>#DIV/0!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t="e">
        <f t="shared" si="7"/>
        <v>#DIV/0!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t="e">
        <f t="shared" si="14"/>
        <v>#DIV/0!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t="e">
        <f t="shared" si="7"/>
        <v>#DIV/0!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t="e">
        <f t="shared" si="14"/>
        <v>#DIV/0!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t="e">
        <f t="shared" si="7"/>
        <v>#DIV/0!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t="e">
        <f t="shared" si="14"/>
        <v>#DIV/0!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t="e">
        <f t="shared" si="7"/>
        <v>#DIV/0!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t="e">
        <f t="shared" si="14"/>
        <v>#DIV/0!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t="e">
        <f t="shared" si="7"/>
        <v>#DIV/0!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t="e">
        <f t="shared" si="14"/>
        <v>#DIV/0!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t="e">
        <f t="shared" si="7"/>
        <v>#DIV/0!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t="e">
        <f t="shared" si="14"/>
        <v>#DIV/0!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t="e">
        <f t="shared" si="7"/>
        <v>#DIV/0!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t="e">
        <f t="shared" si="14"/>
        <v>#DIV/0!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t="e">
        <f t="shared" si="7"/>
        <v>#DIV/0!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t="e">
        <f t="shared" si="14"/>
        <v>#DIV/0!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t="e">
        <f t="shared" si="7"/>
        <v>#DIV/0!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t="e">
        <f t="shared" si="14"/>
        <v>#DIV/0!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t="e">
        <f t="shared" si="7"/>
        <v>#DIV/0!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t="e">
        <f t="shared" si="14"/>
        <v>#DIV/0!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t="e">
        <f t="shared" si="7"/>
        <v>#DIV/0!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t="e">
        <f t="shared" si="14"/>
        <v>#DIV/0!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t="e">
        <f t="shared" si="7"/>
        <v>#DIV/0!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t="e">
        <f t="shared" si="14"/>
        <v>#DIV/0!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t="e">
        <f t="shared" si="7"/>
        <v>#DIV/0!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t="e">
        <f t="shared" si="14"/>
        <v>#DIV/0!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t="e">
        <f t="shared" si="7"/>
        <v>#DIV/0!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t="e">
        <f t="shared" si="14"/>
        <v>#DIV/0!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t="e">
        <f t="shared" si="7"/>
        <v>#DIV/0!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t="e">
        <f t="shared" si="14"/>
        <v>#DIV/0!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t="e">
        <f t="shared" si="7"/>
        <v>#DIV/0!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t="e">
        <f t="shared" si="14"/>
        <v>#DIV/0!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t="e">
        <f t="shared" si="7"/>
        <v>#DIV/0!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t="e">
        <f t="shared" si="14"/>
        <v>#DIV/0!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t="e">
        <f t="shared" si="7"/>
        <v>#DIV/0!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t="e">
        <f t="shared" si="14"/>
        <v>#DIV/0!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t="e">
        <f t="shared" si="7"/>
        <v>#DIV/0!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t="e">
        <f t="shared" si="14"/>
        <v>#DIV/0!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t="e">
        <f t="shared" si="7"/>
        <v>#DIV/0!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t="e">
        <f t="shared" si="14"/>
        <v>#DIV/0!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t="e">
        <f t="shared" si="7"/>
        <v>#DIV/0!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t="e">
        <f t="shared" si="14"/>
        <v>#DIV/0!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t="e">
        <f t="shared" si="7"/>
        <v>#DIV/0!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t="e">
        <f t="shared" si="14"/>
        <v>#DIV/0!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t="e">
        <f t="shared" si="7"/>
        <v>#DIV/0!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t="e">
        <f t="shared" si="14"/>
        <v>#DIV/0!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t="e">
        <f t="shared" si="7"/>
        <v>#DIV/0!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t="e">
        <f t="shared" si="14"/>
        <v>#DIV/0!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t="e">
        <f t="shared" si="7"/>
        <v>#DIV/0!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t="e">
        <f t="shared" si="14"/>
        <v>#DIV/0!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t="e">
        <f t="shared" si="7"/>
        <v>#DIV/0!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t="e">
        <f t="shared" si="14"/>
        <v>#DIV/0!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t="e">
        <f t="shared" si="7"/>
        <v>#DIV/0!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t="e">
        <f t="shared" si="14"/>
        <v>#DIV/0!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t="e">
        <f t="shared" si="7"/>
        <v>#DIV/0!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t="e">
        <f t="shared" si="14"/>
        <v>#DIV/0!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t="e">
        <f t="shared" si="7"/>
        <v>#DIV/0!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t="e">
        <f t="shared" si="14"/>
        <v>#DIV/0!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t="e">
        <f t="shared" si="7"/>
        <v>#DIV/0!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t="e">
        <f t="shared" si="14"/>
        <v>#DIV/0!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t="e">
        <f t="shared" si="7"/>
        <v>#DIV/0!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t="e">
        <f t="shared" si="14"/>
        <v>#DIV/0!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t="e">
        <f t="shared" si="7"/>
        <v>#DIV/0!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t="e">
        <f t="shared" si="14"/>
        <v>#DIV/0!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t="e">
        <f t="shared" si="7"/>
        <v>#DIV/0!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t="e">
        <f t="shared" si="14"/>
        <v>#DIV/0!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t="e">
        <f t="shared" si="7"/>
        <v>#DIV/0!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t="e">
        <f t="shared" si="14"/>
        <v>#DIV/0!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t="e">
        <f t="shared" si="7"/>
        <v>#DIV/0!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t="e">
        <f t="shared" si="14"/>
        <v>#DIV/0!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t="e">
        <f t="shared" si="7"/>
        <v>#DIV/0!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t="e">
        <f t="shared" si="14"/>
        <v>#DIV/0!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t="e">
        <f t="shared" si="7"/>
        <v>#DIV/0!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t="e">
        <f t="shared" si="14"/>
        <v>#DIV/0!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t="e">
        <f t="shared" si="7"/>
        <v>#DIV/0!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t="e">
        <f t="shared" si="14"/>
        <v>#DIV/0!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t="e">
        <f t="shared" si="7"/>
        <v>#DIV/0!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t="e">
        <f t="shared" si="14"/>
        <v>#DIV/0!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t="e">
        <f t="shared" si="7"/>
        <v>#DIV/0!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t="e">
        <f t="shared" si="14"/>
        <v>#DIV/0!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t="e">
        <f t="shared" si="7"/>
        <v>#DIV/0!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t="e">
        <f t="shared" si="14"/>
        <v>#DIV/0!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t="e">
        <f t="shared" si="7"/>
        <v>#DIV/0!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t="e">
        <f t="shared" si="14"/>
        <v>#DIV/0!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t="e">
        <f t="shared" si="7"/>
        <v>#DIV/0!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t="e">
        <f t="shared" si="14"/>
        <v>#DIV/0!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t="e">
        <f t="shared" si="7"/>
        <v>#DIV/0!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t="e">
        <f t="shared" si="14"/>
        <v>#DIV/0!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t="e">
        <f t="shared" si="7"/>
        <v>#DIV/0!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t="e">
        <f t="shared" si="14"/>
        <v>#DIV/0!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t="e">
        <f t="shared" si="7"/>
        <v>#DIV/0!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t="e">
        <f t="shared" si="14"/>
        <v>#DIV/0!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t="e">
        <f t="shared" si="7"/>
        <v>#DIV/0!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t="e">
        <f t="shared" si="14"/>
        <v>#DIV/0!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t="e">
        <f t="shared" si="7"/>
        <v>#DIV/0!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t="e">
        <f t="shared" si="14"/>
        <v>#DIV/0!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t="e">
        <f t="shared" si="7"/>
        <v>#DIV/0!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t="e">
        <f t="shared" si="14"/>
        <v>#DIV/0!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t="e">
        <f t="shared" si="7"/>
        <v>#DIV/0!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t="e">
        <f t="shared" si="14"/>
        <v>#DIV/0!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t="e">
        <f t="shared" si="7"/>
        <v>#DIV/0!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t="e">
        <f t="shared" si="14"/>
        <v>#DIV/0!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t="e">
        <f t="shared" si="7"/>
        <v>#DIV/0!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t="e">
        <f t="shared" si="14"/>
        <v>#DIV/0!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t="e">
        <f t="shared" si="7"/>
        <v>#DIV/0!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t="e">
        <f t="shared" si="14"/>
        <v>#DIV/0!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t="e">
        <f t="shared" si="7"/>
        <v>#DIV/0!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t="e">
        <f t="shared" si="14"/>
        <v>#DIV/0!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t="e">
        <f t="shared" si="7"/>
        <v>#DIV/0!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t="e">
        <f t="shared" si="14"/>
        <v>#DIV/0!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t="e">
        <f t="shared" si="7"/>
        <v>#DIV/0!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t="e">
        <f t="shared" si="14"/>
        <v>#DIV/0!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t="e">
        <f t="shared" si="7"/>
        <v>#DIV/0!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t="e">
        <f t="shared" si="14"/>
        <v>#DIV/0!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t="e">
        <f t="shared" si="7"/>
        <v>#DIV/0!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t="e">
        <f t="shared" si="14"/>
        <v>#DIV/0!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t="e">
        <f t="shared" si="7"/>
        <v>#DIV/0!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t="e">
        <f t="shared" si="14"/>
        <v>#DIV/0!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t="e">
        <f t="shared" si="7"/>
        <v>#DIV/0!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t="e">
        <f t="shared" si="14"/>
        <v>#DIV/0!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t="e">
        <f t="shared" si="7"/>
        <v>#DIV/0!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t="e">
        <f t="shared" si="14"/>
        <v>#DIV/0!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t="e">
        <f t="shared" si="7"/>
        <v>#DIV/0!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t="e">
        <f t="shared" si="14"/>
        <v>#DIV/0!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t="e">
        <f t="shared" si="7"/>
        <v>#DIV/0!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t="e">
        <f t="shared" si="14"/>
        <v>#DIV/0!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t="e">
        <f t="shared" si="7"/>
        <v>#DIV/0!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t="e">
        <f t="shared" si="14"/>
        <v>#DIV/0!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t="e">
        <f t="shared" si="7"/>
        <v>#DIV/0!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t="e">
        <f t="shared" si="14"/>
        <v>#DIV/0!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t="e">
        <f t="shared" si="7"/>
        <v>#DIV/0!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t="e">
        <f t="shared" si="14"/>
        <v>#DIV/0!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t="e">
        <f t="shared" si="7"/>
        <v>#DIV/0!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t="e">
        <f t="shared" si="14"/>
        <v>#DIV/0!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t="e">
        <f t="shared" si="7"/>
        <v>#DIV/0!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t="e">
        <f t="shared" si="14"/>
        <v>#DIV/0!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t="e">
        <f t="shared" si="7"/>
        <v>#DIV/0!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t="e">
        <f t="shared" si="14"/>
        <v>#DIV/0!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t="e">
        <f t="shared" si="7"/>
        <v>#DIV/0!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t="e">
        <f t="shared" si="14"/>
        <v>#DIV/0!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t="e">
        <f t="shared" si="7"/>
        <v>#DIV/0!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t="e">
        <f t="shared" si="14"/>
        <v>#DIV/0!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t="e">
        <f t="shared" si="7"/>
        <v>#DIV/0!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t="e">
        <f t="shared" si="14"/>
        <v>#DIV/0!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t="e">
        <f t="shared" si="7"/>
        <v>#DIV/0!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t="e">
        <f t="shared" si="14"/>
        <v>#DIV/0!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t="e">
        <f t="shared" si="7"/>
        <v>#DIV/0!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t="e">
        <f t="shared" si="14"/>
        <v>#DIV/0!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t="e">
        <f t="shared" si="7"/>
        <v>#DIV/0!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t="e">
        <f t="shared" si="14"/>
        <v>#DIV/0!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t="e">
        <f t="shared" si="7"/>
        <v>#DIV/0!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t="e">
        <f t="shared" si="14"/>
        <v>#DIV/0!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t="e">
        <f t="shared" si="7"/>
        <v>#DIV/0!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t="e">
        <f t="shared" si="14"/>
        <v>#DIV/0!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t="e">
        <f t="shared" si="7"/>
        <v>#DIV/0!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t="e">
        <f t="shared" si="14"/>
        <v>#DIV/0!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t="e">
        <f t="shared" si="7"/>
        <v>#DIV/0!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t="e">
        <f t="shared" si="14"/>
        <v>#DIV/0!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t="e">
        <f t="shared" si="7"/>
        <v>#DIV/0!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t="e">
        <f t="shared" ref="AY110:AY141" si="39">ROUND($AY$6*AZ110/$AZ$5,2)</f>
        <v>#DIV/0!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t="e">
        <f t="shared" si="7"/>
        <v>#DIV/0!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t="e">
        <f t="shared" si="39"/>
        <v>#DIV/0!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t="e">
        <f t="shared" si="7"/>
        <v>#DIV/0!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t="e">
        <f t="shared" si="39"/>
        <v>#DIV/0!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t="e">
        <f t="shared" ref="E113:E144" si="61">IF($C$3="是",ROUND($A$3*G113/$B$3,2),ROUND($A$3*(G113-AT113)/$B$3,2))</f>
        <v>#DIV/0!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t="e">
        <f t="shared" si="39"/>
        <v>#DIV/0!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t="e">
        <f t="shared" si="61"/>
        <v>#DIV/0!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t="e">
        <f t="shared" si="39"/>
        <v>#DIV/0!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t="e">
        <f t="shared" si="61"/>
        <v>#DIV/0!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t="e">
        <f t="shared" si="39"/>
        <v>#DIV/0!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t="e">
        <f t="shared" si="61"/>
        <v>#DIV/0!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t="e">
        <f t="shared" si="39"/>
        <v>#DIV/0!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t="e">
        <f t="shared" si="61"/>
        <v>#DIV/0!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t="e">
        <f t="shared" si="39"/>
        <v>#DIV/0!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t="e">
        <f t="shared" si="61"/>
        <v>#DIV/0!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t="e">
        <f t="shared" si="39"/>
        <v>#DIV/0!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t="e">
        <f t="shared" si="61"/>
        <v>#DIV/0!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t="e">
        <f t="shared" si="39"/>
        <v>#DIV/0!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t="e">
        <f t="shared" si="61"/>
        <v>#DIV/0!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t="e">
        <f t="shared" si="39"/>
        <v>#DIV/0!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t="e">
        <f t="shared" si="61"/>
        <v>#DIV/0!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t="e">
        <f t="shared" si="39"/>
        <v>#DIV/0!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t="e">
        <f t="shared" si="61"/>
        <v>#DIV/0!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t="e">
        <f t="shared" si="39"/>
        <v>#DIV/0!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t="e">
        <f t="shared" si="61"/>
        <v>#DIV/0!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t="e">
        <f t="shared" si="39"/>
        <v>#DIV/0!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t="e">
        <f t="shared" si="61"/>
        <v>#DIV/0!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t="e">
        <f t="shared" si="39"/>
        <v>#DIV/0!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t="e">
        <f t="shared" si="61"/>
        <v>#DIV/0!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t="e">
        <f t="shared" si="39"/>
        <v>#DIV/0!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t="e">
        <f t="shared" si="61"/>
        <v>#DIV/0!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t="e">
        <f t="shared" si="39"/>
        <v>#DIV/0!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t="e">
        <f t="shared" si="61"/>
        <v>#DIV/0!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t="e">
        <f t="shared" si="39"/>
        <v>#DIV/0!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t="e">
        <f t="shared" si="61"/>
        <v>#DIV/0!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t="e">
        <f t="shared" si="39"/>
        <v>#DIV/0!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t="e">
        <f t="shared" si="61"/>
        <v>#DIV/0!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t="e">
        <f t="shared" si="39"/>
        <v>#DIV/0!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t="e">
        <f t="shared" si="61"/>
        <v>#DIV/0!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t="e">
        <f t="shared" si="39"/>
        <v>#DIV/0!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t="e">
        <f t="shared" si="61"/>
        <v>#DIV/0!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t="e">
        <f t="shared" si="39"/>
        <v>#DIV/0!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t="e">
        <f t="shared" si="61"/>
        <v>#DIV/0!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t="e">
        <f t="shared" si="39"/>
        <v>#DIV/0!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t="e">
        <f t="shared" si="61"/>
        <v>#DIV/0!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t="e">
        <f t="shared" si="39"/>
        <v>#DIV/0!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t="e">
        <f t="shared" si="61"/>
        <v>#DIV/0!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t="e">
        <f t="shared" si="39"/>
        <v>#DIV/0!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t="e">
        <f t="shared" si="61"/>
        <v>#DIV/0!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t="e">
        <f t="shared" si="39"/>
        <v>#DIV/0!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t="e">
        <f t="shared" si="61"/>
        <v>#DIV/0!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t="e">
        <f t="shared" si="39"/>
        <v>#DIV/0!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t="e">
        <f t="shared" si="61"/>
        <v>#DIV/0!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t="e">
        <f t="shared" si="39"/>
        <v>#DIV/0!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t="e">
        <f t="shared" si="61"/>
        <v>#DIV/0!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t="e">
        <f t="shared" si="39"/>
        <v>#DIV/0!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t="e">
        <f t="shared" si="61"/>
        <v>#DIV/0!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t="e">
        <f t="shared" si="39"/>
        <v>#DIV/0!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t="e">
        <f t="shared" si="61"/>
        <v>#DIV/0!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t="e">
        <f t="shared" si="39"/>
        <v>#DIV/0!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t="e">
        <f t="shared" si="61"/>
        <v>#DIV/0!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t="e">
        <f t="shared" si="39"/>
        <v>#DIV/0!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t="e">
        <f t="shared" si="61"/>
        <v>#DIV/0!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t="e">
        <f t="shared" ref="AY142:AY173" si="68">ROUND($AY$6*AZ142/$AZ$5,2)</f>
        <v>#DIV/0!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t="e">
        <f t="shared" si="61"/>
        <v>#DIV/0!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t="e">
        <f t="shared" si="68"/>
        <v>#DIV/0!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t="e">
        <f t="shared" si="61"/>
        <v>#DIV/0!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t="e">
        <f t="shared" si="68"/>
        <v>#DIV/0!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t="e">
        <f t="shared" ref="E145:E176" si="90">IF($C$3="是",ROUND($A$3*G145/$B$3,2),ROUND($A$3*(G145-AT145)/$B$3,2))</f>
        <v>#DIV/0!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t="e">
        <f t="shared" si="68"/>
        <v>#DIV/0!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t="e">
        <f t="shared" si="90"/>
        <v>#DIV/0!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t="e">
        <f t="shared" si="68"/>
        <v>#DIV/0!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t="e">
        <f t="shared" si="90"/>
        <v>#DIV/0!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t="e">
        <f t="shared" si="68"/>
        <v>#DIV/0!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t="e">
        <f t="shared" si="90"/>
        <v>#DIV/0!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t="e">
        <f t="shared" si="68"/>
        <v>#DIV/0!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t="e">
        <f t="shared" si="90"/>
        <v>#DIV/0!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t="e">
        <f t="shared" si="68"/>
        <v>#DIV/0!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t="e">
        <f t="shared" si="90"/>
        <v>#DIV/0!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t="e">
        <f t="shared" si="68"/>
        <v>#DIV/0!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t="e">
        <f t="shared" si="90"/>
        <v>#DIV/0!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t="e">
        <f t="shared" si="68"/>
        <v>#DIV/0!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t="e">
        <f t="shared" si="90"/>
        <v>#DIV/0!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t="e">
        <f t="shared" si="68"/>
        <v>#DIV/0!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t="e">
        <f t="shared" si="90"/>
        <v>#DIV/0!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t="e">
        <f t="shared" si="68"/>
        <v>#DIV/0!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t="e">
        <f t="shared" si="90"/>
        <v>#DIV/0!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t="e">
        <f t="shared" si="68"/>
        <v>#DIV/0!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t="e">
        <f t="shared" si="90"/>
        <v>#DIV/0!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t="e">
        <f t="shared" si="68"/>
        <v>#DIV/0!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t="e">
        <f t="shared" si="90"/>
        <v>#DIV/0!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t="e">
        <f t="shared" si="68"/>
        <v>#DIV/0!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t="e">
        <f t="shared" si="90"/>
        <v>#DIV/0!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t="e">
        <f t="shared" si="68"/>
        <v>#DIV/0!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t="e">
        <f t="shared" si="90"/>
        <v>#DIV/0!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t="e">
        <f t="shared" si="68"/>
        <v>#DIV/0!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t="e">
        <f t="shared" si="90"/>
        <v>#DIV/0!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t="e">
        <f t="shared" si="68"/>
        <v>#DIV/0!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t="e">
        <f t="shared" si="90"/>
        <v>#DIV/0!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t="e">
        <f t="shared" si="68"/>
        <v>#DIV/0!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t="e">
        <f t="shared" si="90"/>
        <v>#DIV/0!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t="e">
        <f t="shared" si="68"/>
        <v>#DIV/0!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t="e">
        <f t="shared" si="90"/>
        <v>#DIV/0!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t="e">
        <f t="shared" si="68"/>
        <v>#DIV/0!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t="e">
        <f t="shared" si="90"/>
        <v>#DIV/0!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t="e">
        <f t="shared" si="68"/>
        <v>#DIV/0!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t="e">
        <f t="shared" si="90"/>
        <v>#DIV/0!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t="e">
        <f t="shared" si="68"/>
        <v>#DIV/0!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t="e">
        <f t="shared" si="90"/>
        <v>#DIV/0!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t="e">
        <f t="shared" si="68"/>
        <v>#DIV/0!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t="e">
        <f t="shared" si="90"/>
        <v>#DIV/0!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t="e">
        <f t="shared" si="68"/>
        <v>#DIV/0!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t="e">
        <f t="shared" si="90"/>
        <v>#DIV/0!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t="e">
        <f t="shared" si="68"/>
        <v>#DIV/0!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t="e">
        <f t="shared" si="90"/>
        <v>#DIV/0!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t="e">
        <f t="shared" si="68"/>
        <v>#DIV/0!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t="e">
        <f t="shared" si="90"/>
        <v>#DIV/0!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t="e">
        <f t="shared" si="68"/>
        <v>#DIV/0!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t="e">
        <f t="shared" si="90"/>
        <v>#DIV/0!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t="e">
        <f t="shared" si="68"/>
        <v>#DIV/0!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t="e">
        <f t="shared" si="90"/>
        <v>#DIV/0!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t="e">
        <f t="shared" si="68"/>
        <v>#DIV/0!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t="e">
        <f t="shared" si="90"/>
        <v>#DIV/0!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t="e">
        <f t="shared" si="68"/>
        <v>#DIV/0!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t="e">
        <f t="shared" si="90"/>
        <v>#DIV/0!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t="e">
        <f t="shared" si="68"/>
        <v>#DIV/0!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t="e">
        <f t="shared" si="90"/>
        <v>#DIV/0!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t="e">
        <f t="shared" ref="AY174:AY205" si="97">ROUND($AY$6*AZ174/$AZ$5,2)</f>
        <v>#DIV/0!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t="e">
        <f t="shared" si="90"/>
        <v>#DIV/0!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t="e">
        <f t="shared" si="97"/>
        <v>#DIV/0!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t="e">
        <f t="shared" si="90"/>
        <v>#DIV/0!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t="e">
        <f t="shared" si="97"/>
        <v>#DIV/0!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t="e">
        <f t="shared" ref="E177:E207" si="119">IF($C$3="是",ROUND($A$3*G177/$B$3,2),ROUND($A$3*(G177-AT177)/$B$3,2))</f>
        <v>#DIV/0!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t="e">
        <f t="shared" si="97"/>
        <v>#DIV/0!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t="e">
        <f t="shared" si="119"/>
        <v>#DIV/0!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t="e">
        <f t="shared" si="97"/>
        <v>#DIV/0!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t="e">
        <f t="shared" si="119"/>
        <v>#DIV/0!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t="e">
        <f t="shared" si="97"/>
        <v>#DIV/0!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t="e">
        <f t="shared" si="119"/>
        <v>#DIV/0!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t="e">
        <f t="shared" si="97"/>
        <v>#DIV/0!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t="e">
        <f t="shared" si="119"/>
        <v>#DIV/0!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t="e">
        <f t="shared" si="97"/>
        <v>#DIV/0!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t="e">
        <f t="shared" si="119"/>
        <v>#DIV/0!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t="e">
        <f t="shared" si="97"/>
        <v>#DIV/0!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t="e">
        <f t="shared" si="119"/>
        <v>#DIV/0!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t="e">
        <f t="shared" si="97"/>
        <v>#DIV/0!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t="e">
        <f t="shared" si="119"/>
        <v>#DIV/0!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t="e">
        <f t="shared" si="97"/>
        <v>#DIV/0!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t="e">
        <f t="shared" si="119"/>
        <v>#DIV/0!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t="e">
        <f t="shared" si="97"/>
        <v>#DIV/0!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t="e">
        <f t="shared" si="119"/>
        <v>#DIV/0!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t="e">
        <f t="shared" si="97"/>
        <v>#DIV/0!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t="e">
        <f t="shared" si="119"/>
        <v>#DIV/0!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t="e">
        <f t="shared" si="97"/>
        <v>#DIV/0!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t="e">
        <f t="shared" si="119"/>
        <v>#DIV/0!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t="e">
        <f t="shared" si="97"/>
        <v>#DIV/0!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t="e">
        <f t="shared" si="119"/>
        <v>#DIV/0!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t="e">
        <f t="shared" si="97"/>
        <v>#DIV/0!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t="e">
        <f t="shared" si="119"/>
        <v>#DIV/0!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t="e">
        <f t="shared" si="97"/>
        <v>#DIV/0!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t="e">
        <f t="shared" si="119"/>
        <v>#DIV/0!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t="e">
        <f t="shared" si="97"/>
        <v>#DIV/0!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t="e">
        <f t="shared" si="119"/>
        <v>#DIV/0!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t="e">
        <f t="shared" si="97"/>
        <v>#DIV/0!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t="e">
        <f t="shared" si="119"/>
        <v>#DIV/0!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t="e">
        <f t="shared" si="97"/>
        <v>#DIV/0!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t="e">
        <f t="shared" si="119"/>
        <v>#DIV/0!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t="e">
        <f t="shared" si="97"/>
        <v>#DIV/0!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t="e">
        <f t="shared" si="119"/>
        <v>#DIV/0!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t="e">
        <f t="shared" si="97"/>
        <v>#DIV/0!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t="e">
        <f t="shared" si="119"/>
        <v>#DIV/0!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t="e">
        <f t="shared" si="97"/>
        <v>#DIV/0!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t="e">
        <f t="shared" si="119"/>
        <v>#DIV/0!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t="e">
        <f t="shared" si="97"/>
        <v>#DIV/0!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t="e">
        <f t="shared" si="119"/>
        <v>#DIV/0!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t="e">
        <f t="shared" si="97"/>
        <v>#DIV/0!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t="e">
        <f t="shared" si="119"/>
        <v>#DIV/0!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t="e">
        <f t="shared" si="97"/>
        <v>#DIV/0!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t="e">
        <f t="shared" si="119"/>
        <v>#DIV/0!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t="e">
        <f t="shared" si="97"/>
        <v>#DIV/0!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t="e">
        <f t="shared" si="119"/>
        <v>#DIV/0!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t="e">
        <f t="shared" si="97"/>
        <v>#DIV/0!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t="e">
        <f t="shared" si="119"/>
        <v>#DIV/0!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t="e">
        <f t="shared" si="97"/>
        <v>#DIV/0!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t="e">
        <f t="shared" si="119"/>
        <v>#DIV/0!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t="e">
        <f t="shared" si="97"/>
        <v>#DIV/0!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t="e">
        <f t="shared" si="119"/>
        <v>#DIV/0!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t="e">
        <f t="shared" si="97"/>
        <v>#DIV/0!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t="e">
        <f t="shared" si="119"/>
        <v>#DIV/0!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t="e">
        <f t="shared" si="97"/>
        <v>#DIV/0!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t="e">
        <f t="shared" si="119"/>
        <v>#DIV/0!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t="e">
        <f>ROUND($AY$6*AZ206/$AZ$5,2)</f>
        <v>#DIV/0!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t="e">
        <f t="shared" si="119"/>
        <v>#DIV/0!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t="e">
        <f>ROUND($AY$6*AZ207/$AZ$5,2)</f>
        <v>#DIV/0!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t="e">
        <f t="shared" ref="E208:E302" si="123">IF($C$3="是",ROUND($A$3*G208/$B$3,2),ROUND($A$3*(G208-AT208)/$B$3,2))</f>
        <v>#DIV/0!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t="e">
        <f t="shared" ref="AY208:AY299" si="130">ROUND($AY$6*AZ208/$AZ$5,2)</f>
        <v>#DIV/0!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t="e">
        <f t="shared" si="123"/>
        <v>#DIV/0!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t="e">
        <f t="shared" si="130"/>
        <v>#DIV/0!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t="e">
        <f t="shared" si="123"/>
        <v>#DIV/0!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t="e">
        <f t="shared" si="130"/>
        <v>#DIV/0!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t="e">
        <f t="shared" si="123"/>
        <v>#DIV/0!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t="e">
        <f t="shared" si="130"/>
        <v>#DIV/0!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t="e">
        <f t="shared" si="123"/>
        <v>#DIV/0!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t="e">
        <f t="shared" si="130"/>
        <v>#DIV/0!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t="e">
        <f t="shared" si="123"/>
        <v>#DIV/0!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t="e">
        <f t="shared" si="130"/>
        <v>#DIV/0!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t="e">
        <f t="shared" si="123"/>
        <v>#DIV/0!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t="e">
        <f t="shared" si="130"/>
        <v>#DIV/0!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t="e">
        <f t="shared" si="123"/>
        <v>#DIV/0!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t="e">
        <f t="shared" si="130"/>
        <v>#DIV/0!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t="e">
        <f t="shared" si="123"/>
        <v>#DIV/0!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t="e">
        <f t="shared" si="130"/>
        <v>#DIV/0!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t="e">
        <f t="shared" si="123"/>
        <v>#DIV/0!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t="e">
        <f t="shared" si="130"/>
        <v>#DIV/0!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t="e">
        <f t="shared" si="123"/>
        <v>#DIV/0!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t="e">
        <f t="shared" si="130"/>
        <v>#DIV/0!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t="e">
        <f t="shared" si="123"/>
        <v>#DIV/0!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t="e">
        <f t="shared" si="130"/>
        <v>#DIV/0!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t="e">
        <f t="shared" si="123"/>
        <v>#DIV/0!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t="e">
        <f t="shared" si="130"/>
        <v>#DIV/0!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t="e">
        <f t="shared" si="123"/>
        <v>#DIV/0!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t="e">
        <f t="shared" si="130"/>
        <v>#DIV/0!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t="e">
        <f t="shared" si="123"/>
        <v>#DIV/0!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t="e">
        <f t="shared" si="130"/>
        <v>#DIV/0!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t="e">
        <f t="shared" si="123"/>
        <v>#DIV/0!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t="e">
        <f t="shared" si="130"/>
        <v>#DIV/0!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t="e">
        <f t="shared" si="123"/>
        <v>#DIV/0!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t="e">
        <f t="shared" si="130"/>
        <v>#DIV/0!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t="e">
        <f t="shared" si="123"/>
        <v>#DIV/0!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t="e">
        <f t="shared" si="130"/>
        <v>#DIV/0!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t="e">
        <f t="shared" si="123"/>
        <v>#DIV/0!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t="e">
        <f t="shared" si="130"/>
        <v>#DIV/0!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t="e">
        <f t="shared" si="123"/>
        <v>#DIV/0!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t="e">
        <f t="shared" si="130"/>
        <v>#DIV/0!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t="e">
        <f t="shared" si="123"/>
        <v>#DIV/0!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t="e">
        <f t="shared" si="130"/>
        <v>#DIV/0!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t="e">
        <f t="shared" si="123"/>
        <v>#DIV/0!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t="e">
        <f t="shared" si="130"/>
        <v>#DIV/0!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t="e">
        <f t="shared" si="123"/>
        <v>#DIV/0!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t="e">
        <f t="shared" si="130"/>
        <v>#DIV/0!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t="e">
        <f t="shared" si="123"/>
        <v>#DIV/0!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t="e">
        <f t="shared" si="130"/>
        <v>#DIV/0!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t="e">
        <f t="shared" si="123"/>
        <v>#DIV/0!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t="e">
        <f t="shared" si="130"/>
        <v>#DIV/0!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t="e">
        <f t="shared" si="123"/>
        <v>#DIV/0!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t="e">
        <f t="shared" si="130"/>
        <v>#DIV/0!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t="e">
        <f t="shared" si="123"/>
        <v>#DIV/0!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t="e">
        <f t="shared" si="130"/>
        <v>#DIV/0!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t="e">
        <f t="shared" si="123"/>
        <v>#DIV/0!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t="e">
        <f t="shared" si="130"/>
        <v>#DIV/0!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t="e">
        <f t="shared" si="123"/>
        <v>#DIV/0!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t="e">
        <f t="shared" si="130"/>
        <v>#DIV/0!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t="e">
        <f t="shared" si="123"/>
        <v>#DIV/0!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t="e">
        <f t="shared" si="130"/>
        <v>#DIV/0!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t="e">
        <f t="shared" si="123"/>
        <v>#DIV/0!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t="e">
        <f t="shared" si="130"/>
        <v>#DIV/0!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t="e">
        <f t="shared" si="123"/>
        <v>#DIV/0!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t="e">
        <f t="shared" si="130"/>
        <v>#DIV/0!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t="e">
        <f t="shared" si="123"/>
        <v>#DIV/0!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t="e">
        <f t="shared" si="130"/>
        <v>#DIV/0!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t="e">
        <f t="shared" si="123"/>
        <v>#DIV/0!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t="e">
        <f t="shared" si="130"/>
        <v>#DIV/0!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t="e">
        <f t="shared" si="123"/>
        <v>#DIV/0!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t="e">
        <f t="shared" si="130"/>
        <v>#DIV/0!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t="e">
        <f t="shared" si="123"/>
        <v>#DIV/0!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t="e">
        <f t="shared" si="130"/>
        <v>#DIV/0!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t="e">
        <f t="shared" si="123"/>
        <v>#DIV/0!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t="e">
        <f t="shared" si="130"/>
        <v>#DIV/0!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t="e">
        <f t="shared" si="123"/>
        <v>#DIV/0!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t="e">
        <f t="shared" si="130"/>
        <v>#DIV/0!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t="e">
        <f t="shared" si="123"/>
        <v>#DIV/0!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t="e">
        <f t="shared" si="130"/>
        <v>#DIV/0!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t="e">
        <f t="shared" si="123"/>
        <v>#DIV/0!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t="e">
        <f t="shared" si="130"/>
        <v>#DIV/0!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t="e">
        <f t="shared" si="123"/>
        <v>#DIV/0!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t="e">
        <f t="shared" si="130"/>
        <v>#DIV/0!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t="e">
        <f t="shared" si="123"/>
        <v>#DIV/0!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t="e">
        <f t="shared" si="130"/>
        <v>#DIV/0!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t="e">
        <f t="shared" si="123"/>
        <v>#DIV/0!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t="e">
        <f t="shared" si="130"/>
        <v>#DIV/0!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t="e">
        <f t="shared" si="123"/>
        <v>#DIV/0!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t="e">
        <f t="shared" si="130"/>
        <v>#DIV/0!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t="e">
        <f t="shared" si="123"/>
        <v>#DIV/0!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t="e">
        <f t="shared" si="130"/>
        <v>#DIV/0!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t="e">
        <f t="shared" si="123"/>
        <v>#DIV/0!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t="e">
        <f t="shared" si="130"/>
        <v>#DIV/0!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t="e">
        <f t="shared" si="123"/>
        <v>#DIV/0!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t="e">
        <f t="shared" si="130"/>
        <v>#DIV/0!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t="e">
        <f t="shared" si="123"/>
        <v>#DIV/0!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t="e">
        <f t="shared" si="130"/>
        <v>#DIV/0!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t="e">
        <f t="shared" si="123"/>
        <v>#DIV/0!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t="e">
        <f t="shared" si="130"/>
        <v>#DIV/0!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t="e">
        <f t="shared" si="123"/>
        <v>#DIV/0!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t="e">
        <f t="shared" si="130"/>
        <v>#DIV/0!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t="e">
        <f t="shared" si="123"/>
        <v>#DIV/0!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t="e">
        <f t="shared" si="130"/>
        <v>#DIV/0!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t="e">
        <f t="shared" si="123"/>
        <v>#DIV/0!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t="e">
        <f t="shared" si="130"/>
        <v>#DIV/0!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t="e">
        <f t="shared" si="123"/>
        <v>#DIV/0!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t="e">
        <f t="shared" si="130"/>
        <v>#DIV/0!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t="e">
        <f t="shared" si="123"/>
        <v>#DIV/0!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t="e">
        <f t="shared" si="130"/>
        <v>#DIV/0!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t="e">
        <f t="shared" si="123"/>
        <v>#DIV/0!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t="e">
        <f t="shared" si="130"/>
        <v>#DIV/0!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t="e">
        <f t="shared" si="123"/>
        <v>#DIV/0!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t="e">
        <f t="shared" si="130"/>
        <v>#DIV/0!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t="e">
        <f t="shared" si="123"/>
        <v>#DIV/0!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t="e">
        <f t="shared" si="130"/>
        <v>#DIV/0!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t="e">
        <f t="shared" si="123"/>
        <v>#DIV/0!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t="e">
        <f t="shared" si="130"/>
        <v>#DIV/0!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t="e">
        <f t="shared" si="123"/>
        <v>#DIV/0!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t="e">
        <f t="shared" si="130"/>
        <v>#DIV/0!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t="e">
        <f t="shared" si="123"/>
        <v>#DIV/0!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t="e">
        <f t="shared" si="130"/>
        <v>#DIV/0!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t="e">
        <f t="shared" si="123"/>
        <v>#DIV/0!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t="e">
        <f t="shared" si="130"/>
        <v>#DIV/0!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t="e">
        <f t="shared" si="123"/>
        <v>#DIV/0!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t="e">
        <f t="shared" si="130"/>
        <v>#DIV/0!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t="e">
        <f t="shared" si="123"/>
        <v>#DIV/0!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t="e">
        <f t="shared" si="130"/>
        <v>#DIV/0!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t="e">
        <f t="shared" si="123"/>
        <v>#DIV/0!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t="e">
        <f t="shared" si="130"/>
        <v>#DIV/0!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t="e">
        <f t="shared" si="123"/>
        <v>#DIV/0!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t="e">
        <f t="shared" si="130"/>
        <v>#DIV/0!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t="e">
        <f t="shared" si="123"/>
        <v>#DIV/0!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t="e">
        <f t="shared" si="130"/>
        <v>#DIV/0!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t="e">
        <f t="shared" si="123"/>
        <v>#DIV/0!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t="e">
        <f t="shared" si="130"/>
        <v>#DIV/0!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t="e">
        <f t="shared" si="123"/>
        <v>#DIV/0!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t="e">
        <f t="shared" si="130"/>
        <v>#DIV/0!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t="e">
        <f t="shared" si="123"/>
        <v>#DIV/0!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t="e">
        <f t="shared" si="130"/>
        <v>#DIV/0!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t="e">
        <f t="shared" si="123"/>
        <v>#DIV/0!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t="e">
        <f t="shared" si="130"/>
        <v>#DIV/0!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t="e">
        <f t="shared" si="123"/>
        <v>#DIV/0!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t="e">
        <f t="shared" si="130"/>
        <v>#DIV/0!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t="e">
        <f t="shared" si="123"/>
        <v>#DIV/0!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t="e">
        <f t="shared" si="130"/>
        <v>#DIV/0!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t="e">
        <f t="shared" si="123"/>
        <v>#DIV/0!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t="e">
        <f t="shared" si="130"/>
        <v>#DIV/0!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t="e">
        <f t="shared" si="123"/>
        <v>#DIV/0!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t="e">
        <f t="shared" si="130"/>
        <v>#DIV/0!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t="e">
        <f t="shared" si="123"/>
        <v>#DIV/0!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t="e">
        <f t="shared" si="130"/>
        <v>#DIV/0!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t="e">
        <f t="shared" si="123"/>
        <v>#DIV/0!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t="e">
        <f t="shared" si="130"/>
        <v>#DIV/0!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t="e">
        <f t="shared" si="123"/>
        <v>#DIV/0!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t="e">
        <f t="shared" si="130"/>
        <v>#DIV/0!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t="e">
        <f t="shared" si="123"/>
        <v>#DIV/0!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t="e">
        <f t="shared" si="130"/>
        <v>#DIV/0!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t="e">
        <f t="shared" si="123"/>
        <v>#DIV/0!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t="e">
        <f t="shared" si="130"/>
        <v>#DIV/0!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t="e">
        <f t="shared" si="123"/>
        <v>#DIV/0!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t="e">
        <f t="shared" si="130"/>
        <v>#DIV/0!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t="e">
        <f t="shared" si="123"/>
        <v>#DIV/0!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t="e">
        <f t="shared" si="130"/>
        <v>#DIV/0!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t="e">
        <f t="shared" si="123"/>
        <v>#DIV/0!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t="e">
        <f t="shared" si="130"/>
        <v>#DIV/0!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t="e">
        <f t="shared" si="123"/>
        <v>#DIV/0!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t="e">
        <f t="shared" si="130"/>
        <v>#DIV/0!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t="e">
        <f t="shared" si="123"/>
        <v>#DIV/0!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t="e">
        <f t="shared" si="130"/>
        <v>#DIV/0!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t="e">
        <f t="shared" si="123"/>
        <v>#DIV/0!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t="e">
        <f t="shared" si="130"/>
        <v>#DIV/0!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t="e">
        <f t="shared" si="123"/>
        <v>#DIV/0!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t="e">
        <f t="shared" si="130"/>
        <v>#DIV/0!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t="e">
        <f t="shared" si="123"/>
        <v>#DIV/0!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t="e">
        <f t="shared" si="130"/>
        <v>#DIV/0!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t="e">
        <f t="shared" si="123"/>
        <v>#DIV/0!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t="e">
        <f t="shared" si="130"/>
        <v>#DIV/0!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t="e">
        <f t="shared" si="123"/>
        <v>#DIV/0!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t="e">
        <f t="shared" si="130"/>
        <v>#DIV/0!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t="e">
        <f t="shared" si="123"/>
        <v>#DIV/0!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t="e">
        <f t="shared" si="130"/>
        <v>#DIV/0!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t="e">
        <f t="shared" si="123"/>
        <v>#DIV/0!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t="e">
        <f t="shared" si="130"/>
        <v>#DIV/0!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t="e">
        <f t="shared" si="123"/>
        <v>#DIV/0!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t="e">
        <f t="shared" si="130"/>
        <v>#DIV/0!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t="e">
        <f t="shared" si="123"/>
        <v>#DIV/0!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t="e">
        <f t="shared" ref="AY300:AY331" si="155">ROUND($AY$6*AZ300/$AZ$5,2)</f>
        <v>#DIV/0!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t="e">
        <f t="shared" si="123"/>
        <v>#DIV/0!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t="e">
        <f t="shared" si="155"/>
        <v>#DIV/0!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t="e">
        <f t="shared" si="123"/>
        <v>#DIV/0!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t="e">
        <f t="shared" si="155"/>
        <v>#DIV/0!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t="e">
        <f t="shared" ref="E303:E334" si="177">IF($C$3="是",ROUND($A$3*G303/$B$3,2),ROUND($A$3*(G303-AT303)/$B$3,2))</f>
        <v>#DIV/0!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t="e">
        <f t="shared" si="155"/>
        <v>#DIV/0!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t="e">
        <f t="shared" si="177"/>
        <v>#DIV/0!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t="e">
        <f t="shared" si="155"/>
        <v>#DIV/0!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t="e">
        <f t="shared" si="177"/>
        <v>#DIV/0!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t="e">
        <f t="shared" si="155"/>
        <v>#DIV/0!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t="e">
        <f t="shared" si="177"/>
        <v>#DIV/0!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t="e">
        <f t="shared" si="155"/>
        <v>#DIV/0!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t="e">
        <f t="shared" si="177"/>
        <v>#DIV/0!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t="e">
        <f t="shared" si="155"/>
        <v>#DIV/0!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t="e">
        <f t="shared" si="177"/>
        <v>#DIV/0!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t="e">
        <f t="shared" si="155"/>
        <v>#DIV/0!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t="e">
        <f t="shared" si="177"/>
        <v>#DIV/0!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t="e">
        <f t="shared" si="155"/>
        <v>#DIV/0!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t="e">
        <f t="shared" si="177"/>
        <v>#DIV/0!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t="e">
        <f t="shared" si="155"/>
        <v>#DIV/0!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t="e">
        <f t="shared" si="177"/>
        <v>#DIV/0!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t="e">
        <f t="shared" si="155"/>
        <v>#DIV/0!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t="e">
        <f t="shared" si="177"/>
        <v>#DIV/0!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t="e">
        <f t="shared" si="155"/>
        <v>#DIV/0!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t="e">
        <f t="shared" si="177"/>
        <v>#DIV/0!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t="e">
        <f t="shared" si="155"/>
        <v>#DIV/0!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t="e">
        <f t="shared" si="177"/>
        <v>#DIV/0!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t="e">
        <f t="shared" si="155"/>
        <v>#DIV/0!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t="e">
        <f t="shared" si="177"/>
        <v>#DIV/0!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t="e">
        <f t="shared" si="155"/>
        <v>#DIV/0!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t="e">
        <f t="shared" si="177"/>
        <v>#DIV/0!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t="e">
        <f t="shared" si="155"/>
        <v>#DIV/0!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t="e">
        <f t="shared" si="177"/>
        <v>#DIV/0!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t="e">
        <f t="shared" si="155"/>
        <v>#DIV/0!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t="e">
        <f t="shared" si="177"/>
        <v>#DIV/0!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t="e">
        <f t="shared" si="155"/>
        <v>#DIV/0!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t="e">
        <f t="shared" si="177"/>
        <v>#DIV/0!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t="e">
        <f t="shared" si="155"/>
        <v>#DIV/0!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t="e">
        <f t="shared" si="177"/>
        <v>#DIV/0!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t="e">
        <f t="shared" si="155"/>
        <v>#DIV/0!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t="e">
        <f t="shared" si="177"/>
        <v>#DIV/0!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t="e">
        <f t="shared" si="155"/>
        <v>#DIV/0!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t="e">
        <f t="shared" si="177"/>
        <v>#DIV/0!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t="e">
        <f t="shared" si="155"/>
        <v>#DIV/0!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t="e">
        <f t="shared" si="177"/>
        <v>#DIV/0!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t="e">
        <f t="shared" si="155"/>
        <v>#DIV/0!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t="e">
        <f t="shared" si="177"/>
        <v>#DIV/0!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t="e">
        <f t="shared" si="155"/>
        <v>#DIV/0!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t="e">
        <f t="shared" si="177"/>
        <v>#DIV/0!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t="e">
        <f t="shared" si="155"/>
        <v>#DIV/0!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t="e">
        <f t="shared" si="177"/>
        <v>#DIV/0!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t="e">
        <f t="shared" si="155"/>
        <v>#DIV/0!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t="e">
        <f t="shared" si="177"/>
        <v>#DIV/0!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t="e">
        <f t="shared" si="155"/>
        <v>#DIV/0!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t="e">
        <f t="shared" si="177"/>
        <v>#DIV/0!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t="e">
        <f t="shared" si="155"/>
        <v>#DIV/0!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t="e">
        <f t="shared" si="177"/>
        <v>#DIV/0!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t="e">
        <f t="shared" si="155"/>
        <v>#DIV/0!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t="e">
        <f t="shared" si="177"/>
        <v>#DIV/0!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t="e">
        <f t="shared" si="155"/>
        <v>#DIV/0!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t="e">
        <f t="shared" si="177"/>
        <v>#DIV/0!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t="e">
        <f t="shared" si="155"/>
        <v>#DIV/0!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t="e">
        <f t="shared" si="177"/>
        <v>#DIV/0!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t="e">
        <f t="shared" ref="AY332:AY363" si="184">ROUND($AY$6*AZ332/$AZ$5,2)</f>
        <v>#DIV/0!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t="e">
        <f t="shared" si="177"/>
        <v>#DIV/0!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t="e">
        <f t="shared" si="184"/>
        <v>#DIV/0!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t="e">
        <f t="shared" si="177"/>
        <v>#DIV/0!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t="e">
        <f t="shared" si="184"/>
        <v>#DIV/0!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t="e">
        <f t="shared" ref="E335:E366" si="206">IF($C$3="是",ROUND($A$3*G335/$B$3,2),ROUND($A$3*(G335-AT335)/$B$3,2))</f>
        <v>#DIV/0!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t="e">
        <f t="shared" si="184"/>
        <v>#DIV/0!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t="e">
        <f t="shared" si="206"/>
        <v>#DIV/0!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t="e">
        <f t="shared" si="184"/>
        <v>#DIV/0!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t="e">
        <f t="shared" si="206"/>
        <v>#DIV/0!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t="e">
        <f t="shared" si="184"/>
        <v>#DIV/0!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t="e">
        <f t="shared" si="206"/>
        <v>#DIV/0!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t="e">
        <f t="shared" si="184"/>
        <v>#DIV/0!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t="e">
        <f t="shared" si="206"/>
        <v>#DIV/0!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t="e">
        <f t="shared" si="184"/>
        <v>#DIV/0!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t="e">
        <f t="shared" si="206"/>
        <v>#DIV/0!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t="e">
        <f t="shared" si="184"/>
        <v>#DIV/0!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t="e">
        <f t="shared" si="206"/>
        <v>#DIV/0!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t="e">
        <f t="shared" si="184"/>
        <v>#DIV/0!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t="e">
        <f t="shared" si="206"/>
        <v>#DIV/0!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t="e">
        <f t="shared" si="184"/>
        <v>#DIV/0!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t="e">
        <f t="shared" si="206"/>
        <v>#DIV/0!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t="e">
        <f t="shared" si="184"/>
        <v>#DIV/0!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t="e">
        <f t="shared" si="206"/>
        <v>#DIV/0!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t="e">
        <f t="shared" si="184"/>
        <v>#DIV/0!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t="e">
        <f t="shared" si="206"/>
        <v>#DIV/0!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t="e">
        <f t="shared" si="184"/>
        <v>#DIV/0!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t="e">
        <f t="shared" si="206"/>
        <v>#DIV/0!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t="e">
        <f t="shared" si="184"/>
        <v>#DIV/0!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t="e">
        <f t="shared" si="206"/>
        <v>#DIV/0!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t="e">
        <f t="shared" si="184"/>
        <v>#DIV/0!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t="e">
        <f t="shared" si="206"/>
        <v>#DIV/0!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t="e">
        <f t="shared" si="184"/>
        <v>#DIV/0!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t="e">
        <f t="shared" si="206"/>
        <v>#DIV/0!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t="e">
        <f t="shared" si="184"/>
        <v>#DIV/0!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t="e">
        <f t="shared" si="206"/>
        <v>#DIV/0!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t="e">
        <f t="shared" si="184"/>
        <v>#DIV/0!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t="e">
        <f t="shared" si="206"/>
        <v>#DIV/0!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t="e">
        <f t="shared" si="184"/>
        <v>#DIV/0!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t="e">
        <f t="shared" si="206"/>
        <v>#DIV/0!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t="e">
        <f t="shared" si="184"/>
        <v>#DIV/0!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t="e">
        <f t="shared" si="206"/>
        <v>#DIV/0!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t="e">
        <f t="shared" si="184"/>
        <v>#DIV/0!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t="e">
        <f t="shared" si="206"/>
        <v>#DIV/0!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t="e">
        <f t="shared" si="184"/>
        <v>#DIV/0!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t="e">
        <f t="shared" si="206"/>
        <v>#DIV/0!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t="e">
        <f t="shared" si="184"/>
        <v>#DIV/0!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t="e">
        <f t="shared" si="206"/>
        <v>#DIV/0!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t="e">
        <f t="shared" si="184"/>
        <v>#DIV/0!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t="e">
        <f t="shared" si="206"/>
        <v>#DIV/0!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t="e">
        <f t="shared" si="184"/>
        <v>#DIV/0!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t="e">
        <f t="shared" si="206"/>
        <v>#DIV/0!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t="e">
        <f t="shared" si="184"/>
        <v>#DIV/0!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t="e">
        <f t="shared" si="206"/>
        <v>#DIV/0!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t="e">
        <f t="shared" si="184"/>
        <v>#DIV/0!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t="e">
        <f t="shared" si="206"/>
        <v>#DIV/0!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t="e">
        <f t="shared" si="184"/>
        <v>#DIV/0!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t="e">
        <f t="shared" si="206"/>
        <v>#DIV/0!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t="e">
        <f t="shared" si="184"/>
        <v>#DIV/0!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t="e">
        <f t="shared" si="206"/>
        <v>#DIV/0!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t="e">
        <f t="shared" si="184"/>
        <v>#DIV/0!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t="e">
        <f t="shared" si="206"/>
        <v>#DIV/0!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t="e">
        <f t="shared" si="184"/>
        <v>#DIV/0!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t="e">
        <f t="shared" si="206"/>
        <v>#DIV/0!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t="e">
        <f t="shared" ref="AY364:AY395" si="213">ROUND($AY$6*AZ364/$AZ$5,2)</f>
        <v>#DIV/0!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t="e">
        <f t="shared" si="206"/>
        <v>#DIV/0!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t="e">
        <f t="shared" si="213"/>
        <v>#DIV/0!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t="e">
        <f t="shared" si="206"/>
        <v>#DIV/0!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t="e">
        <f t="shared" si="213"/>
        <v>#DIV/0!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t="e">
        <f t="shared" ref="E367:E397" si="235">IF($C$3="是",ROUND($A$3*G367/$B$3,2),ROUND($A$3*(G367-AT367)/$B$3,2))</f>
        <v>#DIV/0!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t="e">
        <f t="shared" si="213"/>
        <v>#DIV/0!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t="e">
        <f t="shared" si="235"/>
        <v>#DIV/0!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t="e">
        <f t="shared" si="213"/>
        <v>#DIV/0!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t="e">
        <f t="shared" si="235"/>
        <v>#DIV/0!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t="e">
        <f t="shared" si="213"/>
        <v>#DIV/0!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t="e">
        <f t="shared" si="235"/>
        <v>#DIV/0!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t="e">
        <f t="shared" si="213"/>
        <v>#DIV/0!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t="e">
        <f t="shared" si="235"/>
        <v>#DIV/0!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t="e">
        <f t="shared" si="213"/>
        <v>#DIV/0!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t="e">
        <f t="shared" si="235"/>
        <v>#DIV/0!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t="e">
        <f t="shared" si="213"/>
        <v>#DIV/0!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t="e">
        <f t="shared" si="235"/>
        <v>#DIV/0!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t="e">
        <f t="shared" si="213"/>
        <v>#DIV/0!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t="e">
        <f t="shared" si="235"/>
        <v>#DIV/0!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t="e">
        <f t="shared" si="213"/>
        <v>#DIV/0!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t="e">
        <f t="shared" si="235"/>
        <v>#DIV/0!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t="e">
        <f t="shared" si="213"/>
        <v>#DIV/0!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t="e">
        <f t="shared" si="235"/>
        <v>#DIV/0!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t="e">
        <f t="shared" si="213"/>
        <v>#DIV/0!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t="e">
        <f t="shared" si="235"/>
        <v>#DIV/0!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t="e">
        <f t="shared" si="213"/>
        <v>#DIV/0!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t="e">
        <f t="shared" si="235"/>
        <v>#DIV/0!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t="e">
        <f t="shared" si="213"/>
        <v>#DIV/0!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t="e">
        <f t="shared" si="235"/>
        <v>#DIV/0!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t="e">
        <f t="shared" si="213"/>
        <v>#DIV/0!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t="e">
        <f t="shared" si="235"/>
        <v>#DIV/0!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t="e">
        <f t="shared" si="213"/>
        <v>#DIV/0!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t="e">
        <f t="shared" si="235"/>
        <v>#DIV/0!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t="e">
        <f t="shared" si="213"/>
        <v>#DIV/0!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t="e">
        <f t="shared" si="235"/>
        <v>#DIV/0!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t="e">
        <f t="shared" si="213"/>
        <v>#DIV/0!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t="e">
        <f t="shared" si="235"/>
        <v>#DIV/0!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t="e">
        <f t="shared" si="213"/>
        <v>#DIV/0!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t="e">
        <f t="shared" si="235"/>
        <v>#DIV/0!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t="e">
        <f t="shared" si="213"/>
        <v>#DIV/0!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t="e">
        <f t="shared" si="235"/>
        <v>#DIV/0!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t="e">
        <f t="shared" si="213"/>
        <v>#DIV/0!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t="e">
        <f t="shared" si="235"/>
        <v>#DIV/0!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t="e">
        <f t="shared" si="213"/>
        <v>#DIV/0!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t="e">
        <f t="shared" si="235"/>
        <v>#DIV/0!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t="e">
        <f t="shared" si="213"/>
        <v>#DIV/0!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t="e">
        <f t="shared" si="235"/>
        <v>#DIV/0!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t="e">
        <f t="shared" si="213"/>
        <v>#DIV/0!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t="e">
        <f t="shared" si="235"/>
        <v>#DIV/0!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t="e">
        <f t="shared" si="213"/>
        <v>#DIV/0!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t="e">
        <f t="shared" si="235"/>
        <v>#DIV/0!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t="e">
        <f t="shared" si="213"/>
        <v>#DIV/0!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t="e">
        <f t="shared" si="235"/>
        <v>#DIV/0!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t="e">
        <f t="shared" si="213"/>
        <v>#DIV/0!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t="e">
        <f t="shared" si="235"/>
        <v>#DIV/0!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t="e">
        <f t="shared" si="213"/>
        <v>#DIV/0!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t="e">
        <f t="shared" si="235"/>
        <v>#DIV/0!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t="e">
        <f t="shared" si="213"/>
        <v>#DIV/0!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t="e">
        <f t="shared" si="235"/>
        <v>#DIV/0!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t="e">
        <f t="shared" si="213"/>
        <v>#DIV/0!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t="e">
        <f t="shared" si="235"/>
        <v>#DIV/0!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t="e">
        <f t="shared" si="213"/>
        <v>#DIV/0!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t="e">
        <f t="shared" si="235"/>
        <v>#DIV/0!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t="e">
        <f>ROUND($AY$6*AZ396/$AZ$5,2)</f>
        <v>#DIV/0!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t="e">
        <f t="shared" si="235"/>
        <v>#DIV/0!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t="e">
        <f>ROUND($AY$6*AZ397/$AZ$5,2)</f>
        <v>#DIV/0!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t="e">
        <f t="shared" ref="E398:E492" si="239">IF($C$3="是",ROUND($A$3*G398/$B$3,2),ROUND($A$3*(G398-AT398)/$B$3,2))</f>
        <v>#DIV/0!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t="e">
        <f t="shared" ref="AY398:AY489" si="246">ROUND($AY$6*AZ398/$AZ$5,2)</f>
        <v>#DIV/0!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t="e">
        <f t="shared" si="239"/>
        <v>#DIV/0!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t="e">
        <f t="shared" si="246"/>
        <v>#DIV/0!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t="e">
        <f t="shared" si="239"/>
        <v>#DIV/0!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t="e">
        <f t="shared" si="246"/>
        <v>#DIV/0!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t="e">
        <f t="shared" si="239"/>
        <v>#DIV/0!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t="e">
        <f t="shared" si="246"/>
        <v>#DIV/0!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t="e">
        <f t="shared" si="239"/>
        <v>#DIV/0!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t="e">
        <f t="shared" si="246"/>
        <v>#DIV/0!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t="e">
        <f t="shared" si="239"/>
        <v>#DIV/0!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t="e">
        <f t="shared" si="246"/>
        <v>#DIV/0!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t="e">
        <f t="shared" si="239"/>
        <v>#DIV/0!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t="e">
        <f t="shared" si="246"/>
        <v>#DIV/0!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t="e">
        <f t="shared" si="239"/>
        <v>#DIV/0!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t="e">
        <f t="shared" si="246"/>
        <v>#DIV/0!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t="e">
        <f t="shared" si="239"/>
        <v>#DIV/0!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t="e">
        <f t="shared" si="246"/>
        <v>#DIV/0!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t="e">
        <f t="shared" si="239"/>
        <v>#DIV/0!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t="e">
        <f t="shared" si="246"/>
        <v>#DIV/0!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t="e">
        <f t="shared" si="239"/>
        <v>#DIV/0!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t="e">
        <f t="shared" si="246"/>
        <v>#DIV/0!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t="e">
        <f t="shared" si="239"/>
        <v>#DIV/0!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t="e">
        <f t="shared" si="246"/>
        <v>#DIV/0!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t="e">
        <f t="shared" si="239"/>
        <v>#DIV/0!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t="e">
        <f t="shared" si="246"/>
        <v>#DIV/0!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t="e">
        <f t="shared" si="239"/>
        <v>#DIV/0!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t="e">
        <f t="shared" si="246"/>
        <v>#DIV/0!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t="e">
        <f t="shared" si="239"/>
        <v>#DIV/0!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t="e">
        <f t="shared" si="246"/>
        <v>#DIV/0!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t="e">
        <f t="shared" si="239"/>
        <v>#DIV/0!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t="e">
        <f t="shared" si="246"/>
        <v>#DIV/0!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t="e">
        <f t="shared" si="239"/>
        <v>#DIV/0!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t="e">
        <f t="shared" si="246"/>
        <v>#DIV/0!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t="e">
        <f t="shared" si="239"/>
        <v>#DIV/0!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t="e">
        <f t="shared" si="246"/>
        <v>#DIV/0!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t="e">
        <f t="shared" si="239"/>
        <v>#DIV/0!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t="e">
        <f t="shared" si="246"/>
        <v>#DIV/0!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t="e">
        <f t="shared" si="239"/>
        <v>#DIV/0!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t="e">
        <f t="shared" si="246"/>
        <v>#DIV/0!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t="e">
        <f t="shared" si="239"/>
        <v>#DIV/0!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t="e">
        <f t="shared" si="246"/>
        <v>#DIV/0!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t="e">
        <f t="shared" si="239"/>
        <v>#DIV/0!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t="e">
        <f t="shared" si="246"/>
        <v>#DIV/0!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t="e">
        <f t="shared" si="239"/>
        <v>#DIV/0!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t="e">
        <f t="shared" si="246"/>
        <v>#DIV/0!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t="e">
        <f t="shared" si="239"/>
        <v>#DIV/0!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t="e">
        <f t="shared" si="246"/>
        <v>#DIV/0!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t="e">
        <f t="shared" si="239"/>
        <v>#DIV/0!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t="e">
        <f t="shared" si="246"/>
        <v>#DIV/0!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t="e">
        <f t="shared" si="239"/>
        <v>#DIV/0!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t="e">
        <f t="shared" si="246"/>
        <v>#DIV/0!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t="e">
        <f t="shared" si="239"/>
        <v>#DIV/0!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t="e">
        <f t="shared" si="246"/>
        <v>#DIV/0!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t="e">
        <f t="shared" si="239"/>
        <v>#DIV/0!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t="e">
        <f t="shared" si="246"/>
        <v>#DIV/0!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t="e">
        <f t="shared" si="239"/>
        <v>#DIV/0!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t="e">
        <f t="shared" si="246"/>
        <v>#DIV/0!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t="e">
        <f t="shared" si="239"/>
        <v>#DIV/0!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t="e">
        <f t="shared" si="246"/>
        <v>#DIV/0!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t="e">
        <f t="shared" si="239"/>
        <v>#DIV/0!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t="e">
        <f t="shared" si="246"/>
        <v>#DIV/0!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t="e">
        <f t="shared" si="239"/>
        <v>#DIV/0!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t="e">
        <f t="shared" si="246"/>
        <v>#DIV/0!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t="e">
        <f t="shared" si="239"/>
        <v>#DIV/0!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t="e">
        <f t="shared" si="246"/>
        <v>#DIV/0!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t="e">
        <f t="shared" si="239"/>
        <v>#DIV/0!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t="e">
        <f t="shared" si="246"/>
        <v>#DIV/0!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t="e">
        <f t="shared" si="239"/>
        <v>#DIV/0!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t="e">
        <f t="shared" si="246"/>
        <v>#DIV/0!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t="e">
        <f t="shared" si="239"/>
        <v>#DIV/0!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t="e">
        <f t="shared" si="246"/>
        <v>#DIV/0!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t="e">
        <f t="shared" si="239"/>
        <v>#DIV/0!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t="e">
        <f t="shared" si="246"/>
        <v>#DIV/0!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t="e">
        <f t="shared" si="239"/>
        <v>#DIV/0!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t="e">
        <f t="shared" si="246"/>
        <v>#DIV/0!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t="e">
        <f t="shared" si="239"/>
        <v>#DIV/0!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t="e">
        <f t="shared" si="246"/>
        <v>#DIV/0!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t="e">
        <f t="shared" si="239"/>
        <v>#DIV/0!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t="e">
        <f t="shared" si="246"/>
        <v>#DIV/0!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t="e">
        <f t="shared" si="239"/>
        <v>#DIV/0!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t="e">
        <f t="shared" si="246"/>
        <v>#DIV/0!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t="e">
        <f t="shared" si="239"/>
        <v>#DIV/0!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t="e">
        <f t="shared" si="246"/>
        <v>#DIV/0!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t="e">
        <f t="shared" si="239"/>
        <v>#DIV/0!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t="e">
        <f t="shared" si="246"/>
        <v>#DIV/0!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t="e">
        <f t="shared" si="239"/>
        <v>#DIV/0!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t="e">
        <f t="shared" si="246"/>
        <v>#DIV/0!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t="e">
        <f t="shared" si="239"/>
        <v>#DIV/0!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t="e">
        <f t="shared" si="246"/>
        <v>#DIV/0!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t="e">
        <f t="shared" si="239"/>
        <v>#DIV/0!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t="e">
        <f t="shared" si="246"/>
        <v>#DIV/0!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t="e">
        <f t="shared" si="239"/>
        <v>#DIV/0!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t="e">
        <f t="shared" si="246"/>
        <v>#DIV/0!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t="e">
        <f t="shared" si="239"/>
        <v>#DIV/0!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t="e">
        <f t="shared" si="246"/>
        <v>#DIV/0!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t="e">
        <f t="shared" si="239"/>
        <v>#DIV/0!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t="e">
        <f t="shared" si="246"/>
        <v>#DIV/0!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t="e">
        <f t="shared" si="239"/>
        <v>#DIV/0!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t="e">
        <f t="shared" si="246"/>
        <v>#DIV/0!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t="e">
        <f t="shared" si="239"/>
        <v>#DIV/0!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t="e">
        <f t="shared" si="246"/>
        <v>#DIV/0!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t="e">
        <f t="shared" si="239"/>
        <v>#DIV/0!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t="e">
        <f t="shared" si="246"/>
        <v>#DIV/0!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t="e">
        <f t="shared" si="239"/>
        <v>#DIV/0!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t="e">
        <f t="shared" si="246"/>
        <v>#DIV/0!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t="e">
        <f t="shared" si="239"/>
        <v>#DIV/0!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t="e">
        <f t="shared" si="246"/>
        <v>#DIV/0!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t="e">
        <f t="shared" si="239"/>
        <v>#DIV/0!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t="e">
        <f t="shared" si="246"/>
        <v>#DIV/0!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t="e">
        <f t="shared" si="239"/>
        <v>#DIV/0!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t="e">
        <f t="shared" si="246"/>
        <v>#DIV/0!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t="e">
        <f t="shared" si="239"/>
        <v>#DIV/0!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t="e">
        <f t="shared" si="246"/>
        <v>#DIV/0!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t="e">
        <f t="shared" si="239"/>
        <v>#DIV/0!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t="e">
        <f t="shared" si="246"/>
        <v>#DIV/0!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t="e">
        <f t="shared" si="239"/>
        <v>#DIV/0!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t="e">
        <f t="shared" si="246"/>
        <v>#DIV/0!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t="e">
        <f t="shared" si="239"/>
        <v>#DIV/0!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t="e">
        <f t="shared" si="246"/>
        <v>#DIV/0!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t="e">
        <f t="shared" si="239"/>
        <v>#DIV/0!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t="e">
        <f t="shared" si="246"/>
        <v>#DIV/0!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t="e">
        <f t="shared" si="239"/>
        <v>#DIV/0!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t="e">
        <f t="shared" si="246"/>
        <v>#DIV/0!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t="e">
        <f t="shared" si="239"/>
        <v>#DIV/0!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t="e">
        <f t="shared" si="246"/>
        <v>#DIV/0!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t="e">
        <f t="shared" si="239"/>
        <v>#DIV/0!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t="e">
        <f t="shared" si="246"/>
        <v>#DIV/0!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t="e">
        <f t="shared" si="239"/>
        <v>#DIV/0!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t="e">
        <f t="shared" si="246"/>
        <v>#DIV/0!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t="e">
        <f t="shared" si="239"/>
        <v>#DIV/0!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t="e">
        <f t="shared" si="246"/>
        <v>#DIV/0!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t="e">
        <f t="shared" si="239"/>
        <v>#DIV/0!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t="e">
        <f t="shared" si="246"/>
        <v>#DIV/0!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t="e">
        <f t="shared" si="239"/>
        <v>#DIV/0!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t="e">
        <f t="shared" si="246"/>
        <v>#DIV/0!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t="e">
        <f t="shared" si="239"/>
        <v>#DIV/0!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t="e">
        <f t="shared" si="246"/>
        <v>#DIV/0!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t="e">
        <f t="shared" si="239"/>
        <v>#DIV/0!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t="e">
        <f t="shared" si="246"/>
        <v>#DIV/0!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t="e">
        <f t="shared" si="239"/>
        <v>#DIV/0!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t="e">
        <f t="shared" si="246"/>
        <v>#DIV/0!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t="e">
        <f t="shared" si="239"/>
        <v>#DIV/0!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t="e">
        <f t="shared" si="246"/>
        <v>#DIV/0!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t="e">
        <f t="shared" si="239"/>
        <v>#DIV/0!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t="e">
        <f t="shared" si="246"/>
        <v>#DIV/0!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t="e">
        <f t="shared" si="239"/>
        <v>#DIV/0!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t="e">
        <f t="shared" si="246"/>
        <v>#DIV/0!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t="e">
        <f t="shared" si="239"/>
        <v>#DIV/0!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t="e">
        <f t="shared" si="246"/>
        <v>#DIV/0!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t="e">
        <f t="shared" si="239"/>
        <v>#DIV/0!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t="e">
        <f t="shared" si="246"/>
        <v>#DIV/0!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t="e">
        <f t="shared" si="239"/>
        <v>#DIV/0!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t="e">
        <f t="shared" si="246"/>
        <v>#DIV/0!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t="e">
        <f t="shared" si="239"/>
        <v>#DIV/0!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t="e">
        <f t="shared" si="246"/>
        <v>#DIV/0!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t="e">
        <f t="shared" si="239"/>
        <v>#DIV/0!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t="e">
        <f t="shared" si="246"/>
        <v>#DIV/0!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t="e">
        <f t="shared" si="239"/>
        <v>#DIV/0!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t="e">
        <f t="shared" si="246"/>
        <v>#DIV/0!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t="e">
        <f t="shared" si="239"/>
        <v>#DIV/0!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t="e">
        <f t="shared" si="246"/>
        <v>#DIV/0!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t="e">
        <f t="shared" si="239"/>
        <v>#DIV/0!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t="e">
        <f t="shared" si="246"/>
        <v>#DIV/0!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t="e">
        <f t="shared" si="239"/>
        <v>#DIV/0!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t="e">
        <f t="shared" si="246"/>
        <v>#DIV/0!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t="e">
        <f t="shared" si="239"/>
        <v>#DIV/0!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t="e">
        <f t="shared" si="246"/>
        <v>#DIV/0!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t="e">
        <f t="shared" si="239"/>
        <v>#DIV/0!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t="e">
        <f t="shared" si="246"/>
        <v>#DIV/0!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t="e">
        <f t="shared" si="239"/>
        <v>#DIV/0!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t="e">
        <f t="shared" si="246"/>
        <v>#DIV/0!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t="e">
        <f t="shared" si="239"/>
        <v>#DIV/0!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t="e">
        <f t="shared" si="246"/>
        <v>#DIV/0!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t="e">
        <f t="shared" si="239"/>
        <v>#DIV/0!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t="e">
        <f t="shared" si="246"/>
        <v>#DIV/0!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t="e">
        <f t="shared" si="239"/>
        <v>#DIV/0!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t="e">
        <f t="shared" si="246"/>
        <v>#DIV/0!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t="e">
        <f t="shared" si="239"/>
        <v>#DIV/0!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t="e">
        <f t="shared" si="246"/>
        <v>#DIV/0!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t="e">
        <f t="shared" si="239"/>
        <v>#DIV/0!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t="e">
        <f t="shared" si="246"/>
        <v>#DIV/0!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t="e">
        <f t="shared" si="239"/>
        <v>#DIV/0!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t="e">
        <f t="shared" si="246"/>
        <v>#DIV/0!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t="e">
        <f t="shared" si="239"/>
        <v>#DIV/0!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t="e">
        <f t="shared" ref="AY490:AY521" si="271">ROUND($AY$6*AZ490/$AZ$5,2)</f>
        <v>#DIV/0!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t="e">
        <f t="shared" si="239"/>
        <v>#DIV/0!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t="e">
        <f t="shared" si="271"/>
        <v>#DIV/0!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t="e">
        <f t="shared" si="239"/>
        <v>#DIV/0!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t="e">
        <f t="shared" si="271"/>
        <v>#DIV/0!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t="e">
        <f t="shared" ref="E493:E519" si="293">IF($C$3="是",ROUND($A$3*G493/$B$3,2),ROUND($A$3*(G493-AT493)/$B$3,2))</f>
        <v>#DIV/0!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t="e">
        <f t="shared" si="271"/>
        <v>#DIV/0!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t="e">
        <f t="shared" si="293"/>
        <v>#DIV/0!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t="e">
        <f t="shared" si="271"/>
        <v>#DIV/0!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t="e">
        <f t="shared" si="293"/>
        <v>#DIV/0!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t="e">
        <f t="shared" si="271"/>
        <v>#DIV/0!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t="e">
        <f t="shared" si="293"/>
        <v>#DIV/0!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t="e">
        <f t="shared" si="271"/>
        <v>#DIV/0!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t="e">
        <f t="shared" si="293"/>
        <v>#DIV/0!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t="e">
        <f t="shared" si="271"/>
        <v>#DIV/0!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t="e">
        <f t="shared" si="293"/>
        <v>#DIV/0!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t="e">
        <f t="shared" si="271"/>
        <v>#DIV/0!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t="e">
        <f t="shared" si="293"/>
        <v>#DIV/0!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t="e">
        <f t="shared" si="271"/>
        <v>#DIV/0!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t="e">
        <f t="shared" si="293"/>
        <v>#DIV/0!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t="e">
        <f t="shared" si="271"/>
        <v>#DIV/0!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t="e">
        <f t="shared" si="293"/>
        <v>#DIV/0!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t="e">
        <f t="shared" si="271"/>
        <v>#DIV/0!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t="e">
        <f t="shared" si="293"/>
        <v>#DIV/0!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t="e">
        <f t="shared" si="271"/>
        <v>#DIV/0!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t="e">
        <f t="shared" si="293"/>
        <v>#DIV/0!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t="e">
        <f t="shared" si="271"/>
        <v>#DIV/0!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t="e">
        <f t="shared" si="293"/>
        <v>#DIV/0!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t="e">
        <f t="shared" si="271"/>
        <v>#DIV/0!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t="e">
        <f t="shared" si="293"/>
        <v>#DIV/0!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t="e">
        <f t="shared" si="271"/>
        <v>#DIV/0!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t="e">
        <f t="shared" si="293"/>
        <v>#DIV/0!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t="e">
        <f t="shared" si="271"/>
        <v>#DIV/0!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t="e">
        <f t="shared" si="293"/>
        <v>#DIV/0!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t="e">
        <f t="shared" si="271"/>
        <v>#DIV/0!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t="e">
        <f t="shared" si="293"/>
        <v>#DIV/0!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t="e">
        <f t="shared" si="271"/>
        <v>#DIV/0!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t="e">
        <f t="shared" si="293"/>
        <v>#DIV/0!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t="e">
        <f t="shared" si="271"/>
        <v>#DIV/0!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t="e">
        <f t="shared" si="293"/>
        <v>#DIV/0!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t="e">
        <f t="shared" si="271"/>
        <v>#DIV/0!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t="e">
        <f t="shared" si="293"/>
        <v>#DIV/0!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t="e">
        <f t="shared" si="271"/>
        <v>#DIV/0!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t="e">
        <f t="shared" si="293"/>
        <v>#DIV/0!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t="e">
        <f t="shared" si="271"/>
        <v>#DIV/0!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t="e">
        <f t="shared" si="293"/>
        <v>#DIV/0!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t="e">
        <f t="shared" si="271"/>
        <v>#DIV/0!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t="e">
        <f t="shared" si="293"/>
        <v>#DIV/0!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t="e">
        <f t="shared" si="271"/>
        <v>#DIV/0!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t="e">
        <f t="shared" si="293"/>
        <v>#DIV/0!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t="e">
        <f t="shared" si="271"/>
        <v>#DIV/0!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t="e">
        <f t="shared" si="293"/>
        <v>#DIV/0!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t="e">
        <f t="shared" si="271"/>
        <v>#DIV/0!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t="e">
        <f t="shared" si="293"/>
        <v>#DIV/0!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t="e">
        <f t="shared" si="271"/>
        <v>#DIV/0!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t="e">
        <f t="shared" si="293"/>
        <v>#DIV/0!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t="e">
        <f t="shared" si="271"/>
        <v>#DIV/0!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t="e">
        <f t="shared" si="293"/>
        <v>#DIV/0!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t="e">
        <f t="shared" si="271"/>
        <v>#DIV/0!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t="e">
        <f t="shared" ref="E520:E551" si="297">IF($C$3="是",ROUND($A$3*G520/$B$3,2),ROUND($A$3*(G520-AT520)/$B$3,2))</f>
        <v>#DIV/0!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t="e">
        <f t="shared" si="271"/>
        <v>#DIV/0!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t="e">
        <f t="shared" si="297"/>
        <v>#DIV/0!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t="e">
        <f t="shared" si="271"/>
        <v>#DIV/0!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t="e">
        <f t="shared" si="297"/>
        <v>#DIV/0!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t="e">
        <f t="shared" ref="AY522:AY552" si="304">ROUND($AY$6*AZ522/$AZ$5,2)</f>
        <v>#DIV/0!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t="e">
        <f t="shared" si="297"/>
        <v>#DIV/0!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t="e">
        <f t="shared" si="304"/>
        <v>#DIV/0!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t="e">
        <f t="shared" si="297"/>
        <v>#DIV/0!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t="e">
        <f t="shared" si="304"/>
        <v>#DIV/0!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t="e">
        <f t="shared" si="297"/>
        <v>#DIV/0!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t="e">
        <f t="shared" si="304"/>
        <v>#DIV/0!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t="e">
        <f t="shared" si="297"/>
        <v>#DIV/0!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t="e">
        <f t="shared" si="304"/>
        <v>#DIV/0!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t="e">
        <f t="shared" si="297"/>
        <v>#DIV/0!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t="e">
        <f t="shared" si="304"/>
        <v>#DIV/0!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t="e">
        <f t="shared" si="297"/>
        <v>#DIV/0!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t="e">
        <f t="shared" si="304"/>
        <v>#DIV/0!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t="e">
        <f t="shared" si="297"/>
        <v>#DIV/0!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t="e">
        <f t="shared" si="304"/>
        <v>#DIV/0!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t="e">
        <f t="shared" si="297"/>
        <v>#DIV/0!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t="e">
        <f t="shared" si="304"/>
        <v>#DIV/0!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t="e">
        <f t="shared" si="297"/>
        <v>#DIV/0!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t="e">
        <f t="shared" si="304"/>
        <v>#DIV/0!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t="e">
        <f t="shared" si="297"/>
        <v>#DIV/0!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t="e">
        <f t="shared" si="304"/>
        <v>#DIV/0!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t="e">
        <f t="shared" si="297"/>
        <v>#DIV/0!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t="e">
        <f t="shared" si="304"/>
        <v>#DIV/0!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t="e">
        <f t="shared" si="297"/>
        <v>#DIV/0!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t="e">
        <f t="shared" si="304"/>
        <v>#DIV/0!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t="e">
        <f t="shared" si="297"/>
        <v>#DIV/0!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t="e">
        <f t="shared" si="304"/>
        <v>#DIV/0!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t="e">
        <f t="shared" si="297"/>
        <v>#DIV/0!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t="e">
        <f t="shared" si="304"/>
        <v>#DIV/0!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t="e">
        <f t="shared" si="297"/>
        <v>#DIV/0!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t="e">
        <f t="shared" si="304"/>
        <v>#DIV/0!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t="e">
        <f t="shared" si="297"/>
        <v>#DIV/0!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t="e">
        <f t="shared" si="304"/>
        <v>#DIV/0!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t="e">
        <f t="shared" si="297"/>
        <v>#DIV/0!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t="e">
        <f t="shared" si="304"/>
        <v>#DIV/0!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t="e">
        <f t="shared" si="297"/>
        <v>#DIV/0!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t="e">
        <f t="shared" si="304"/>
        <v>#DIV/0!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t="e">
        <f t="shared" si="297"/>
        <v>#DIV/0!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t="e">
        <f t="shared" si="304"/>
        <v>#DIV/0!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t="e">
        <f t="shared" si="297"/>
        <v>#DIV/0!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t="e">
        <f t="shared" si="304"/>
        <v>#DIV/0!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t="e">
        <f t="shared" si="297"/>
        <v>#DIV/0!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t="e">
        <f t="shared" si="304"/>
        <v>#DIV/0!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t="e">
        <f t="shared" si="297"/>
        <v>#DIV/0!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t="e">
        <f t="shared" si="304"/>
        <v>#DIV/0!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t="e">
        <f t="shared" si="297"/>
        <v>#DIV/0!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t="e">
        <f t="shared" si="304"/>
        <v>#DIV/0!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t="e">
        <f t="shared" si="297"/>
        <v>#DIV/0!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t="e">
        <f t="shared" si="304"/>
        <v>#DIV/0!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t="e">
        <f t="shared" si="297"/>
        <v>#DIV/0!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t="e">
        <f t="shared" si="304"/>
        <v>#DIV/0!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t="e">
        <f t="shared" si="297"/>
        <v>#DIV/0!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t="e">
        <f t="shared" si="304"/>
        <v>#DIV/0!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t="e">
        <f t="shared" si="297"/>
        <v>#DIV/0!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t="e">
        <f t="shared" si="304"/>
        <v>#DIV/0!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t="e">
        <f t="shared" si="297"/>
        <v>#DIV/0!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t="e">
        <f t="shared" si="304"/>
        <v>#DIV/0!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t="e">
        <f t="shared" si="297"/>
        <v>#DIV/0!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t="e">
        <f t="shared" si="304"/>
        <v>#DIV/0!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t="e">
        <f t="shared" ref="E552:E587" si="326">IF($C$3="是",ROUND($A$3*G552/$B$3,2),ROUND($A$3*(G552-AT552)/$B$3,2))</f>
        <v>#DIV/0!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t="e">
        <f t="shared" si="304"/>
        <v>#DIV/0!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t="e">
        <f t="shared" si="326"/>
        <v>#DIV/0!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t="e">
        <f t="shared" ref="AY553:AY584" si="333">ROUND($AY$6*AZ553/$AZ$5,2)</f>
        <v>#DIV/0!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t="e">
        <f t="shared" si="326"/>
        <v>#DIV/0!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t="e">
        <f t="shared" si="333"/>
        <v>#DIV/0!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t="e">
        <f t="shared" si="326"/>
        <v>#DIV/0!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t="e">
        <f t="shared" si="333"/>
        <v>#DIV/0!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t="e">
        <f t="shared" si="326"/>
        <v>#DIV/0!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t="e">
        <f t="shared" si="333"/>
        <v>#DIV/0!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t="e">
        <f t="shared" si="326"/>
        <v>#DIV/0!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t="e">
        <f t="shared" si="333"/>
        <v>#DIV/0!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t="e">
        <f t="shared" si="326"/>
        <v>#DIV/0!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t="e">
        <f t="shared" si="333"/>
        <v>#DIV/0!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t="e">
        <f t="shared" si="326"/>
        <v>#DIV/0!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t="e">
        <f t="shared" si="333"/>
        <v>#DIV/0!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t="e">
        <f t="shared" si="326"/>
        <v>#DIV/0!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t="e">
        <f t="shared" si="333"/>
        <v>#DIV/0!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t="e">
        <f t="shared" si="326"/>
        <v>#DIV/0!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t="e">
        <f t="shared" si="333"/>
        <v>#DIV/0!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t="e">
        <f t="shared" si="326"/>
        <v>#DIV/0!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t="e">
        <f t="shared" si="333"/>
        <v>#DIV/0!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t="e">
        <f t="shared" si="326"/>
        <v>#DIV/0!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t="e">
        <f t="shared" si="333"/>
        <v>#DIV/0!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t="e">
        <f t="shared" si="326"/>
        <v>#DIV/0!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t="e">
        <f t="shared" si="333"/>
        <v>#DIV/0!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t="e">
        <f t="shared" si="326"/>
        <v>#DIV/0!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t="e">
        <f t="shared" si="333"/>
        <v>#DIV/0!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t="e">
        <f t="shared" si="326"/>
        <v>#DIV/0!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t="e">
        <f t="shared" si="333"/>
        <v>#DIV/0!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t="e">
        <f t="shared" si="326"/>
        <v>#DIV/0!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t="e">
        <f t="shared" si="333"/>
        <v>#DIV/0!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t="e">
        <f t="shared" si="326"/>
        <v>#DIV/0!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t="e">
        <f t="shared" si="333"/>
        <v>#DIV/0!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t="e">
        <f t="shared" si="326"/>
        <v>#DIV/0!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t="e">
        <f t="shared" si="333"/>
        <v>#DIV/0!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t="e">
        <f t="shared" si="326"/>
        <v>#DIV/0!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t="e">
        <f t="shared" si="333"/>
        <v>#DIV/0!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t="e">
        <f t="shared" si="326"/>
        <v>#DIV/0!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t="e">
        <f t="shared" si="333"/>
        <v>#DIV/0!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t="e">
        <f t="shared" si="326"/>
        <v>#DIV/0!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t="e">
        <f t="shared" si="333"/>
        <v>#DIV/0!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t="e">
        <f t="shared" si="326"/>
        <v>#DIV/0!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t="e">
        <f t="shared" si="333"/>
        <v>#DIV/0!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t="e">
        <f t="shared" si="326"/>
        <v>#DIV/0!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t="e">
        <f t="shared" si="333"/>
        <v>#DIV/0!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t="e">
        <f t="shared" si="326"/>
        <v>#DIV/0!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t="e">
        <f t="shared" si="333"/>
        <v>#DIV/0!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t="e">
        <f t="shared" si="326"/>
        <v>#DIV/0!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t="e">
        <f t="shared" si="333"/>
        <v>#DIV/0!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t="e">
        <f t="shared" si="326"/>
        <v>#DIV/0!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t="e">
        <f t="shared" si="333"/>
        <v>#DIV/0!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t="e">
        <f t="shared" si="326"/>
        <v>#DIV/0!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t="e">
        <f t="shared" si="333"/>
        <v>#DIV/0!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t="e">
        <f t="shared" si="326"/>
        <v>#DIV/0!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t="e">
        <f t="shared" si="333"/>
        <v>#DIV/0!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t="e">
        <f t="shared" si="326"/>
        <v>#DIV/0!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t="e">
        <f t="shared" si="333"/>
        <v>#DIV/0!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t="e">
        <f t="shared" si="326"/>
        <v>#DIV/0!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t="e">
        <f t="shared" si="333"/>
        <v>#DIV/0!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t="e">
        <f t="shared" si="326"/>
        <v>#DIV/0!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t="e">
        <f t="shared" si="333"/>
        <v>#DIV/0!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t="e">
        <f t="shared" si="326"/>
        <v>#DIV/0!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t="e">
        <f t="shared" si="333"/>
        <v>#DIV/0!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t="e">
        <f t="shared" si="326"/>
        <v>#DIV/0!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t="e">
        <f t="shared" si="333"/>
        <v>#DIV/0!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t="e">
        <f t="shared" si="326"/>
        <v>#DIV/0!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t="e">
        <f>ROUND($AY$6*AZ585/$AZ$5,2)</f>
        <v>#DIV/0!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t="e">
        <f t="shared" si="326"/>
        <v>#DIV/0!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t="e">
        <f>ROUND($AY$6*AZ586/$AZ$5,2)</f>
        <v>#DIV/0!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t="e">
        <f t="shared" si="326"/>
        <v>#DIV/0!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t="e">
        <f>ROUND($AY$6*AZ587/$AZ$5,2)</f>
        <v>#DIV/0!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L10" sqref="L1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34" t="s">
        <v>1940</v>
      </c>
      <c r="B2" s="3034"/>
      <c r="C2" s="3034"/>
      <c r="D2" s="970" t="s">
        <v>1916</v>
      </c>
      <c r="E2" s="2231" t="s">
        <v>1917</v>
      </c>
      <c r="F2" s="1395"/>
      <c r="G2" s="2232"/>
      <c r="H2" s="2233"/>
      <c r="I2" s="2234" t="s">
        <v>1941</v>
      </c>
      <c r="J2" s="1395"/>
      <c r="K2" s="1395"/>
      <c r="L2" s="1395"/>
      <c r="M2" s="1395"/>
      <c r="N2" s="1430"/>
      <c r="O2" s="1395"/>
      <c r="P2" s="1395"/>
    </row>
    <row r="3" spans="1:16" ht="15.75" thickBot="1">
      <c r="A3" s="3035" t="s">
        <v>1914</v>
      </c>
      <c r="B3" s="3035"/>
      <c r="C3" s="3035"/>
      <c r="D3" s="46" t="e">
        <f>'数据-基础表'!AY6</f>
        <v>#DIV/0!</v>
      </c>
      <c r="E3" s="46">
        <f>'数据-基础表'!AZ5</f>
        <v>0</v>
      </c>
      <c r="F3" s="1395"/>
      <c r="G3" s="1402"/>
      <c r="H3" s="1250" t="s">
        <v>1915</v>
      </c>
      <c r="I3" s="55">
        <f>ROUND('数据-基础表'!B3/'数据-基础表'!A3,2)</f>
        <v>0</v>
      </c>
      <c r="J3" s="1395"/>
      <c r="K3" s="1395"/>
      <c r="L3" s="1395"/>
      <c r="M3" s="1395"/>
      <c r="N3" s="1430"/>
      <c r="O3" s="1395"/>
      <c r="P3" s="1395"/>
    </row>
    <row r="4" spans="1:16" ht="15">
      <c r="A4" s="3036"/>
      <c r="B4" s="3037"/>
      <c r="C4" s="3038"/>
      <c r="D4" s="2235" t="s">
        <v>1916</v>
      </c>
      <c r="E4" s="2236" t="s">
        <v>1917</v>
      </c>
      <c r="F4" s="1395"/>
      <c r="G4" s="2237" t="s">
        <v>1942</v>
      </c>
      <c r="H4" s="1250" t="s">
        <v>1922</v>
      </c>
      <c r="I4" s="55">
        <f>ROUND(SUMIF('数据-基础表'!I9:AS9,"地上",'数据-基础表'!I5:AS5)/'数据-基础表'!A3,2)</f>
        <v>0</v>
      </c>
      <c r="J4" s="1395"/>
      <c r="K4" s="1395"/>
      <c r="L4" s="1395"/>
      <c r="M4" s="1395"/>
      <c r="N4" s="1430"/>
      <c r="O4" s="1395"/>
      <c r="P4" s="1395"/>
    </row>
    <row r="5" spans="1:16">
      <c r="A5" s="47" t="s">
        <v>1918</v>
      </c>
      <c r="B5" s="3039" t="s">
        <v>1919</v>
      </c>
      <c r="C5" s="3039"/>
      <c r="D5" s="48" t="e">
        <f>ROUND($D$3*E5/$E$3,2)</f>
        <v>#DIV/0!</v>
      </c>
      <c r="E5" s="49">
        <f>SUMIF('数据-基础表'!$11:$11,"住宅",'数据-基础表'!$5:$5)</f>
        <v>0</v>
      </c>
      <c r="F5" s="1395"/>
      <c r="G5" s="1402"/>
      <c r="H5" s="1250" t="s">
        <v>1915</v>
      </c>
      <c r="I5" s="55" t="e">
        <f>ROUND(E31/D31,2)</f>
        <v>#DIV/0!</v>
      </c>
      <c r="J5" s="1395"/>
      <c r="K5" s="1395"/>
      <c r="L5" s="1395"/>
      <c r="M5" s="1395"/>
      <c r="N5" s="1395"/>
      <c r="O5" s="1395"/>
      <c r="P5" s="1395"/>
    </row>
    <row r="6" spans="1:16" ht="15" thickBot="1">
      <c r="A6" s="2238"/>
      <c r="B6" s="3039" t="s">
        <v>1920</v>
      </c>
      <c r="C6" s="3039"/>
      <c r="D6" s="48" t="e">
        <f>ROUND($D$3*E6/$E$3,2)</f>
        <v>#DIV/0!</v>
      </c>
      <c r="E6" s="49">
        <f>E3-E5</f>
        <v>0</v>
      </c>
      <c r="F6" s="1395"/>
      <c r="G6" s="2239" t="s">
        <v>1921</v>
      </c>
      <c r="H6" s="1402" t="s">
        <v>1922</v>
      </c>
      <c r="I6" s="942" t="e">
        <f>ROUND(F31/D31,2)</f>
        <v>#DIV/0!</v>
      </c>
      <c r="J6" s="1395"/>
      <c r="K6" s="1395"/>
      <c r="L6" s="1395"/>
      <c r="M6" s="1395"/>
      <c r="N6" s="1395"/>
      <c r="O6" s="1395"/>
      <c r="P6" s="1395"/>
    </row>
    <row r="7" spans="1:16" ht="15">
      <c r="A7" s="3031"/>
      <c r="B7" s="3032"/>
      <c r="C7" s="3033"/>
      <c r="D7" s="2235" t="s">
        <v>1916</v>
      </c>
      <c r="E7" s="2240" t="s">
        <v>1923</v>
      </c>
      <c r="F7" s="1395"/>
      <c r="G7" s="2232" t="s">
        <v>1924</v>
      </c>
      <c r="H7" s="64"/>
      <c r="I7" s="420">
        <v>2.5</v>
      </c>
      <c r="J7" s="1395"/>
      <c r="K7" s="1395"/>
      <c r="L7" s="1395"/>
      <c r="M7" s="1395"/>
      <c r="N7" s="1395"/>
      <c r="O7" s="1395"/>
      <c r="P7" s="1395"/>
    </row>
    <row r="8" spans="1:16">
      <c r="A8" s="47" t="s">
        <v>1925</v>
      </c>
      <c r="B8" s="50" t="s">
        <v>1926</v>
      </c>
      <c r="C8" s="48" t="s">
        <v>1927</v>
      </c>
      <c r="D8" s="48" t="e">
        <f t="shared" ref="D8:D15" si="0">ROUND($D$3*E8/$E$3,2)</f>
        <v>#DIV/0!</v>
      </c>
      <c r="E8" s="51">
        <f>SUMIF('数据-基础表'!BB10:BK10,"地上",'数据-基础表'!BB5:BK5)</f>
        <v>0</v>
      </c>
      <c r="F8" s="1395"/>
      <c r="G8" s="2241"/>
      <c r="H8" s="2241"/>
      <c r="I8" s="1395"/>
      <c r="J8" s="1395"/>
      <c r="K8" s="1395"/>
      <c r="L8" s="1395"/>
      <c r="M8" s="1395"/>
      <c r="N8" s="1395"/>
      <c r="O8" s="1395"/>
      <c r="P8" s="1395"/>
    </row>
    <row r="9" spans="1:16">
      <c r="A9" s="2242"/>
      <c r="B9" s="2243"/>
      <c r="C9" s="48" t="s">
        <v>1928</v>
      </c>
      <c r="D9" s="48" t="e">
        <f t="shared" si="0"/>
        <v>#DIV/0!</v>
      </c>
      <c r="E9" s="52">
        <v>0</v>
      </c>
      <c r="F9" s="1395"/>
      <c r="G9" s="2241"/>
      <c r="H9" s="2241"/>
      <c r="I9" s="1395"/>
      <c r="J9" s="1395"/>
      <c r="K9" s="1395"/>
      <c r="L9" s="1395"/>
      <c r="M9" s="1395"/>
      <c r="N9" s="1395"/>
      <c r="O9" s="1395"/>
      <c r="P9" s="1395"/>
    </row>
    <row r="10" spans="1:16">
      <c r="A10" s="2242"/>
      <c r="B10" s="2243"/>
      <c r="C10" s="48" t="s">
        <v>1937</v>
      </c>
      <c r="D10" s="48" t="e">
        <f t="shared" si="0"/>
        <v>#DIV/0!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t="e">
        <f t="shared" si="0"/>
        <v>#DIV/0!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t="e">
        <f t="shared" si="0"/>
        <v>#DIV/0!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t="e">
        <f t="shared" si="0"/>
        <v>#DIV/0!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t="e">
        <f t="shared" si="0"/>
        <v>#DIV/0!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t="e">
        <f t="shared" si="0"/>
        <v>#DIV/0!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t="e">
        <f>SUM(D8:D15)</f>
        <v>#DIV/0!</v>
      </c>
      <c r="E16" s="53">
        <f>SUM(E8:E15)</f>
        <v>0</v>
      </c>
      <c r="F16" s="1395"/>
      <c r="G16" s="2241"/>
      <c r="H16" s="2244" t="s">
        <v>1944</v>
      </c>
      <c r="I16" s="2245"/>
      <c r="J16" s="1395"/>
      <c r="K16" s="3028" t="s">
        <v>1944</v>
      </c>
      <c r="L16" s="3029"/>
      <c r="M16" s="3029"/>
      <c r="N16" s="3029"/>
      <c r="O16" s="3029"/>
      <c r="P16" s="3030"/>
    </row>
    <row r="17" spans="1:19" ht="15">
      <c r="A17" s="2246" t="s">
        <v>1945</v>
      </c>
      <c r="B17" s="2247" t="s">
        <v>1946</v>
      </c>
      <c r="C17" s="2248" t="s">
        <v>1947</v>
      </c>
      <c r="D17" s="2249" t="s">
        <v>1935</v>
      </c>
      <c r="E17" s="2250" t="s">
        <v>1936</v>
      </c>
      <c r="F17" s="2251"/>
      <c r="G17" s="2252"/>
      <c r="H17" s="2253" t="s">
        <v>1948</v>
      </c>
      <c r="I17" s="2254" t="s">
        <v>1933</v>
      </c>
      <c r="J17" s="1395"/>
      <c r="K17" s="3025" t="s">
        <v>1949</v>
      </c>
      <c r="L17" s="3026"/>
      <c r="M17" s="3027"/>
      <c r="N17" s="3025" t="s">
        <v>1950</v>
      </c>
      <c r="O17" s="3026"/>
      <c r="P17" s="3027"/>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264"/>
      <c r="D19" s="48" t="e">
        <f>ROUND($D$3*E19/$E$3,2)</f>
        <v>#DIV/0!</v>
      </c>
      <c r="E19" s="56">
        <f t="shared" ref="E19:E26" si="1">SUM(F19:G19)</f>
        <v>0</v>
      </c>
      <c r="F19" s="57"/>
      <c r="G19" s="58"/>
      <c r="H19" s="723" t="e">
        <f>ROUND($D$3*I19/$E$3,2)</f>
        <v>#DIV/0!</v>
      </c>
      <c r="I19" s="51" t="e">
        <f t="shared" ref="I19:I26" si="2">IF($I$17="自定义",P19,M19)</f>
        <v>#DIV/0!</v>
      </c>
      <c r="J19" s="1395"/>
      <c r="K19" s="1394" t="e">
        <f t="shared" ref="K19:K26" si="3">ROUND(E$28*E19/E$27,2)</f>
        <v>#DIV/0!</v>
      </c>
      <c r="L19" s="1250">
        <f t="shared" ref="L19:L26" si="4">ROUND(IF(COUNTIF(C19,"*住宅*")&gt;0,E$29*E19/E$32,0),2)</f>
        <v>0</v>
      </c>
      <c r="M19" s="1406" t="e">
        <f>K19+L19</f>
        <v>#DIV/0!</v>
      </c>
      <c r="N19" s="2265"/>
      <c r="O19" s="2266"/>
      <c r="P19" s="1406">
        <f>N19+O19</f>
        <v>0</v>
      </c>
      <c r="R19" s="1250" t="e">
        <f t="shared" ref="R19:S26" si="5">D19+H19</f>
        <v>#DIV/0!</v>
      </c>
      <c r="S19" s="1251" t="e">
        <f t="shared" si="5"/>
        <v>#DIV/0!</v>
      </c>
    </row>
    <row r="20" spans="1:19">
      <c r="A20" s="2267"/>
      <c r="B20" s="50" t="s">
        <v>1962</v>
      </c>
      <c r="C20" s="2264"/>
      <c r="D20" s="48" t="e">
        <f t="shared" ref="D20:D26" si="6">ROUND($D$3*E20/$E$3,2)</f>
        <v>#DIV/0!</v>
      </c>
      <c r="E20" s="56">
        <f t="shared" si="1"/>
        <v>0</v>
      </c>
      <c r="F20" s="57"/>
      <c r="G20" s="58"/>
      <c r="H20" s="723" t="e">
        <f t="shared" ref="H20:H26" si="7">ROUND($D$3*I20/$E$3,2)</f>
        <v>#DIV/0!</v>
      </c>
      <c r="I20" s="51" t="e">
        <f t="shared" si="2"/>
        <v>#DIV/0!</v>
      </c>
      <c r="J20" s="1395"/>
      <c r="K20" s="1394" t="e">
        <f t="shared" si="3"/>
        <v>#DIV/0!</v>
      </c>
      <c r="L20" s="1250">
        <f t="shared" si="4"/>
        <v>0</v>
      </c>
      <c r="M20" s="1406" t="e">
        <f t="shared" ref="M20:M26" si="8">K20+L20</f>
        <v>#DIV/0!</v>
      </c>
      <c r="N20" s="2265"/>
      <c r="O20" s="2266"/>
      <c r="P20" s="1406">
        <f t="shared" ref="P20:P26" si="9">N20+O20</f>
        <v>0</v>
      </c>
      <c r="R20" s="1250" t="e">
        <f t="shared" si="5"/>
        <v>#DIV/0!</v>
      </c>
      <c r="S20" s="1251" t="e">
        <f t="shared" si="5"/>
        <v>#DIV/0!</v>
      </c>
    </row>
    <row r="21" spans="1:19">
      <c r="A21" s="2267"/>
      <c r="B21" s="50" t="s">
        <v>1962</v>
      </c>
      <c r="C21" s="2264"/>
      <c r="D21" s="48" t="e">
        <f t="shared" si="6"/>
        <v>#DIV/0!</v>
      </c>
      <c r="E21" s="56">
        <f t="shared" si="1"/>
        <v>0</v>
      </c>
      <c r="F21" s="57"/>
      <c r="G21" s="58"/>
      <c r="H21" s="723" t="e">
        <f t="shared" si="7"/>
        <v>#DIV/0!</v>
      </c>
      <c r="I21" s="51" t="e">
        <f t="shared" si="2"/>
        <v>#DIV/0!</v>
      </c>
      <c r="J21" s="1395"/>
      <c r="K21" s="1394" t="e">
        <f t="shared" si="3"/>
        <v>#DIV/0!</v>
      </c>
      <c r="L21" s="1250">
        <f t="shared" si="4"/>
        <v>0</v>
      </c>
      <c r="M21" s="1406" t="e">
        <f t="shared" si="8"/>
        <v>#DIV/0!</v>
      </c>
      <c r="N21" s="2265"/>
      <c r="O21" s="2266"/>
      <c r="P21" s="1406">
        <f t="shared" si="9"/>
        <v>0</v>
      </c>
      <c r="R21" s="1250" t="e">
        <f t="shared" si="5"/>
        <v>#DIV/0!</v>
      </c>
      <c r="S21" s="1251" t="e">
        <f t="shared" si="5"/>
        <v>#DIV/0!</v>
      </c>
    </row>
    <row r="22" spans="1:19">
      <c r="A22" s="2267"/>
      <c r="B22" s="50" t="s">
        <v>1962</v>
      </c>
      <c r="C22" s="60"/>
      <c r="D22" s="48" t="e">
        <f t="shared" si="6"/>
        <v>#DIV/0!</v>
      </c>
      <c r="E22" s="56">
        <f t="shared" si="1"/>
        <v>0</v>
      </c>
      <c r="F22" s="61"/>
      <c r="G22" s="62"/>
      <c r="H22" s="723" t="e">
        <f t="shared" si="7"/>
        <v>#DIV/0!</v>
      </c>
      <c r="I22" s="51" t="e">
        <f t="shared" si="2"/>
        <v>#DIV/0!</v>
      </c>
      <c r="J22" s="1395"/>
      <c r="K22" s="1394" t="e">
        <f t="shared" si="3"/>
        <v>#DIV/0!</v>
      </c>
      <c r="L22" s="1250">
        <f t="shared" si="4"/>
        <v>0</v>
      </c>
      <c r="M22" s="1406" t="e">
        <f t="shared" si="8"/>
        <v>#DIV/0!</v>
      </c>
      <c r="N22" s="2265"/>
      <c r="O22" s="2266"/>
      <c r="P22" s="1406">
        <f t="shared" si="9"/>
        <v>0</v>
      </c>
      <c r="R22" s="1250" t="e">
        <f t="shared" si="5"/>
        <v>#DIV/0!</v>
      </c>
      <c r="S22" s="1251" t="e">
        <f t="shared" si="5"/>
        <v>#DIV/0!</v>
      </c>
    </row>
    <row r="23" spans="1:19">
      <c r="A23" s="2267"/>
      <c r="B23" s="50" t="s">
        <v>1962</v>
      </c>
      <c r="C23" s="60"/>
      <c r="D23" s="48" t="e">
        <f>ROUND($D$3*E23/$E$3,2)</f>
        <v>#DIV/0!</v>
      </c>
      <c r="E23" s="56">
        <f>SUM(F23:G23)</f>
        <v>0</v>
      </c>
      <c r="F23" s="61"/>
      <c r="G23" s="62"/>
      <c r="H23" s="723" t="e">
        <f>ROUND($D$3*I23/$E$3,2)</f>
        <v>#DIV/0!</v>
      </c>
      <c r="I23" s="51" t="e">
        <f t="shared" si="2"/>
        <v>#DIV/0!</v>
      </c>
      <c r="J23" s="1395"/>
      <c r="K23" s="1394" t="e">
        <f t="shared" si="3"/>
        <v>#DIV/0!</v>
      </c>
      <c r="L23" s="1250">
        <f t="shared" si="4"/>
        <v>0</v>
      </c>
      <c r="M23" s="1406" t="e">
        <f t="shared" si="8"/>
        <v>#DIV/0!</v>
      </c>
      <c r="N23" s="2265"/>
      <c r="O23" s="2266"/>
      <c r="P23" s="1406">
        <f t="shared" si="9"/>
        <v>0</v>
      </c>
      <c r="R23" s="1250" t="e">
        <f t="shared" si="5"/>
        <v>#DIV/0!</v>
      </c>
      <c r="S23" s="1251" t="e">
        <f t="shared" si="5"/>
        <v>#DIV/0!</v>
      </c>
    </row>
    <row r="24" spans="1:19">
      <c r="A24" s="2267"/>
      <c r="B24" s="50" t="s">
        <v>1962</v>
      </c>
      <c r="C24" s="60"/>
      <c r="D24" s="48" t="e">
        <f>ROUND($D$3*E24/$E$3,2)</f>
        <v>#DIV/0!</v>
      </c>
      <c r="E24" s="56">
        <f>SUM(F24:G24)</f>
        <v>0</v>
      </c>
      <c r="F24" s="61"/>
      <c r="G24" s="62"/>
      <c r="H24" s="723" t="e">
        <f>ROUND($D$3*I24/$E$3,2)</f>
        <v>#DIV/0!</v>
      </c>
      <c r="I24" s="51" t="e">
        <f t="shared" si="2"/>
        <v>#DIV/0!</v>
      </c>
      <c r="J24" s="1395"/>
      <c r="K24" s="1394" t="e">
        <f t="shared" si="3"/>
        <v>#DIV/0!</v>
      </c>
      <c r="L24" s="1250">
        <f t="shared" si="4"/>
        <v>0</v>
      </c>
      <c r="M24" s="1406" t="e">
        <f t="shared" si="8"/>
        <v>#DIV/0!</v>
      </c>
      <c r="N24" s="2265"/>
      <c r="O24" s="2266"/>
      <c r="P24" s="1406">
        <f t="shared" si="9"/>
        <v>0</v>
      </c>
      <c r="R24" s="1250" t="e">
        <f t="shared" si="5"/>
        <v>#DIV/0!</v>
      </c>
      <c r="S24" s="1251" t="e">
        <f t="shared" si="5"/>
        <v>#DIV/0!</v>
      </c>
    </row>
    <row r="25" spans="1:19">
      <c r="A25" s="2267"/>
      <c r="B25" s="50" t="s">
        <v>1962</v>
      </c>
      <c r="C25" s="60"/>
      <c r="D25" s="48" t="e">
        <f t="shared" si="6"/>
        <v>#DIV/0!</v>
      </c>
      <c r="E25" s="56">
        <f t="shared" si="1"/>
        <v>0</v>
      </c>
      <c r="F25" s="61"/>
      <c r="G25" s="62"/>
      <c r="H25" s="47" t="e">
        <f t="shared" si="7"/>
        <v>#DIV/0!</v>
      </c>
      <c r="I25" s="51" t="e">
        <f t="shared" si="2"/>
        <v>#DIV/0!</v>
      </c>
      <c r="J25" s="1395"/>
      <c r="K25" s="1394" t="e">
        <f t="shared" si="3"/>
        <v>#DIV/0!</v>
      </c>
      <c r="L25" s="1250">
        <f t="shared" si="4"/>
        <v>0</v>
      </c>
      <c r="M25" s="1406" t="e">
        <f t="shared" si="8"/>
        <v>#DIV/0!</v>
      </c>
      <c r="N25" s="2265"/>
      <c r="O25" s="2266"/>
      <c r="P25" s="1406">
        <f t="shared" si="9"/>
        <v>0</v>
      </c>
      <c r="R25" s="1250" t="e">
        <f t="shared" si="5"/>
        <v>#DIV/0!</v>
      </c>
      <c r="S25" s="1251" t="e">
        <f t="shared" si="5"/>
        <v>#DIV/0!</v>
      </c>
    </row>
    <row r="26" spans="1:19">
      <c r="A26" s="2267"/>
      <c r="B26" s="50" t="s">
        <v>1962</v>
      </c>
      <c r="C26" s="63"/>
      <c r="D26" s="48" t="e">
        <f t="shared" si="6"/>
        <v>#DIV/0!</v>
      </c>
      <c r="E26" s="56">
        <f t="shared" si="1"/>
        <v>0</v>
      </c>
      <c r="F26" s="61"/>
      <c r="G26" s="62"/>
      <c r="H26" s="47" t="e">
        <f t="shared" si="7"/>
        <v>#DIV/0!</v>
      </c>
      <c r="I26" s="51" t="e">
        <f t="shared" si="2"/>
        <v>#DIV/0!</v>
      </c>
      <c r="J26" s="1395"/>
      <c r="K26" s="1401" t="e">
        <f t="shared" si="3"/>
        <v>#DIV/0!</v>
      </c>
      <c r="L26" s="1402">
        <f t="shared" si="4"/>
        <v>0</v>
      </c>
      <c r="M26" s="67" t="e">
        <f t="shared" si="8"/>
        <v>#DIV/0!</v>
      </c>
      <c r="N26" s="2268"/>
      <c r="O26" s="2269"/>
      <c r="P26" s="67">
        <f t="shared" si="9"/>
        <v>0</v>
      </c>
      <c r="R26" s="1250" t="e">
        <f t="shared" si="5"/>
        <v>#DIV/0!</v>
      </c>
      <c r="S26" s="1251" t="e">
        <f t="shared" si="5"/>
        <v>#DIV/0!</v>
      </c>
    </row>
    <row r="27" spans="1:19" ht="15.75" thickBot="1">
      <c r="A27" s="2267"/>
      <c r="B27" s="48"/>
      <c r="C27" s="2270" t="s">
        <v>1963</v>
      </c>
      <c r="D27" s="1396" t="e">
        <f>SUM(D19:D26)</f>
        <v>#DIV/0!</v>
      </c>
      <c r="E27" s="1397">
        <f>IF(SUM(E19:E26)='数据-基础表'!BA5,SUM(E19:E26),IF(F27="地上面积有误","面积有误","地下面积有误"))</f>
        <v>0</v>
      </c>
      <c r="F27" s="1396">
        <f>IF(SUM(F19:F26)=E8,SUM(F19:F26),"地上面积有误")</f>
        <v>0</v>
      </c>
      <c r="G27" s="1398">
        <f>SUM(G19:G26)</f>
        <v>0</v>
      </c>
      <c r="H27" s="1399" t="e">
        <f>SUM(H19:H26)</f>
        <v>#DIV/0!</v>
      </c>
      <c r="I27" s="1400" t="e">
        <f>SUM(I19:I26)</f>
        <v>#DIV/0!</v>
      </c>
      <c r="J27" s="1395"/>
      <c r="K27" s="1403" t="e">
        <f>SUM(K19:K26)</f>
        <v>#DIV/0!</v>
      </c>
      <c r="L27" s="1404">
        <f>SUM(L19:L26)</f>
        <v>0</v>
      </c>
      <c r="M27" s="1407" t="e">
        <f>SUM(M19:M26)</f>
        <v>#DIV/0!</v>
      </c>
      <c r="N27" s="1403">
        <f t="shared" ref="N27:O27" si="10">SUM(N19:N26)</f>
        <v>0</v>
      </c>
      <c r="O27" s="1404">
        <f t="shared" si="10"/>
        <v>0</v>
      </c>
      <c r="P27" s="1405">
        <f>SUM(P19:P26)</f>
        <v>0</v>
      </c>
      <c r="R27" s="1252" t="e">
        <f>IF(SUM(R19:R26)=$D$3,SUM(R19:R26),SUM(R19:R26)&amp;"误差"&amp;ROUND(SUM(R19:R26)-$D$3,2))</f>
        <v>#DIV/0!</v>
      </c>
      <c r="S27" s="1250" t="e">
        <f>IF(SUM(S19:S26)=$E$3,SUM(S19:S26),SUM(S19:S26)&amp;"误差"&amp;ROUND(SUM(S19:S26)-E3,2))</f>
        <v>#DIV/0!</v>
      </c>
    </row>
    <row r="28" spans="1:19">
      <c r="A28" s="2267"/>
      <c r="B28" s="50" t="s">
        <v>1964</v>
      </c>
      <c r="C28" s="1262" t="s">
        <v>1965</v>
      </c>
      <c r="D28" s="48" t="e">
        <f>ROUND($D$3*E28/$E$3,2)</f>
        <v>#DIV/0!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t="e">
        <f>ROUND($D$3*E29/$E$3,2)</f>
        <v>#DIV/0!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t="e">
        <f>SUM(D28:D29)</f>
        <v>#DIV/0!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t="e">
        <f>D27+D30</f>
        <v>#DIV/0!</v>
      </c>
      <c r="E31" s="729">
        <f>E27+E30</f>
        <v>0</v>
      </c>
      <c r="F31" s="730">
        <f>F27+F30</f>
        <v>0</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43307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1990</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f>'数据-汇总表'!C19</f>
        <v>0</v>
      </c>
      <c r="B6" s="2311" t="str">
        <f>IF(A6=0,"","经营性")</f>
        <v/>
      </c>
      <c r="C6" s="2312" t="s">
        <v>1377</v>
      </c>
      <c r="D6" s="1054">
        <f>SUMIF(项目基本情况!D$12:I$12,C6,项目基本情况!D$14:I$14)</f>
        <v>40</v>
      </c>
      <c r="E6" s="1051" t="str">
        <f>IF(B6="","",SUMIF(项目基本情况!D$12:I$12,C6,项目基本情况!D$13:I$13))</f>
        <v/>
      </c>
      <c r="F6" s="72">
        <f>SUMIF(项目基本情况!D$12:I$12,C6,项目基本情况!D$15:I$15)</f>
        <v>40</v>
      </c>
      <c r="G6" s="73">
        <f>IF(ISERROR(ROUND(POWER(1+H6,D6-F6)*(POWER(1+H6,F6)-1)/(POWER(1+H6,D6)-1),3)),0,ROUND(POWER(1+H6,D6-F6)*(POWER(1+H6,F6)-1)/(POWER(1+H6,D6)-1),3))</f>
        <v>0</v>
      </c>
      <c r="H6" s="802"/>
      <c r="I6" s="802"/>
      <c r="J6" s="74"/>
      <c r="K6" s="1254">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3"/>
      <c r="AO6" s="55" t="e">
        <f ca="1">SUMIF(INDIRECT("'"&amp;AN6&amp;"'"&amp;"!A:A"),"总价",INDIRECT("'"&amp;AN6&amp;"'"&amp;"!B:B"))</f>
        <v>#REF!</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t="e">
        <f>ROUND(SUMPRODUCT(G6:G13,K6:K13)/SUMPRODUCT((G6:G13&gt;0)*(K6:K13)),3)</f>
        <v>#DIV/0!</v>
      </c>
      <c r="H16" s="99" t="e">
        <f>ROUND(SUMPRODUCT(H6:H13,K6:K13)/SUMPRODUCT((H6:H13&gt;0)*(K6:K13)),3)</f>
        <v>#DIV/0!</v>
      </c>
      <c r="I16" s="100"/>
      <c r="J16" s="100"/>
      <c r="K16" s="101">
        <f>SUM(K6:K15)</f>
        <v>0</v>
      </c>
      <c r="L16" s="102" t="e">
        <f>ROUND(M16*10000/SUM(K6:K14),0)</f>
        <v>#DIV/0!</v>
      </c>
      <c r="M16" s="102">
        <f>SUM(M6:M14)</f>
        <v>0</v>
      </c>
      <c r="N16" s="103" t="e">
        <f>ROUND(SUMPRODUCT(M6:M14,N6:N14)/M16,3)</f>
        <v>#DIV/0!</v>
      </c>
      <c r="O16" s="102">
        <f>SUM(O6:O14)</f>
        <v>0</v>
      </c>
      <c r="P16" s="102">
        <f>SUM(P6:P14)</f>
        <v>0</v>
      </c>
      <c r="Q16" s="104" t="e">
        <f>ROUND(SUMPRODUCT(Q6:Q13,K6:K13)/SUMPRODUCT((Q6:Q13&gt;0)*(K6:K13)),2)</f>
        <v>#DIV/0!</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c r="C19" s="2281" t="s">
        <v>2022</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0</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0</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t="e">
        <f ca="1">存贷款利率!G1</f>
        <v>#VALUE!</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0</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c r="C42" s="2335">
        <f>IF(B2&lt;DATE(2016,5,1),0,B42)</f>
        <v>0</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0</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0" t="s">
        <v>2086</v>
      </c>
      <c r="B1" s="3041"/>
      <c r="C1" s="3041"/>
      <c r="D1" s="3041"/>
      <c r="E1" s="3041"/>
      <c r="F1" s="3041"/>
      <c r="G1" s="304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0</v>
      </c>
      <c r="C1" s="1745"/>
      <c r="D1" s="1745"/>
      <c r="E1" s="1745"/>
      <c r="F1" s="1745"/>
      <c r="G1" s="1743"/>
    </row>
    <row r="2" spans="1:10" ht="16.5">
      <c r="A2" s="1746" t="s">
        <v>1353</v>
      </c>
      <c r="B2" s="1746" t="e">
        <f>SUM(C14:C23)</f>
        <v>#DIV/0!</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t="e">
        <f ca="1">SUM(D14:D23)</f>
        <v>#REF!</v>
      </c>
      <c r="C5" s="1746" t="e">
        <f ca="1">ROUND(B5*10000/$B$1,0)</f>
        <v>#REF!</v>
      </c>
      <c r="D5" s="1746" t="e">
        <f ca="1">ROUND(B5*10000/$B$2,0)</f>
        <v>#REF!</v>
      </c>
      <c r="E5" s="1745"/>
      <c r="F5" s="1743"/>
      <c r="G5" s="1743"/>
    </row>
    <row r="6" spans="1:10" ht="16.5">
      <c r="A6" s="1746" t="s">
        <v>1356</v>
      </c>
      <c r="B6" s="1746" t="e">
        <f ca="1">SUM(G14:G23)</f>
        <v>#REF!</v>
      </c>
      <c r="C6" s="1746" t="e">
        <f ca="1">ROUND(B6*10000/$B$1,0)</f>
        <v>#REF!</v>
      </c>
      <c r="D6" s="1746" t="e">
        <f ca="1">ROUND(B6*10000/$B$2,0)</f>
        <v>#REF!</v>
      </c>
      <c r="E6" s="1745"/>
      <c r="F6" s="1743"/>
      <c r="G6" s="1743"/>
    </row>
    <row r="7" spans="1:10" ht="16.5">
      <c r="A7" s="1746" t="s">
        <v>1364</v>
      </c>
      <c r="B7" s="1746">
        <f>SUM(H14:H23)</f>
        <v>0</v>
      </c>
      <c r="C7" s="1746" t="e">
        <f>ROUND(B7*10000/$B$1,0)</f>
        <v>#DIV/0!</v>
      </c>
      <c r="D7" s="1746" t="e">
        <f>ROUND(B7*10000/$B$2,0)</f>
        <v>#DIV/0!</v>
      </c>
      <c r="E7" s="1745"/>
      <c r="F7" s="1743"/>
      <c r="G7" s="1743"/>
    </row>
    <row r="8" spans="1:10" ht="16.5">
      <c r="A8" s="1746" t="s">
        <v>1285</v>
      </c>
      <c r="B8" s="1746">
        <f>SUM(I14:I23)</f>
        <v>0</v>
      </c>
      <c r="C8" s="1746" t="e">
        <f>ROUND(B8*10000/$B$1,0)</f>
        <v>#DIV/0!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0</v>
      </c>
      <c r="C14" s="1744" t="e">
        <f>结果表!C118</f>
        <v>#DIV/0!</v>
      </c>
      <c r="D14" s="1744" t="e">
        <f ca="1">结果表!H118</f>
        <v>#REF!</v>
      </c>
      <c r="E14" s="1744" t="e">
        <f ca="1">ROUND(D14*10000/B14,0)</f>
        <v>#REF!</v>
      </c>
      <c r="F14" s="1744" t="e">
        <f ca="1">ROUND(D14*10000/C14,0)</f>
        <v>#REF!</v>
      </c>
      <c r="G14" s="1744" t="e">
        <f ca="1">结果表!D122</f>
        <v>#REF!</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A30" sqref="A30:D3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row>
    <row r="2" spans="1:12" ht="21.75" customHeight="1" thickBot="1">
      <c r="A2" s="3114" t="str">
        <f>项目基本情况!S2</f>
        <v>出让国有建设用地使用权及在建建筑物房地产</v>
      </c>
      <c r="B2" s="3115"/>
      <c r="C2" s="3115"/>
      <c r="D2" s="3115"/>
      <c r="E2" s="3115"/>
      <c r="F2" s="3115"/>
      <c r="G2" s="3115"/>
      <c r="H2" s="3115"/>
      <c r="I2" s="3116"/>
    </row>
    <row r="3" spans="1:12" ht="12.75">
      <c r="A3" s="3117" t="s">
        <v>2126</v>
      </c>
      <c r="B3" s="3118"/>
      <c r="C3" s="3118"/>
      <c r="D3" s="3118"/>
      <c r="E3" s="3118"/>
      <c r="F3" s="3118"/>
      <c r="G3" s="3118"/>
      <c r="H3" s="3118"/>
      <c r="I3" s="3118"/>
    </row>
    <row r="4" spans="1:12" ht="14.25">
      <c r="A4" s="2430" t="s">
        <v>2127</v>
      </c>
      <c r="B4" s="2431" t="s">
        <v>2128</v>
      </c>
      <c r="C4" s="2432"/>
      <c r="D4" s="2432"/>
      <c r="E4" s="3098" t="s">
        <v>2129</v>
      </c>
      <c r="F4" s="3111"/>
      <c r="G4" s="3111"/>
      <c r="H4" s="3111"/>
      <c r="I4" s="3099"/>
      <c r="K4" s="2433" t="str">
        <f>IF(ISNUMBER(FIND("比较法",结果表!C4)),"比较法",IF(ISNUMBER(FIND("成本法",结果表!C4)),"成本法",IF(ISNUMBER(FIND("假设开发法",结果表!C4)),"假设开发法",IF(ISNUMBER(FIND("收益法",结果表!C4)),"收益法","基准地价系数修正法"))))</f>
        <v>基准地价系数修正法</v>
      </c>
      <c r="L4" s="243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9" t="s">
        <v>2130</v>
      </c>
      <c r="B5" s="3015">
        <v>25</v>
      </c>
      <c r="C5" s="3119"/>
      <c r="D5" s="3107"/>
      <c r="E5" s="140" t="s">
        <v>2131</v>
      </c>
      <c r="F5" s="2434"/>
      <c r="G5" s="2434"/>
      <c r="H5" s="2434"/>
      <c r="I5" s="1834"/>
    </row>
    <row r="6" spans="1:12" ht="12.75">
      <c r="A6" s="3089"/>
      <c r="B6" s="3015"/>
      <c r="C6" s="3121"/>
      <c r="D6" s="3107"/>
      <c r="E6" s="140" t="s">
        <v>2132</v>
      </c>
      <c r="F6" s="2434"/>
      <c r="G6" s="2434"/>
      <c r="H6" s="2434"/>
      <c r="I6" s="1834"/>
    </row>
    <row r="7" spans="1:12" ht="12.75">
      <c r="A7" s="3089"/>
      <c r="B7" s="3015"/>
      <c r="C7" s="3120"/>
      <c r="D7" s="3107"/>
      <c r="E7" s="140" t="s">
        <v>2133</v>
      </c>
      <c r="F7" s="2434"/>
      <c r="G7" s="2434"/>
      <c r="H7" s="2434"/>
      <c r="I7" s="1834"/>
    </row>
    <row r="8" spans="1:12" ht="12.75">
      <c r="A8" s="3089" t="s">
        <v>2134</v>
      </c>
      <c r="B8" s="3015">
        <v>15</v>
      </c>
      <c r="C8" s="3119"/>
      <c r="D8" s="3107"/>
      <c r="E8" s="140" t="s">
        <v>2135</v>
      </c>
      <c r="F8" s="2434"/>
      <c r="G8" s="2434"/>
      <c r="H8" s="2434"/>
      <c r="I8" s="1834"/>
    </row>
    <row r="9" spans="1:12" ht="12.75">
      <c r="A9" s="3089"/>
      <c r="B9" s="3015"/>
      <c r="C9" s="3120"/>
      <c r="D9" s="3107"/>
      <c r="E9" s="140" t="s">
        <v>2136</v>
      </c>
      <c r="F9" s="2434"/>
      <c r="G9" s="2434"/>
      <c r="H9" s="2434"/>
      <c r="I9" s="1834"/>
    </row>
    <row r="10" spans="1:12" ht="12.75">
      <c r="A10" s="3089" t="s">
        <v>2137</v>
      </c>
      <c r="B10" s="3015">
        <v>15</v>
      </c>
      <c r="C10" s="3119"/>
      <c r="D10" s="3107"/>
      <c r="E10" s="140" t="s">
        <v>2138</v>
      </c>
      <c r="F10" s="2434"/>
      <c r="G10" s="2434"/>
      <c r="H10" s="2434"/>
      <c r="I10" s="1834"/>
    </row>
    <row r="11" spans="1:12" ht="12.75">
      <c r="A11" s="3089"/>
      <c r="B11" s="3015"/>
      <c r="C11" s="3120"/>
      <c r="D11" s="3107"/>
      <c r="E11" s="140" t="s">
        <v>2139</v>
      </c>
      <c r="F11" s="2434"/>
      <c r="G11" s="2434"/>
      <c r="H11" s="2434"/>
      <c r="I11" s="1834"/>
    </row>
    <row r="12" spans="1:12" ht="12.75">
      <c r="A12" s="3089" t="s">
        <v>2140</v>
      </c>
      <c r="B12" s="3015">
        <v>15</v>
      </c>
      <c r="C12" s="3119"/>
      <c r="D12" s="3107"/>
      <c r="E12" s="140" t="s">
        <v>2141</v>
      </c>
      <c r="F12" s="2434"/>
      <c r="G12" s="2434"/>
      <c r="H12" s="2434"/>
      <c r="I12" s="1834"/>
    </row>
    <row r="13" spans="1:12" ht="12.75">
      <c r="A13" s="3089"/>
      <c r="B13" s="3015"/>
      <c r="C13" s="3120"/>
      <c r="D13" s="3107"/>
      <c r="E13" s="140" t="s">
        <v>2142</v>
      </c>
      <c r="F13" s="2434"/>
      <c r="G13" s="2434"/>
      <c r="H13" s="2434"/>
      <c r="I13" s="1834"/>
    </row>
    <row r="14" spans="1:12" ht="12.75">
      <c r="A14" s="3089" t="s">
        <v>2143</v>
      </c>
      <c r="B14" s="3015">
        <v>30</v>
      </c>
      <c r="C14" s="3119"/>
      <c r="D14" s="3107"/>
      <c r="E14" s="140" t="s">
        <v>2144</v>
      </c>
      <c r="F14" s="2434"/>
      <c r="G14" s="2434"/>
      <c r="H14" s="2434"/>
      <c r="I14" s="1834"/>
    </row>
    <row r="15" spans="1:12" ht="12.75">
      <c r="A15" s="3089"/>
      <c r="B15" s="3015"/>
      <c r="C15" s="3121"/>
      <c r="D15" s="3107"/>
      <c r="E15" s="140" t="s">
        <v>2145</v>
      </c>
      <c r="F15" s="2434"/>
      <c r="G15" s="2434"/>
      <c r="H15" s="2434"/>
      <c r="I15" s="1834"/>
    </row>
    <row r="16" spans="1:12" ht="12.75">
      <c r="A16" s="3089"/>
      <c r="B16" s="3015"/>
      <c r="C16" s="3120"/>
      <c r="D16" s="3107"/>
      <c r="E16" s="140" t="s">
        <v>2146</v>
      </c>
      <c r="F16" s="2434"/>
      <c r="G16" s="2434"/>
      <c r="H16" s="2434"/>
      <c r="I16" s="1834"/>
    </row>
    <row r="17" spans="1:35" ht="15">
      <c r="A17" s="2435" t="s">
        <v>2147</v>
      </c>
      <c r="B17" s="64"/>
      <c r="C17" s="141">
        <f>SUM(C5:C16)</f>
        <v>0</v>
      </c>
      <c r="D17" s="141">
        <f>SUM(D5:D16)</f>
        <v>0</v>
      </c>
      <c r="E17" s="138"/>
      <c r="F17" s="138"/>
      <c r="G17" s="138"/>
      <c r="H17" s="138"/>
      <c r="I17" s="138"/>
      <c r="K17" s="2433"/>
      <c r="L17" s="2436" t="s">
        <v>2148</v>
      </c>
      <c r="M17" s="2436" t="s">
        <v>2149</v>
      </c>
    </row>
    <row r="18" spans="1:35" ht="15.75" thickBot="1">
      <c r="A18" s="2437" t="s">
        <v>2150</v>
      </c>
      <c r="B18" s="2438"/>
      <c r="C18" s="142" t="e">
        <f>ROUND(C17/SUM(C17:D17),2)</f>
        <v>#DIV/0!</v>
      </c>
      <c r="D18" s="142" t="e">
        <f>1-C18</f>
        <v>#DIV/0!</v>
      </c>
      <c r="E18" s="138"/>
      <c r="F18" s="138"/>
      <c r="G18" s="138"/>
      <c r="H18" s="138"/>
      <c r="I18" s="138"/>
      <c r="K18" s="2433" t="s">
        <v>2151</v>
      </c>
      <c r="L18" s="2433">
        <f>IF(C1="",'数据-汇总表'!E3,SUMIF(项目类型,C1,'数据-汇总表'!E17:E26)+SUMIF(项目类型,C1,'数据-汇总表'!I17:I26))</f>
        <v>0</v>
      </c>
      <c r="M18" s="2433">
        <f>IF(C1="",'数据-汇总表'!E3,SUMIF(项目类型,C1,'数据-汇总表'!E17:E26))</f>
        <v>0</v>
      </c>
    </row>
    <row r="19" spans="1:35" ht="15">
      <c r="A19" s="2439" t="s">
        <v>2152</v>
      </c>
      <c r="B19" s="2440" t="s">
        <v>2153</v>
      </c>
      <c r="C19" s="143" t="e">
        <f ca="1">SUMIF(INDIRECT("'"&amp;C4&amp;"'"&amp;"!A:A"),结果表!B19,INDIRECT("'"&amp;C4&amp;"'"&amp;"!B:B"))</f>
        <v>#REF!</v>
      </c>
      <c r="D19" s="144" t="e">
        <f ca="1">SUMIF(INDIRECT("'"&amp;D4&amp;"'"&amp;"!A:A"),结果表!B19,INDIRECT("'"&amp;D4&amp;"'"&amp;"!B:B"))</f>
        <v>#REF!</v>
      </c>
      <c r="E19" s="2439" t="s">
        <v>2154</v>
      </c>
      <c r="F19" s="2440" t="s">
        <v>2153</v>
      </c>
      <c r="G19" s="145" t="e">
        <f ca="1">ROUND(C19*$C$18+D19*$D$18,0)</f>
        <v>#REF!</v>
      </c>
      <c r="H19" s="2441" t="s">
        <v>2155</v>
      </c>
      <c r="I19" s="138"/>
      <c r="K19" s="2433" t="s">
        <v>2156</v>
      </c>
      <c r="L19" s="2433" t="e">
        <f>IF(C1="",'数据-汇总表'!D3,SUMIF(项目类型,C1,'数据-汇总表'!D17:D26)+SUMIF(项目类型,C1,'数据-汇总表'!H17:H27))</f>
        <v>#DIV/0!</v>
      </c>
      <c r="M19" s="2433" t="e">
        <f>IF(C1="",'数据-汇总表'!D3,SUMIF(项目类型,C1,'数据-汇总表'!D17:D26))</f>
        <v>#DIV/0!</v>
      </c>
    </row>
    <row r="20" spans="1:35" ht="15">
      <c r="A20" s="2442"/>
      <c r="B20" s="1250" t="s">
        <v>2157</v>
      </c>
      <c r="C20" s="146" t="e">
        <f ca="1">SUMIF(INDIRECT("'"&amp;C4&amp;"'"&amp;"!A:A"),结果表!B20,INDIRECT("'"&amp;C4&amp;"'"&amp;"!B:B"))</f>
        <v>#REF!</v>
      </c>
      <c r="D20" s="147" t="e">
        <f ca="1">SUMIF(INDIRECT("'"&amp;D4&amp;"'"&amp;"!A:A"),结果表!B20,INDIRECT("'"&amp;D4&amp;"'"&amp;"!B:B"))</f>
        <v>#REF!</v>
      </c>
      <c r="E20" s="2442"/>
      <c r="F20" s="1250" t="s">
        <v>2157</v>
      </c>
      <c r="G20" s="148" t="e">
        <f ca="1">ROUND(C20*$C$18+D20*$D$18,0)</f>
        <v>#REF!</v>
      </c>
      <c r="H20" s="983" t="s">
        <v>2158</v>
      </c>
      <c r="I20" s="138"/>
    </row>
    <row r="21" spans="1:35" ht="15" customHeight="1" thickBot="1">
      <c r="A21" s="1003"/>
      <c r="B21" s="2443" t="s">
        <v>2159</v>
      </c>
      <c r="C21" s="789" t="e">
        <f ca="1">ROUND(C19*10000/L19,0)</f>
        <v>#REF!</v>
      </c>
      <c r="D21" s="790" t="e">
        <f ca="1">ROUND(D19*10000/L19,0)</f>
        <v>#REF!</v>
      </c>
      <c r="E21" s="1003"/>
      <c r="F21" s="2443" t="s">
        <v>2159</v>
      </c>
      <c r="G21" s="149" t="e">
        <f ca="1">ROUND(G19*10000/L19,0)</f>
        <v>#REF!</v>
      </c>
      <c r="H21" s="2444" t="s">
        <v>2158</v>
      </c>
      <c r="I21" s="138"/>
    </row>
    <row r="22" spans="1:35" ht="15" thickBot="1">
      <c r="A22" s="2285" t="s">
        <v>2160</v>
      </c>
      <c r="B22" s="2445"/>
      <c r="C22" s="2446"/>
      <c r="D22" s="791" t="e">
        <f ca="1">IF(C19&lt;D19,D19/C19-1,C19/D19-1)</f>
        <v>#REF!</v>
      </c>
      <c r="E22" s="138"/>
      <c r="F22" s="138"/>
      <c r="G22" s="138"/>
      <c r="H22" s="138"/>
      <c r="I22" s="138"/>
    </row>
    <row r="23" spans="1:35" ht="13.5" thickBot="1">
      <c r="A23" s="2423"/>
      <c r="B23" s="2423"/>
      <c r="C23" s="2423"/>
      <c r="D23" s="2423"/>
      <c r="E23" s="138"/>
      <c r="F23" s="138"/>
      <c r="G23" s="138"/>
      <c r="H23" s="138"/>
      <c r="I23" s="138"/>
    </row>
    <row r="24" spans="1:35" ht="14.25">
      <c r="A24" s="3128" t="s">
        <v>2161</v>
      </c>
      <c r="B24" s="2440" t="s">
        <v>2153</v>
      </c>
      <c r="C24" s="145">
        <f>IF(B30=0,0,D30)</f>
        <v>0</v>
      </c>
      <c r="D24" s="2447"/>
      <c r="E24" s="138"/>
      <c r="F24" s="138"/>
      <c r="G24" s="138"/>
      <c r="H24" s="138"/>
      <c r="I24" s="138"/>
    </row>
    <row r="25" spans="1:35" ht="14.25">
      <c r="A25" s="3129"/>
      <c r="B25" s="1250"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2166</v>
      </c>
      <c r="B30" s="151"/>
      <c r="C30" s="151"/>
      <c r="D30" s="151"/>
      <c r="E30" s="2932" t="s">
        <v>3043</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2167</v>
      </c>
      <c r="B32" s="2453"/>
      <c r="C32" s="153" t="e">
        <f ca="1">IF(D32="总价",G19-C24,G20-C25)</f>
        <v>#REF!</v>
      </c>
      <c r="D32" s="2454" t="s">
        <v>2168</v>
      </c>
      <c r="E32" s="138"/>
      <c r="F32" s="138"/>
      <c r="G32" s="138"/>
      <c r="H32" s="138"/>
      <c r="I32" s="138"/>
    </row>
    <row r="33" spans="1:15" ht="15">
      <c r="A33" s="960" t="s">
        <v>2169</v>
      </c>
      <c r="B33" s="2455"/>
      <c r="C33" s="2456"/>
      <c r="D33" s="2457"/>
      <c r="E33" s="2458" t="s">
        <v>2170</v>
      </c>
      <c r="F33" s="2459" t="str">
        <f>IF(D32="楼面单价","取值（单价）","取值（总价）")</f>
        <v>取值（总价）</v>
      </c>
      <c r="G33" s="138"/>
      <c r="H33" s="138"/>
      <c r="I33" s="138"/>
    </row>
    <row r="34" spans="1:15" ht="15">
      <c r="A34" s="2460"/>
      <c r="B34" s="2461"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2172</v>
      </c>
      <c r="F34" s="1739"/>
      <c r="G34" s="138"/>
      <c r="H34" s="138"/>
      <c r="I34" s="138"/>
    </row>
    <row r="35" spans="1:15" ht="15.75" thickBot="1">
      <c r="A35" s="2463"/>
      <c r="B35" s="2464"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2174</v>
      </c>
      <c r="F35" s="163"/>
      <c r="G35" s="138"/>
      <c r="H35" s="138"/>
      <c r="I35" s="138"/>
    </row>
    <row r="36" spans="1:15" ht="15.75" thickBot="1">
      <c r="A36" s="3108" t="s">
        <v>2175</v>
      </c>
      <c r="B36" s="2466" t="s">
        <v>2176</v>
      </c>
      <c r="C36" s="154"/>
      <c r="D36" s="2467"/>
      <c r="E36" s="2468"/>
      <c r="F36" s="2469"/>
      <c r="G36" s="138"/>
      <c r="H36" s="138"/>
      <c r="I36" s="138"/>
    </row>
    <row r="37" spans="1:15" ht="15.75" thickBot="1">
      <c r="A37" s="3109"/>
      <c r="B37" s="2271" t="s">
        <v>2177</v>
      </c>
      <c r="C37" s="156"/>
      <c r="D37" s="1395"/>
      <c r="E37" s="1395"/>
      <c r="F37" s="2469"/>
      <c r="G37" s="138"/>
      <c r="H37" s="138"/>
      <c r="I37" s="138"/>
    </row>
    <row r="38" spans="1:15" ht="15.75" thickBot="1">
      <c r="A38" s="3110"/>
      <c r="B38" s="2470" t="s">
        <v>2178</v>
      </c>
      <c r="C38" s="727"/>
      <c r="D38" s="2471" t="s">
        <v>2179</v>
      </c>
      <c r="E38" s="1395"/>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8"/>
      <c r="C40" s="159"/>
      <c r="D40" s="159"/>
      <c r="E40" s="160"/>
      <c r="F40" s="2469"/>
      <c r="G40" s="138"/>
      <c r="H40" s="138"/>
      <c r="I40" s="138"/>
    </row>
    <row r="41" spans="1:15" ht="14.25">
      <c r="A41" s="2475" t="s">
        <v>2186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125" t="s">
        <v>2189</v>
      </c>
      <c r="B45" s="3126"/>
      <c r="C45" s="3127"/>
      <c r="D45" s="164" t="e">
        <f ca="1">ROUND(H101*F45,0)</f>
        <v>#REF!</v>
      </c>
      <c r="E45" s="165" t="s">
        <v>2190</v>
      </c>
      <c r="F45" s="166">
        <v>1</v>
      </c>
      <c r="G45" s="167" t="s">
        <v>2191</v>
      </c>
      <c r="H45" s="138"/>
      <c r="I45" s="138"/>
      <c r="J45" s="3044" t="s">
        <v>2192</v>
      </c>
      <c r="K45" s="3044"/>
      <c r="L45" s="3044"/>
      <c r="M45" s="3044"/>
      <c r="N45" s="3044"/>
      <c r="O45" s="3044"/>
    </row>
    <row r="46" spans="1:15" ht="14.25" customHeight="1">
      <c r="A46" s="3122" t="s">
        <v>2193</v>
      </c>
      <c r="B46" s="3123"/>
      <c r="C46" s="3123"/>
      <c r="D46" s="3123"/>
      <c r="E46" s="3123"/>
      <c r="F46" s="3123"/>
      <c r="G46" s="3124"/>
      <c r="H46" s="2485"/>
      <c r="I46" s="168"/>
      <c r="J46" s="1812">
        <v>1</v>
      </c>
      <c r="K46" s="3044" t="s">
        <v>2194</v>
      </c>
      <c r="L46" s="3044"/>
      <c r="M46" s="3045"/>
      <c r="N46" s="3045"/>
      <c r="O46" s="3045"/>
    </row>
    <row r="47" spans="1:15" ht="12" customHeight="1">
      <c r="A47" s="169" t="s">
        <v>2195</v>
      </c>
      <c r="B47" s="170"/>
      <c r="C47" s="171"/>
      <c r="D47" s="172" t="s">
        <v>2196</v>
      </c>
      <c r="E47" s="24" t="s">
        <v>2197</v>
      </c>
      <c r="F47" s="173" t="s">
        <v>2198</v>
      </c>
      <c r="G47" s="174" t="s">
        <v>2199</v>
      </c>
      <c r="H47" s="2485"/>
      <c r="I47" s="168"/>
      <c r="J47" s="1812">
        <v>2</v>
      </c>
      <c r="K47" s="3044" t="s">
        <v>2200</v>
      </c>
      <c r="L47" s="3044"/>
      <c r="M47" s="3046">
        <f>'数据-取费表'!B2</f>
        <v>43307</v>
      </c>
      <c r="N47" s="3046"/>
      <c r="O47" s="3046"/>
    </row>
    <row r="48" spans="1:15" ht="25.5">
      <c r="A48" s="3112" t="s">
        <v>2201</v>
      </c>
      <c r="B48" s="3113"/>
      <c r="C48" s="3113"/>
      <c r="D48" s="140">
        <f>IF(H48="情况1",0,IF(H48="情况2",D52,IF(H48="情况3",D53,IF(H48="情况4",D54))))</f>
        <v>0</v>
      </c>
      <c r="E48" s="1801" t="str">
        <f>IF(H48="情况4","(销售额-原购置价)×税（费）率","销售额×税（费）率")</f>
        <v>销售额×税（费）率</v>
      </c>
      <c r="F48" s="175" t="str">
        <f>IF(H48="情况1","免征",'数据-取费表'!B41)</f>
        <v>免征</v>
      </c>
      <c r="G48" s="2486" t="s">
        <v>2202</v>
      </c>
      <c r="H48" s="2487" t="s">
        <v>2203</v>
      </c>
      <c r="I48" s="2485"/>
      <c r="J48" s="1812">
        <v>3</v>
      </c>
      <c r="K48" s="3044" t="s">
        <v>2204</v>
      </c>
      <c r="L48" s="3044"/>
      <c r="M48" s="3047" t="e">
        <f ca="1">H101</f>
        <v>#REF!</v>
      </c>
      <c r="N48" s="3047"/>
      <c r="O48" s="3047"/>
    </row>
    <row r="49" spans="1:35" ht="25.5" customHeight="1">
      <c r="A49" s="176" t="s">
        <v>2205</v>
      </c>
      <c r="B49" s="3092" t="s">
        <v>2206</v>
      </c>
      <c r="C49" s="3092"/>
      <c r="D49" s="177">
        <v>0</v>
      </c>
      <c r="E49" s="23" t="s">
        <v>2207</v>
      </c>
      <c r="F49" s="28" t="s">
        <v>34</v>
      </c>
      <c r="G49" s="3073"/>
      <c r="H49" s="138"/>
      <c r="I49" s="2488"/>
      <c r="J49" s="1812">
        <v>4</v>
      </c>
      <c r="K49" s="3044" t="str">
        <f>IF(项目基本情况!E8="房地产抵押价值","房地产抵押价值","抵押担保权已注销时的房地产抵押价值")</f>
        <v>抵押担保权已注销时的房地产抵押价值</v>
      </c>
      <c r="L49" s="3044"/>
      <c r="M49" s="3047" t="str">
        <f>IF(项目基本情况!E8="房地产抵押价值",H107,H109)</f>
        <v>——</v>
      </c>
      <c r="N49" s="3047"/>
      <c r="O49" s="3047"/>
    </row>
    <row r="50" spans="1:35" ht="25.5" customHeight="1">
      <c r="A50" s="178"/>
      <c r="B50" s="3092" t="s">
        <v>2208</v>
      </c>
      <c r="C50" s="3092"/>
      <c r="D50" s="179"/>
      <c r="E50" s="31"/>
      <c r="F50" s="180"/>
      <c r="G50" s="3074"/>
      <c r="H50" s="138"/>
      <c r="I50" s="2488"/>
      <c r="J50" s="3044" t="s">
        <v>2209</v>
      </c>
      <c r="K50" s="3044"/>
      <c r="L50" s="3044"/>
      <c r="M50" s="3044"/>
      <c r="N50" s="3044"/>
      <c r="O50" s="3044"/>
    </row>
    <row r="51" spans="1:35" ht="12" customHeight="1">
      <c r="A51" s="181"/>
      <c r="B51" s="3092" t="s">
        <v>2210</v>
      </c>
      <c r="C51" s="3092"/>
      <c r="D51" s="182"/>
      <c r="E51" s="30"/>
      <c r="F51" s="180"/>
      <c r="G51" s="3075"/>
      <c r="H51" s="138"/>
      <c r="I51" s="2488"/>
      <c r="J51" s="2489" t="s">
        <v>2211</v>
      </c>
      <c r="K51" s="3044" t="s">
        <v>2212</v>
      </c>
      <c r="L51" s="3044"/>
      <c r="M51" s="2489" t="s">
        <v>2213</v>
      </c>
      <c r="N51" s="2489" t="s">
        <v>2214</v>
      </c>
      <c r="O51" s="2489" t="s">
        <v>2215</v>
      </c>
    </row>
    <row r="52" spans="1:35" ht="24" customHeight="1">
      <c r="A52" s="183" t="s">
        <v>2216</v>
      </c>
      <c r="B52" s="3092" t="s">
        <v>2217</v>
      </c>
      <c r="C52" s="3092"/>
      <c r="D52" s="182" t="e">
        <f ca="1">ROUND(D45*'数据-取费表'!B41/(1+'数据-取费表'!C42),0)</f>
        <v>#REF!</v>
      </c>
      <c r="E52" s="11" t="s">
        <v>2218</v>
      </c>
      <c r="F52" s="184">
        <f>'数据-取费表'!B41</f>
        <v>0</v>
      </c>
      <c r="G52" s="2490"/>
      <c r="H52" s="138"/>
      <c r="I52" s="2488"/>
      <c r="J52" s="1812">
        <v>1</v>
      </c>
      <c r="K52" s="3067" t="s">
        <v>2219</v>
      </c>
      <c r="L52" s="3067"/>
      <c r="M52" s="1754">
        <f>D48</f>
        <v>0</v>
      </c>
      <c r="N52" s="1812" t="str">
        <f>E48</f>
        <v>销售额×税（费）率</v>
      </c>
      <c r="O52" s="1755" t="str">
        <f>F48</f>
        <v>免征</v>
      </c>
    </row>
    <row r="53" spans="1:35" ht="12" customHeight="1">
      <c r="A53" s="183" t="s">
        <v>2220</v>
      </c>
      <c r="B53" s="3093" t="s">
        <v>2221</v>
      </c>
      <c r="C53" s="3094"/>
      <c r="D53" s="182" t="e">
        <f ca="1">ROUND(D45*'数据-取费表'!B41/(1+'数据-取费表'!C42),0)</f>
        <v>#REF!</v>
      </c>
      <c r="E53" s="11" t="s">
        <v>2218</v>
      </c>
      <c r="F53" s="184">
        <f>'数据-取费表'!B41</f>
        <v>0</v>
      </c>
      <c r="G53" s="2490"/>
      <c r="H53" s="138"/>
      <c r="I53" s="2488"/>
      <c r="J53" s="1812">
        <v>2</v>
      </c>
      <c r="K53" s="3067" t="s">
        <v>2222</v>
      </c>
      <c r="L53" s="3067"/>
      <c r="M53" s="1754" t="e">
        <f t="shared" ref="M53:O54" ca="1" si="0">D55</f>
        <v>#REF!</v>
      </c>
      <c r="N53" s="1812" t="str">
        <f t="shared" si="0"/>
        <v>销售额×税（费）率</v>
      </c>
      <c r="O53" s="1755">
        <f t="shared" si="0"/>
        <v>0</v>
      </c>
    </row>
    <row r="54" spans="1:35" ht="12" customHeight="1">
      <c r="A54" s="183" t="s">
        <v>2223</v>
      </c>
      <c r="B54" s="3093" t="s">
        <v>2224</v>
      </c>
      <c r="C54" s="3094"/>
      <c r="D54" s="182" t="e">
        <f ca="1">C68</f>
        <v>#REF!</v>
      </c>
      <c r="E54" s="30" t="s">
        <v>2225</v>
      </c>
      <c r="F54" s="184">
        <f>'数据-取费表'!B41</f>
        <v>0</v>
      </c>
      <c r="G54" s="2490"/>
      <c r="H54" s="2491"/>
      <c r="I54" s="2488"/>
      <c r="J54" s="1812">
        <v>3</v>
      </c>
      <c r="K54" s="3067" t="s">
        <v>2226</v>
      </c>
      <c r="L54" s="3067"/>
      <c r="M54" s="1754" t="e">
        <f t="shared" ca="1" si="0"/>
        <v>#REF!</v>
      </c>
      <c r="N54" s="1812" t="str">
        <f t="shared" si="0"/>
        <v>增值额×税（费）率</v>
      </c>
      <c r="O54" s="1756" t="str">
        <f t="shared" si="0"/>
        <v>——</v>
      </c>
    </row>
    <row r="55" spans="1:35" ht="24" customHeight="1">
      <c r="A55" s="3131" t="s">
        <v>2227</v>
      </c>
      <c r="B55" s="3113"/>
      <c r="C55" s="3113"/>
      <c r="D55" s="185" t="e">
        <f ca="1">IF(H55="个人住宅",0,ROUND(D45*I55,0))</f>
        <v>#REF!</v>
      </c>
      <c r="E55" s="11" t="s">
        <v>2228</v>
      </c>
      <c r="F55" s="184">
        <f>IF(H55="正常",I55,"免征")</f>
        <v>0</v>
      </c>
      <c r="G55" s="2490"/>
      <c r="H55" s="2487" t="s">
        <v>2229</v>
      </c>
      <c r="I55" s="186">
        <f>'数据-取费表'!B49</f>
        <v>0</v>
      </c>
      <c r="J55" s="1812" t="str">
        <f>IF(H59="非个人房产","",4)</f>
        <v/>
      </c>
      <c r="K55" s="3067" t="str">
        <f>IF(H59="非个人房产","——","个人所得税")</f>
        <v>——</v>
      </c>
      <c r="L55" s="3067"/>
      <c r="M55" s="1757" t="str">
        <f>D59</f>
        <v>——</v>
      </c>
      <c r="N55" s="1810" t="str">
        <f>E59</f>
        <v>——</v>
      </c>
      <c r="O55" s="1758" t="str">
        <f>F59</f>
        <v>——</v>
      </c>
    </row>
    <row r="56" spans="1:35" ht="24.75">
      <c r="A56" s="3131" t="s">
        <v>2230</v>
      </c>
      <c r="B56" s="3113"/>
      <c r="C56" s="3113"/>
      <c r="D56" s="185" t="e">
        <f ca="1">IF(H56="个人住宅",D57,D58)</f>
        <v>#REF!</v>
      </c>
      <c r="E56" s="11" t="s">
        <v>2231</v>
      </c>
      <c r="F56" s="184" t="str">
        <f>IF(H56="正常",F58,"免征")</f>
        <v>——</v>
      </c>
      <c r="G56" s="2492" t="s">
        <v>2232</v>
      </c>
      <c r="H56" s="2493" t="s">
        <v>2229</v>
      </c>
      <c r="I56" s="2494"/>
      <c r="J56" s="1812" t="str">
        <f>IF(项目基本情况!K6="上海银行",IF(J55="",4,J55+1),"")</f>
        <v/>
      </c>
      <c r="K56" s="3050" t="str">
        <f>IF(项目基本情况!K6="上海银行","其他处置费用","")</f>
        <v/>
      </c>
      <c r="L56" s="3051"/>
      <c r="M56" s="1754" t="str">
        <f>IF(项目基本情况!K6="上海银行",M69,"")</f>
        <v/>
      </c>
      <c r="N56" s="3053" t="str">
        <f>IF(项目基本情况!K6="上海银行","包含处置中涉及的律师、诉讼、拍卖、评估等费用","")</f>
        <v/>
      </c>
      <c r="O56" s="3054"/>
    </row>
    <row r="57" spans="1:35" ht="12.75">
      <c r="A57" s="183" t="s">
        <v>2205</v>
      </c>
      <c r="B57" s="3098" t="s">
        <v>2233</v>
      </c>
      <c r="C57" s="3099"/>
      <c r="D57" s="187">
        <v>0</v>
      </c>
      <c r="E57" s="23" t="s">
        <v>2207</v>
      </c>
      <c r="F57" s="155"/>
      <c r="G57" s="2490"/>
      <c r="H57" s="2494"/>
      <c r="I57" s="2494"/>
      <c r="J57" s="3067">
        <f>IF(AND(J55="",J56=""),4,IF(项目基本情况!K6="上海银行",结果表!J56+1,结果表!J55+1))</f>
        <v>4</v>
      </c>
      <c r="K57" s="3067" t="s">
        <v>2234</v>
      </c>
      <c r="L57" s="2495" t="s">
        <v>2235</v>
      </c>
      <c r="M57" s="1759"/>
      <c r="N57" s="1760">
        <f ca="1">SUMIF(M52:M56,"&lt;9e307")</f>
        <v>0</v>
      </c>
      <c r="O57" s="2496"/>
      <c r="P57" s="1753" t="e">
        <f ca="1">N57/M49</f>
        <v>#VALUE!</v>
      </c>
    </row>
    <row r="58" spans="1:35" ht="24.75">
      <c r="A58" s="183" t="s">
        <v>2216</v>
      </c>
      <c r="B58" s="3098" t="s">
        <v>2236</v>
      </c>
      <c r="C58" s="3111"/>
      <c r="D58" s="185" t="e">
        <f ca="1">IF(H58="转让取得",C81,C97)</f>
        <v>#REF!</v>
      </c>
      <c r="E58" s="11" t="s">
        <v>2231</v>
      </c>
      <c r="F58" s="24" t="s">
        <v>34</v>
      </c>
      <c r="G58" s="2490"/>
      <c r="H58" s="2493" t="s">
        <v>2237</v>
      </c>
      <c r="I58" s="2494"/>
      <c r="J58" s="3067"/>
      <c r="K58" s="3067"/>
      <c r="L58" s="2495" t="s">
        <v>2238</v>
      </c>
      <c r="M58" s="1761"/>
      <c r="N58" s="2497" t="str">
        <f ca="1">NUMBERSTRING(INT(N57*10000),2)&amp;"元整"</f>
        <v>零元整</v>
      </c>
      <c r="O58" s="2498"/>
    </row>
    <row r="59" spans="1:35" ht="24.75" thickBot="1">
      <c r="A59" s="3071" t="s">
        <v>2239</v>
      </c>
      <c r="B59" s="3072"/>
      <c r="C59" s="3072"/>
      <c r="D59" s="188" t="str">
        <f>IF(H59="非个人房产","——",IF(H59="个人住宅",0,ROUND(D45*I59,0)))</f>
        <v>——</v>
      </c>
      <c r="E59" s="189" t="str">
        <f>IF(H59="非个人房产","——","销售额×税（费）率")</f>
        <v>——</v>
      </c>
      <c r="F59" s="190" t="str">
        <f>IF(H59="非个人房产","——",IF(H59="个人住宅","免征",I59))</f>
        <v>——</v>
      </c>
      <c r="G59" s="2499" t="s">
        <v>2232</v>
      </c>
      <c r="H59" s="2493" t="s">
        <v>2240</v>
      </c>
      <c r="I59" s="191">
        <v>0.01</v>
      </c>
      <c r="J59" s="3069">
        <f>J57+1</f>
        <v>5</v>
      </c>
      <c r="K59" s="3067" t="s">
        <v>2241</v>
      </c>
      <c r="L59" s="1812" t="s">
        <v>2235</v>
      </c>
      <c r="M59" s="1762"/>
      <c r="N59" s="1763" t="e">
        <f ca="1">M49-N57</f>
        <v>#VALUE!</v>
      </c>
      <c r="O59" s="2500"/>
    </row>
    <row r="60" spans="1:35" ht="12" customHeight="1">
      <c r="A60" s="2501"/>
      <c r="B60" s="2423"/>
      <c r="C60" s="2423"/>
      <c r="D60" s="2423"/>
      <c r="E60" s="2170"/>
      <c r="F60" s="2494"/>
      <c r="G60" s="2494"/>
      <c r="H60" s="2502"/>
      <c r="I60" s="138"/>
      <c r="J60" s="3070"/>
      <c r="K60" s="3067"/>
      <c r="L60" s="2495" t="s">
        <v>2238</v>
      </c>
      <c r="M60" s="1761"/>
      <c r="N60" s="2497" t="e">
        <f ca="1">NUMBERSTRING(INT(N59*10000),2)&amp;"元整"</f>
        <v>#VALUE!</v>
      </c>
      <c r="O60" s="2498"/>
    </row>
    <row r="61" spans="1:35" ht="13.5" thickBot="1">
      <c r="A61" s="3130" t="s">
        <v>2242</v>
      </c>
      <c r="B61" s="3130"/>
      <c r="C61" s="3130"/>
      <c r="D61" s="3130"/>
      <c r="E61" s="3130"/>
      <c r="F61" s="2494"/>
      <c r="G61" s="2494"/>
      <c r="H61" s="2502"/>
      <c r="I61" s="138"/>
      <c r="J61" s="1812">
        <f>J59+1</f>
        <v>6</v>
      </c>
      <c r="K61" s="3067" t="s">
        <v>2243</v>
      </c>
      <c r="L61" s="3067"/>
      <c r="M61" s="1764"/>
      <c r="N61" s="1765" t="e">
        <f ca="1">ROUND(N59*10000/'数据-汇总表'!E3,0)</f>
        <v>#VALUE!</v>
      </c>
      <c r="O61" s="2503"/>
    </row>
    <row r="62" spans="1:35" ht="12.75">
      <c r="A62" s="3087" t="s">
        <v>2244</v>
      </c>
      <c r="B62" s="3088"/>
      <c r="C62" s="1804"/>
      <c r="D62" s="1804" t="s">
        <v>2245</v>
      </c>
      <c r="E62" s="192" t="s">
        <v>2246</v>
      </c>
      <c r="F62" s="2494"/>
      <c r="G62" s="2494"/>
      <c r="H62" s="2502"/>
      <c r="I62" s="138"/>
    </row>
    <row r="63" spans="1:35" ht="12.75">
      <c r="A63" s="203" t="s">
        <v>775</v>
      </c>
      <c r="B63" s="193" t="s">
        <v>2247</v>
      </c>
      <c r="C63" s="194" t="e">
        <f ca="1">ROUND((C64+C65)/(1+'数据-取费表'!C42),0)</f>
        <v>#REF!</v>
      </c>
      <c r="D63" s="195"/>
      <c r="E63" s="196"/>
      <c r="F63" s="2494"/>
      <c r="G63" s="2494"/>
      <c r="H63" s="2502"/>
      <c r="I63" s="138"/>
      <c r="J63" s="3052" t="s">
        <v>2248</v>
      </c>
      <c r="K63" s="2504" t="s">
        <v>2249</v>
      </c>
      <c r="L63" s="1752" t="e">
        <f>IF(M49&gt;10000,M49*0.5%,IF(AND(M49&gt;1000,M49&lt;=10000),M49*1%,IF(AND(M49&gt;100,M49&lt;=1000),M49*3%,IF(AND(M49&gt;10,M49&lt;=100),M49*5%,M49*8%))))</f>
        <v>#VALUE!</v>
      </c>
      <c r="M63" s="24" t="e">
        <f>ROUND(L63,1)</f>
        <v>#VALUE!</v>
      </c>
      <c r="Z63" s="2428"/>
      <c r="AI63" s="2429"/>
    </row>
    <row r="64" spans="1:35" ht="14.25" customHeight="1">
      <c r="A64" s="197" t="s">
        <v>770</v>
      </c>
      <c r="B64" s="198" t="s">
        <v>2250</v>
      </c>
      <c r="C64" s="199" t="e">
        <f ca="1">D45</f>
        <v>#REF!</v>
      </c>
      <c r="D64" s="200" t="s">
        <v>32</v>
      </c>
      <c r="E64" s="201"/>
      <c r="F64" s="2494"/>
      <c r="G64" s="2494"/>
      <c r="H64" s="2502"/>
      <c r="I64" s="138"/>
      <c r="J64" s="3052"/>
      <c r="K64" s="2504" t="s">
        <v>2251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8"/>
      <c r="AI64" s="2429"/>
    </row>
    <row r="65" spans="1:35" ht="14.25" customHeight="1">
      <c r="A65" s="197" t="s">
        <v>771</v>
      </c>
      <c r="B65" s="198" t="s">
        <v>2253</v>
      </c>
      <c r="C65" s="202"/>
      <c r="D65" s="200"/>
      <c r="E65" s="201"/>
      <c r="F65" s="2494"/>
      <c r="G65" s="2494"/>
      <c r="H65" s="2502"/>
      <c r="I65" s="138"/>
      <c r="J65" s="3052"/>
      <c r="K65" s="2504" t="s">
        <v>2254</v>
      </c>
      <c r="L65" s="1752" t="e">
        <f>IF(M49&gt;1000,M49*0.1%,IF(AND(M49&gt;500,M49&lt;=1000),M49*0.5%,IF(AND(M49&gt;50,M49&lt;=500),M49*1%,IF(AND(M49&gt;1,M49&lt;=50),M49*1.5%))))</f>
        <v>#VALUE!</v>
      </c>
      <c r="M65" s="24" t="e">
        <f t="shared" si="1"/>
        <v>#VALUE!</v>
      </c>
      <c r="N65" s="138" t="s">
        <v>2252</v>
      </c>
      <c r="Z65" s="2428"/>
      <c r="AI65" s="2429"/>
    </row>
    <row r="66" spans="1:35" ht="14.25" customHeight="1">
      <c r="A66" s="203" t="s">
        <v>772</v>
      </c>
      <c r="B66" s="204" t="s">
        <v>2255</v>
      </c>
      <c r="C66" s="205"/>
      <c r="D66" s="206" t="s">
        <v>32</v>
      </c>
      <c r="E66" s="1776" t="s">
        <v>1371</v>
      </c>
      <c r="F66" s="2494"/>
      <c r="G66" s="2494"/>
      <c r="H66" s="2502"/>
      <c r="I66" s="138"/>
      <c r="J66" s="3052"/>
      <c r="K66" s="2504" t="s">
        <v>2256</v>
      </c>
      <c r="L66" s="1752" t="e">
        <f>M49*0.5%</f>
        <v>#VALUE!</v>
      </c>
      <c r="M66" s="24" t="e">
        <f>IF(L66&gt;0.5,0.5,ROUND(L66,0))</f>
        <v>#VALUE!</v>
      </c>
      <c r="N66" s="138" t="s">
        <v>2257</v>
      </c>
      <c r="Z66" s="2428"/>
      <c r="AI66" s="2429"/>
    </row>
    <row r="67" spans="1:35" ht="14.25" customHeight="1">
      <c r="A67" s="203" t="s">
        <v>773</v>
      </c>
      <c r="B67" s="204" t="s">
        <v>2258</v>
      </c>
      <c r="C67" s="207" t="e">
        <f ca="1">C63-C66</f>
        <v>#REF!</v>
      </c>
      <c r="D67" s="200" t="s">
        <v>32</v>
      </c>
      <c r="E67" s="201"/>
      <c r="F67" s="2494"/>
      <c r="G67" s="2494"/>
      <c r="H67" s="2502"/>
      <c r="I67" s="138"/>
      <c r="J67" s="3052"/>
      <c r="K67" s="2504" t="s">
        <v>2259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2260</v>
      </c>
      <c r="C68" s="210" t="e">
        <f ca="1">IF(C67&lt;=0,0,ROUND(C67*D68,0))</f>
        <v>#REF!</v>
      </c>
      <c r="D68" s="211">
        <f>'数据-取费表'!B41</f>
        <v>0</v>
      </c>
      <c r="E68" s="212"/>
      <c r="F68" s="2494"/>
      <c r="G68" s="2494"/>
      <c r="H68" s="2502"/>
      <c r="I68" s="138"/>
      <c r="J68" s="3052"/>
      <c r="K68" s="2504" t="s">
        <v>2261</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2"/>
      <c r="K69" s="2504" t="s">
        <v>2262</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6" t="s">
        <v>2263</v>
      </c>
      <c r="B70" s="3097"/>
      <c r="C70" s="3097"/>
      <c r="D70" s="3097"/>
      <c r="E70" s="3097"/>
      <c r="F70" s="3097"/>
      <c r="G70" s="3097"/>
      <c r="H70" s="309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7" t="s">
        <v>2244</v>
      </c>
      <c r="B71" s="3088"/>
      <c r="C71" s="1804"/>
      <c r="D71" s="1804" t="s">
        <v>2245</v>
      </c>
      <c r="E71" s="213" t="s">
        <v>2246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2264</v>
      </c>
      <c r="C72" s="207" t="e">
        <f ca="1">ROUND(D45/(1+'数据-取费表'!C42),0)</f>
        <v>#REF!</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2265</v>
      </c>
      <c r="C73" s="207" t="e">
        <f ca="1">C74+C78</f>
        <v>#REF!</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2267</v>
      </c>
      <c r="C75" s="218"/>
      <c r="D75" s="200" t="s">
        <v>32</v>
      </c>
      <c r="E75" s="219" t="s">
        <v>2268</v>
      </c>
      <c r="F75" s="2516" t="s">
        <v>2269</v>
      </c>
      <c r="G75" s="219" t="s">
        <v>2270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2271</v>
      </c>
      <c r="C76" s="200">
        <f>IF(F75="购房发票",ROUND(C75*H75*D76,0),0)</f>
        <v>0</v>
      </c>
      <c r="D76" s="222">
        <v>0.05</v>
      </c>
      <c r="E76" s="3093" t="s">
        <v>2272</v>
      </c>
      <c r="F76" s="3092"/>
      <c r="G76" s="3092"/>
      <c r="H76" s="309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2273</v>
      </c>
      <c r="C77" s="200">
        <f>ROUND(IF(G77="个人住宅",0,IF(G77="2016年5月1日前购买",C75*D77,C75*D77/(1+'数据-取费表'!C42))),0)</f>
        <v>0</v>
      </c>
      <c r="D77" s="223">
        <f>'数据-取费表'!B48+'数据-取费表'!B49</f>
        <v>0</v>
      </c>
      <c r="E77" s="15" t="s">
        <v>2274</v>
      </c>
      <c r="F77" s="224"/>
      <c r="G77" s="2518" t="s">
        <v>2275</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2276</v>
      </c>
      <c r="C78" s="225" t="e">
        <f ca="1">ROUND(D45*D78/(1+'数据-取费表'!C42),0)</f>
        <v>#REF!</v>
      </c>
      <c r="D78" s="226">
        <f>'数据-取费表'!B43</f>
        <v>0</v>
      </c>
      <c r="E78" s="3084" t="s">
        <v>2277</v>
      </c>
      <c r="F78" s="3085"/>
      <c r="G78" s="3085"/>
      <c r="H78" s="308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2278</v>
      </c>
      <c r="C79" s="207" t="e">
        <f ca="1">C72-C73</f>
        <v>#REF!</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2279</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2280</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6" t="s">
        <v>2281</v>
      </c>
      <c r="B83" s="3097"/>
      <c r="C83" s="3097"/>
      <c r="D83" s="3097"/>
      <c r="E83" s="3097"/>
      <c r="F83" s="3097"/>
      <c r="G83" s="3097"/>
      <c r="H83" s="309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7" t="s">
        <v>2244</v>
      </c>
      <c r="B84" s="3088"/>
      <c r="C84" s="1804"/>
      <c r="D84" s="1804" t="s">
        <v>2245</v>
      </c>
      <c r="E84" s="213" t="s">
        <v>2246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2264</v>
      </c>
      <c r="C85" s="207" t="e">
        <f ca="1">ROUND(D45/(1+'数据-取费表'!C42),0)</f>
        <v>#REF!</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2265</v>
      </c>
      <c r="C86" s="207" t="e">
        <f ca="1">IF(H88="仅含出让金",C87+C90+C91+C92+C93+C94,C87+C91+C92+C93+C94)</f>
        <v>#REF!</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2283</v>
      </c>
      <c r="C88" s="236"/>
      <c r="D88" s="226"/>
      <c r="E88" s="237" t="s">
        <v>2284</v>
      </c>
      <c r="F88" s="1800"/>
      <c r="G88" s="238"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2273</v>
      </c>
      <c r="C89" s="225">
        <f>ROUND(C88*D89,0)</f>
        <v>0</v>
      </c>
      <c r="D89" s="226">
        <f>'数据-取费表'!B48+'数据-取费表'!B49</f>
        <v>0</v>
      </c>
      <c r="E89" s="237" t="s">
        <v>2286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2287</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2288</v>
      </c>
      <c r="B91" s="198" t="s">
        <v>2289</v>
      </c>
      <c r="C91" s="225">
        <f>IF(H91="——",成本法!C33,I91)</f>
        <v>0</v>
      </c>
      <c r="D91" s="226"/>
      <c r="E91" s="3084" t="s">
        <v>2290</v>
      </c>
      <c r="F91" s="3085"/>
      <c r="G91" s="3085"/>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2292</v>
      </c>
      <c r="B92" s="198" t="s">
        <v>2293</v>
      </c>
      <c r="C92" s="225">
        <f>ROUND((C87+C90+C91)*D92,0)</f>
        <v>0</v>
      </c>
      <c r="D92" s="226">
        <v>0.1</v>
      </c>
      <c r="E92" s="3084" t="s">
        <v>2294</v>
      </c>
      <c r="F92" s="3085"/>
      <c r="G92" s="3085"/>
      <c r="H92" s="308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2295</v>
      </c>
      <c r="B93" s="198" t="s">
        <v>2276</v>
      </c>
      <c r="C93" s="225" t="e">
        <f ca="1">ROUND(D45*D93/(1+'数据-取费表'!C42),0)</f>
        <v>#REF!</v>
      </c>
      <c r="D93" s="226">
        <f>'数据-取费表'!B43</f>
        <v>0</v>
      </c>
      <c r="E93" s="3084" t="s">
        <v>2277</v>
      </c>
      <c r="F93" s="3085"/>
      <c r="G93" s="3085"/>
      <c r="H93" s="308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2296</v>
      </c>
      <c r="B94" s="198" t="s">
        <v>2297</v>
      </c>
      <c r="C94" s="236">
        <f>ROUND((C87+C90+C91)*D94,0)</f>
        <v>0</v>
      </c>
      <c r="D94" s="226">
        <v>0.2</v>
      </c>
      <c r="E94" s="3132" t="s">
        <v>2298</v>
      </c>
      <c r="F94" s="3133"/>
      <c r="G94" s="3133"/>
      <c r="H94" s="313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2278</v>
      </c>
      <c r="C95" s="207" t="e">
        <f ca="1">ROUND(C85-C86,0)</f>
        <v>#REF!</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2279</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2280</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036" t="s">
        <v>2300</v>
      </c>
      <c r="B100" s="3037"/>
      <c r="C100" s="3037"/>
      <c r="D100" s="3068"/>
      <c r="E100" s="3037" t="s">
        <v>2301</v>
      </c>
      <c r="F100" s="3037"/>
      <c r="G100" s="3037"/>
      <c r="H100" s="3068"/>
      <c r="I100" s="138"/>
    </row>
    <row r="101" spans="1:35" ht="18.75" customHeight="1">
      <c r="A101" s="3076" t="s">
        <v>2302</v>
      </c>
      <c r="B101" s="3077"/>
      <c r="C101" s="736">
        <f>C4</f>
        <v>0</v>
      </c>
      <c r="D101" s="737">
        <f>D4</f>
        <v>0</v>
      </c>
      <c r="E101" s="3048" t="s">
        <v>2303</v>
      </c>
      <c r="F101" s="3049"/>
      <c r="G101" s="2525" t="s">
        <v>2304</v>
      </c>
      <c r="H101" s="1048" t="e">
        <f ca="1">H118</f>
        <v>#REF!</v>
      </c>
      <c r="I101" s="138"/>
    </row>
    <row r="102" spans="1:35" ht="18.75" customHeight="1">
      <c r="A102" s="3078" t="s">
        <v>2305</v>
      </c>
      <c r="B102" s="2525" t="s">
        <v>2304</v>
      </c>
      <c r="C102" s="736" t="e">
        <f ca="1">C19</f>
        <v>#REF!</v>
      </c>
      <c r="D102" s="737" t="e">
        <f ca="1">D19</f>
        <v>#REF!</v>
      </c>
      <c r="E102" s="3048"/>
      <c r="F102" s="3049"/>
      <c r="G102" s="2525" t="s">
        <v>2306</v>
      </c>
      <c r="H102" s="371" t="e">
        <f ca="1">I118</f>
        <v>#REF!</v>
      </c>
      <c r="I102" s="138"/>
    </row>
    <row r="103" spans="1:35" ht="42.75" customHeight="1">
      <c r="A103" s="3078"/>
      <c r="B103" s="2525" t="s">
        <v>2306</v>
      </c>
      <c r="C103" s="738" t="e">
        <f ca="1">C20</f>
        <v>#REF!</v>
      </c>
      <c r="D103" s="739" t="e">
        <f ca="1">D20</f>
        <v>#REF!</v>
      </c>
      <c r="E103" s="3042" t="s">
        <v>2307</v>
      </c>
      <c r="F103" s="3043"/>
      <c r="G103" s="2526" t="s">
        <v>2308</v>
      </c>
      <c r="H103" s="1048">
        <f>IF(D36="正常操作",H104+H105+H106,H105+H106)</f>
        <v>0</v>
      </c>
      <c r="I103" s="138"/>
    </row>
    <row r="104" spans="1:35" ht="18.75" customHeight="1">
      <c r="A104" s="3078" t="s">
        <v>2309</v>
      </c>
      <c r="B104" s="2527" t="s">
        <v>2304</v>
      </c>
      <c r="C104" s="740" t="e">
        <f ca="1">H118</f>
        <v>#REF!</v>
      </c>
      <c r="D104" s="741"/>
      <c r="E104" s="2271" t="s">
        <v>2310</v>
      </c>
      <c r="F104" s="2262"/>
      <c r="G104" s="2526" t="s">
        <v>2308</v>
      </c>
      <c r="H104" s="1049">
        <f>IF(D36="同一抵押权人同一抵押物续贷",C36&amp;"（未扣减，详见特别提示）",C36)</f>
        <v>0</v>
      </c>
      <c r="I104" s="138"/>
    </row>
    <row r="105" spans="1:35" ht="18.75" customHeight="1" thickBot="1">
      <c r="A105" s="3090"/>
      <c r="B105" s="2528" t="s">
        <v>2306</v>
      </c>
      <c r="C105" s="742" t="e">
        <f ca="1">I118</f>
        <v>#REF!</v>
      </c>
      <c r="D105" s="743"/>
      <c r="E105" s="2271" t="s">
        <v>2311</v>
      </c>
      <c r="F105" s="2262"/>
      <c r="G105" s="2526" t="s">
        <v>2308</v>
      </c>
      <c r="H105" s="1049">
        <f>C37</f>
        <v>0</v>
      </c>
      <c r="I105" s="138"/>
    </row>
    <row r="106" spans="1:35" ht="18.75" customHeight="1">
      <c r="A106" s="2423" t="s">
        <v>2312</v>
      </c>
      <c r="B106" s="2423"/>
      <c r="C106" s="2423"/>
      <c r="D106" s="2423"/>
      <c r="E106" s="2529" t="s">
        <v>2313</v>
      </c>
      <c r="F106" s="2262"/>
      <c r="G106" s="2526" t="s">
        <v>2308</v>
      </c>
      <c r="H106" s="1049">
        <f>C38</f>
        <v>0</v>
      </c>
      <c r="I106" s="138"/>
    </row>
    <row r="107" spans="1:35" ht="18.75" customHeight="1">
      <c r="A107" s="138"/>
      <c r="B107" s="138"/>
      <c r="C107" s="138"/>
      <c r="D107" s="138"/>
      <c r="E107" s="3079" t="str">
        <f>IF(项目基本情况!E8="已注销","——","3.房地产抵押价值")</f>
        <v>3.房地产抵押价值</v>
      </c>
      <c r="F107" s="3049"/>
      <c r="G107" s="2525" t="s">
        <v>2304</v>
      </c>
      <c r="H107" s="1048" t="e">
        <f ca="1">IF(E107="——","——",H101-H103)</f>
        <v>#REF!</v>
      </c>
      <c r="I107" s="138"/>
    </row>
    <row r="108" spans="1:35" ht="18.75" customHeight="1">
      <c r="A108" s="138"/>
      <c r="B108" s="138"/>
      <c r="C108" s="138"/>
      <c r="D108" s="138"/>
      <c r="E108" s="3079"/>
      <c r="F108" s="3049"/>
      <c r="G108" s="2525" t="s">
        <v>2306</v>
      </c>
      <c r="H108" s="371" t="e">
        <f ca="1">ROUND(H107*10000/'数据-汇总表'!E3,0)</f>
        <v>#REF!</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49"/>
      <c r="G109" s="2525" t="s">
        <v>2304</v>
      </c>
      <c r="H109" s="348" t="str">
        <f>IF(E109="——","——",H101-H105-H106)</f>
        <v>——</v>
      </c>
      <c r="I109" s="138"/>
    </row>
    <row r="110" spans="1:35" ht="18.75" customHeight="1">
      <c r="A110" s="138"/>
      <c r="B110" s="138"/>
      <c r="C110" s="138"/>
      <c r="D110" s="138"/>
      <c r="E110" s="3079"/>
      <c r="F110" s="3049"/>
      <c r="G110" s="2525" t="s">
        <v>2306</v>
      </c>
      <c r="H110" s="371" t="str">
        <f>IF(H109="——","——",ROUND(H109*10000/'数据-汇总表'!E3,0))</f>
        <v>——</v>
      </c>
      <c r="I110" s="138"/>
    </row>
    <row r="111" spans="1:35" ht="18.75" customHeight="1">
      <c r="A111" s="138"/>
      <c r="B111" s="138"/>
      <c r="C111" s="138"/>
      <c r="D111" s="138"/>
      <c r="E111" s="3080" t="str">
        <f>IF(项目基本情况!E9="抵押净值",IF(OR(项目基本情况!E8="已注销",项目基本情况!E8="房地产抵押价值"),"4.抵押净值","5.抵押净值"),"——")</f>
        <v>——</v>
      </c>
      <c r="F111" s="3081"/>
      <c r="G111" s="2525" t="s">
        <v>2304</v>
      </c>
      <c r="H111" s="1048" t="str">
        <f>IF(E111="——","——",N59)</f>
        <v>——</v>
      </c>
      <c r="I111" s="138"/>
    </row>
    <row r="112" spans="1:35" ht="18.75" customHeight="1" thickBot="1">
      <c r="A112" s="138"/>
      <c r="B112" s="138"/>
      <c r="C112" s="138"/>
      <c r="D112" s="138"/>
      <c r="E112" s="3082"/>
      <c r="F112" s="3083"/>
      <c r="G112" s="2530" t="s">
        <v>2306</v>
      </c>
      <c r="H112" s="790" t="str">
        <f>IF(E111="——","——",N61)</f>
        <v>——</v>
      </c>
      <c r="I112" s="138"/>
    </row>
    <row r="113" spans="1:11" ht="18.75" customHeight="1">
      <c r="A113" s="138"/>
      <c r="B113" s="138"/>
      <c r="C113" s="138"/>
      <c r="D113" s="138"/>
      <c r="E113" s="3091" t="s">
        <v>2312</v>
      </c>
      <c r="F113" s="3091"/>
      <c r="G113" s="3091"/>
      <c r="H113" s="3091"/>
      <c r="I113" s="138"/>
    </row>
    <row r="114" spans="1:11" ht="3.75" customHeight="1">
      <c r="A114" s="2423"/>
      <c r="B114" s="2423"/>
      <c r="C114" s="2423"/>
      <c r="D114" s="2423"/>
      <c r="E114" s="2501"/>
      <c r="F114" s="2501"/>
      <c r="G114" s="2501"/>
      <c r="H114" s="2501"/>
      <c r="I114" s="2423"/>
    </row>
    <row r="115" spans="1:11" ht="18.75" customHeight="1">
      <c r="A115" s="3104" t="s">
        <v>2314</v>
      </c>
      <c r="B115" s="3105"/>
      <c r="C115" s="3105"/>
      <c r="D115" s="3105"/>
      <c r="E115" s="3105"/>
      <c r="F115" s="3105"/>
      <c r="G115" s="3105"/>
      <c r="H115" s="3105"/>
      <c r="I115" s="3106"/>
    </row>
    <row r="116" spans="1:11" ht="27" customHeight="1">
      <c r="A116" s="3015" t="s">
        <v>2315</v>
      </c>
      <c r="B116" s="3058" t="s">
        <v>2316</v>
      </c>
      <c r="C116" s="3058" t="s">
        <v>2317</v>
      </c>
      <c r="D116" s="3064" t="s">
        <v>2318</v>
      </c>
      <c r="E116" s="3065"/>
      <c r="F116" s="3100" t="s">
        <v>2319</v>
      </c>
      <c r="G116" s="3100"/>
      <c r="H116" s="3015" t="s">
        <v>2320</v>
      </c>
      <c r="I116" s="3015"/>
    </row>
    <row r="117" spans="1:11" ht="18.75" customHeight="1">
      <c r="A117" s="3015"/>
      <c r="B117" s="3059"/>
      <c r="C117" s="3059"/>
      <c r="D117" s="1798" t="s">
        <v>2321</v>
      </c>
      <c r="E117" s="1798" t="s">
        <v>2322</v>
      </c>
      <c r="F117" s="1798" t="s">
        <v>2321</v>
      </c>
      <c r="G117" s="1798" t="s">
        <v>2323</v>
      </c>
      <c r="H117" s="1798" t="s">
        <v>2321</v>
      </c>
      <c r="I117" s="1798" t="s">
        <v>2323</v>
      </c>
    </row>
    <row r="118" spans="1:11" ht="24.75" customHeight="1">
      <c r="A118" s="2531" t="str">
        <f>项目基本情况!S2</f>
        <v>出让国有建设用地使用权及在建建筑物房地产</v>
      </c>
      <c r="B118" s="1798">
        <f>M18</f>
        <v>0</v>
      </c>
      <c r="C118" s="1798" t="e">
        <f>M19</f>
        <v>#DIV/0!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t="e">
        <f ca="1">ROUND(IF(D32="总价",C32,I118*B118/10000),0)</f>
        <v>#REF!</v>
      </c>
      <c r="I118" s="1798" t="e">
        <f ca="1">ROUND(IF(D32="楼面单价",C32,H118*10000/B118),0)</f>
        <v>#REF!</v>
      </c>
    </row>
    <row r="119" spans="1:11" ht="18.75" customHeight="1">
      <c r="A119" s="3015" t="s">
        <v>2324</v>
      </c>
      <c r="B119" s="3015"/>
      <c r="C119" s="3015"/>
      <c r="D119" s="3060" t="e">
        <f ca="1">NUMBERSTRING(INT(D118*10000),2)&amp;"元整"</f>
        <v>#REF!</v>
      </c>
      <c r="E119" s="3061"/>
      <c r="F119" s="3060" t="e">
        <f ca="1">NUMBERSTRING(INT(F118*10000),2)&amp;"元整"</f>
        <v>#REF!</v>
      </c>
      <c r="G119" s="3061"/>
      <c r="H119" s="3060" t="e">
        <f ca="1">NUMBERSTRING(INT(H118*10000),2)&amp;"元整"</f>
        <v>#REF!</v>
      </c>
      <c r="I119" s="3061"/>
    </row>
    <row r="120" spans="1:11" ht="18.75" customHeight="1">
      <c r="A120" s="3055" t="str">
        <f>IF(项目基本情况!B9="房地产市场价值","",MID(E103,3,LEN(E103)-2))</f>
        <v>估价师知悉的法定优先受偿款</v>
      </c>
      <c r="B120" s="3056"/>
      <c r="C120" s="3057"/>
      <c r="D120" s="3055">
        <f>H103</f>
        <v>0</v>
      </c>
      <c r="E120" s="3056"/>
      <c r="F120" s="3056"/>
      <c r="G120" s="3056"/>
      <c r="H120" s="3056"/>
      <c r="I120" s="3057"/>
      <c r="K120" s="2428" t="str">
        <f>IF(D120=0,"故，本次评估不存在"&amp;A120,"故，本次评估"&amp;A120&amp;"为人民币"&amp;D120&amp;"万元整。")</f>
        <v>故，本次评估不存在估价师知悉的法定优先受偿款</v>
      </c>
    </row>
    <row r="121" spans="1:11" ht="18.75" customHeight="1">
      <c r="A121" s="3101" t="s">
        <v>2324</v>
      </c>
      <c r="B121" s="3102"/>
      <c r="C121" s="3103"/>
      <c r="D121" s="3060" t="str">
        <f>IF(D120=0,"零元整",NUMBERSTRING(INT(D120*10000),2)&amp;"元整")</f>
        <v>零元整</v>
      </c>
      <c r="E121" s="3062"/>
      <c r="F121" s="3062"/>
      <c r="G121" s="3062"/>
      <c r="H121" s="3062"/>
      <c r="I121" s="3061"/>
    </row>
    <row r="122" spans="1:11" ht="18.75" customHeight="1">
      <c r="A122" s="3066" t="str">
        <f>IF(项目基本情况!B9="房地产市场价值","",MID(E107,3,LEN(E107)-2))</f>
        <v>房地产抵押价值</v>
      </c>
      <c r="B122" s="3066"/>
      <c r="C122" s="3066"/>
      <c r="D122" s="3055" t="e">
        <f ca="1">H107</f>
        <v>#REF!</v>
      </c>
      <c r="E122" s="3056"/>
      <c r="F122" s="3056"/>
      <c r="G122" s="3056"/>
      <c r="H122" s="3056"/>
      <c r="I122" s="3057"/>
    </row>
    <row r="123" spans="1:11" ht="18.75" customHeight="1">
      <c r="A123" s="3015" t="s">
        <v>2324</v>
      </c>
      <c r="B123" s="3015"/>
      <c r="C123" s="3015"/>
      <c r="D123" s="3060" t="e">
        <f ca="1">NUMBERSTRING(INT(D122*10000),2)&amp;"元整"</f>
        <v>#REF!</v>
      </c>
      <c r="E123" s="3062"/>
      <c r="F123" s="3062"/>
      <c r="G123" s="3062"/>
      <c r="H123" s="3062"/>
      <c r="I123" s="3061"/>
    </row>
    <row r="124" spans="1:11" ht="18.75" customHeight="1">
      <c r="A124" s="3066" t="str">
        <f>IF(项目基本情况!B9="房地产市场价值","",MID(E109,3,LEN(E109)-2))</f>
        <v/>
      </c>
      <c r="B124" s="3066"/>
      <c r="C124" s="3066"/>
      <c r="D124" s="3055" t="str">
        <f>H109</f>
        <v>——</v>
      </c>
      <c r="E124" s="3056"/>
      <c r="F124" s="3056"/>
      <c r="G124" s="3056"/>
      <c r="H124" s="3056"/>
      <c r="I124" s="3057"/>
    </row>
    <row r="125" spans="1:11" ht="18.75" customHeight="1">
      <c r="A125" s="3015" t="s">
        <v>2324</v>
      </c>
      <c r="B125" s="3015"/>
      <c r="C125" s="3015"/>
      <c r="D125" s="3060" t="e">
        <f>NUMBERSTRING(INT(D124*10000),2)&amp;"元整"</f>
        <v>#VALUE!</v>
      </c>
      <c r="E125" s="3062"/>
      <c r="F125" s="3062"/>
      <c r="G125" s="3062"/>
      <c r="H125" s="3062"/>
      <c r="I125" s="3061"/>
    </row>
    <row r="126" spans="1:11" ht="18.75" customHeight="1">
      <c r="A126" s="3066" t="str">
        <f>IF(项目基本情况!B9="房地产市场价值","",MID(E111,3,LEN(E111)-2))</f>
        <v/>
      </c>
      <c r="B126" s="3066"/>
      <c r="C126" s="3066"/>
      <c r="D126" s="3055" t="str">
        <f>H111</f>
        <v>——</v>
      </c>
      <c r="E126" s="3056"/>
      <c r="F126" s="3056"/>
      <c r="G126" s="3056"/>
      <c r="H126" s="3056"/>
      <c r="I126" s="3057"/>
    </row>
    <row r="127" spans="1:11" ht="18.75" customHeight="1">
      <c r="A127" s="3015" t="s">
        <v>2324</v>
      </c>
      <c r="B127" s="3015"/>
      <c r="C127" s="3015"/>
      <c r="D127" s="3060" t="e">
        <f>NUMBERSTRING(INT(D126*10000),2)&amp;"元整"</f>
        <v>#VALUE!</v>
      </c>
      <c r="E127" s="3062"/>
      <c r="F127" s="3062"/>
      <c r="G127" s="3062"/>
      <c r="H127" s="3062"/>
      <c r="I127" s="3061"/>
    </row>
    <row r="128" spans="1:11" ht="21.75" customHeight="1">
      <c r="A128" s="3063" t="s">
        <v>2325</v>
      </c>
      <c r="B128" s="3063"/>
      <c r="C128" s="3063"/>
      <c r="D128" s="3063"/>
      <c r="E128" s="3063"/>
      <c r="F128" s="3063"/>
      <c r="G128" s="3063"/>
      <c r="H128" s="3063"/>
      <c r="I128" s="3063"/>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2328</v>
      </c>
      <c r="G135" s="2549"/>
      <c r="H135" s="2549"/>
      <c r="I135" s="2550" t="s">
        <v>2329</v>
      </c>
    </row>
    <row r="136" spans="1:35" ht="21.75" customHeight="1">
      <c r="A136" s="795"/>
      <c r="B136" s="2551"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2331</v>
      </c>
    </row>
    <row r="139" spans="1:35" ht="21.75" customHeight="1">
      <c r="A139" s="795"/>
      <c r="B139" s="2551" t="s">
        <v>2332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40"/>
      <c r="C1" s="242"/>
      <c r="D1" s="242"/>
      <c r="E1" s="242"/>
      <c r="F1" s="242"/>
      <c r="G1" s="1382">
        <f>MATCH(B1,'数据-取费表'!A6:A16,0)+5</f>
        <v>6</v>
      </c>
    </row>
    <row r="2" spans="1:9" s="244" customFormat="1" ht="18" customHeight="1">
      <c r="A2" s="245" t="s">
        <v>2334</v>
      </c>
      <c r="B2" s="246" t="e">
        <f ca="1">IF(D2="——",C52,C52-E2)</f>
        <v>#VALUE!</v>
      </c>
      <c r="C2" s="243" t="s">
        <v>2335</v>
      </c>
      <c r="D2" s="2554" t="s">
        <v>70</v>
      </c>
      <c r="E2" s="1443" t="e">
        <f ca="1">SUMIF(INDIRECT("'"&amp;G2&amp;"'"&amp;"!A:A"),"承租人权益价值",INDIRECT("'"&amp;G2&amp;"'"&amp;"!c:c"))</f>
        <v>#REF!</v>
      </c>
      <c r="F2" s="2555" t="s">
        <v>2335</v>
      </c>
      <c r="G2" s="2556"/>
    </row>
    <row r="3" spans="1:9" s="244" customFormat="1" ht="18" customHeight="1" thickBot="1">
      <c r="A3" s="247" t="s">
        <v>2336</v>
      </c>
      <c r="B3" s="248" t="e">
        <f ca="1">ROUND(B2*10000/(IF(B1="",'数据-汇总表'!E3,INDIRECT("'数据-取费表'!k"&amp;$G$1))),0)</f>
        <v>#VALUE!</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0</v>
      </c>
      <c r="D5" s="255" t="s">
        <v>2341</v>
      </c>
      <c r="E5" s="256" t="s">
        <v>2342</v>
      </c>
      <c r="F5" s="256" t="s">
        <v>2343</v>
      </c>
      <c r="G5" s="257"/>
    </row>
    <row r="6" spans="1:9" s="258" customFormat="1" ht="13.5" customHeight="1">
      <c r="A6" s="952" t="s">
        <v>2344</v>
      </c>
      <c r="B6" s="259" t="s">
        <v>2345</v>
      </c>
      <c r="C6" s="260"/>
      <c r="D6" s="261"/>
      <c r="E6" s="262"/>
      <c r="F6" s="262"/>
      <c r="G6" s="263"/>
    </row>
    <row r="7" spans="1:9" s="258" customFormat="1" ht="13.5" customHeight="1">
      <c r="A7" s="952" t="s">
        <v>2346</v>
      </c>
      <c r="B7" s="259" t="s">
        <v>2347</v>
      </c>
      <c r="C7" s="264">
        <f>ROUND(C6*F7,0)</f>
        <v>0</v>
      </c>
      <c r="D7" s="264"/>
      <c r="E7" s="262"/>
      <c r="F7" s="265">
        <f>'数据-取费表'!B48+'数据-取费表'!B49</f>
        <v>0</v>
      </c>
      <c r="G7" s="263"/>
    </row>
    <row r="8" spans="1:9" s="267" customFormat="1">
      <c r="A8" s="952" t="s">
        <v>2348</v>
      </c>
      <c r="B8" s="259" t="s">
        <v>2349</v>
      </c>
      <c r="C8" s="264">
        <f>IF(G8="已包含在土地购买价格中","0",IF(B1="",'数据-取费表'!B29,IF(G9="全部缴纳",C9+C10,H9)))</f>
        <v>0</v>
      </c>
      <c r="D8" s="266"/>
      <c r="E8" s="264"/>
      <c r="F8" s="265"/>
      <c r="G8" s="2557"/>
    </row>
    <row r="9" spans="1:9" s="258" customFormat="1" ht="13.5" customHeight="1">
      <c r="A9" s="953" t="s">
        <v>800</v>
      </c>
      <c r="B9" s="268" t="s">
        <v>2350</v>
      </c>
      <c r="C9" s="269">
        <f ca="1">ROUND(D9*E9/10000,0)</f>
        <v>0</v>
      </c>
      <c r="D9" s="1035">
        <f ca="1">IF(B1="",'数据-汇总表'!E5,IF(INDIRECT("'数据-取费表'!c"&amp;$G$1)="住宅",INDIRECT("'数据-取费表'!k"&amp;$G$1),0))</f>
        <v>0</v>
      </c>
      <c r="E9" s="269">
        <f>'数据-取费表'!B27</f>
        <v>0</v>
      </c>
      <c r="F9" s="265"/>
      <c r="G9" s="2558"/>
      <c r="H9" s="1393"/>
      <c r="I9" s="2559" t="s">
        <v>2351</v>
      </c>
    </row>
    <row r="10" spans="1:9" s="258" customFormat="1" ht="13.5" customHeight="1">
      <c r="A10" s="953" t="s">
        <v>801</v>
      </c>
      <c r="B10" s="268" t="s">
        <v>2352</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f ca="1">IF(G19="已包含在土地取得成本中","0",ROUND(D19*E19/10000,0))</f>
        <v>0</v>
      </c>
      <c r="D19" s="1039">
        <f ca="1">D9+D10</f>
        <v>0</v>
      </c>
      <c r="E19" s="255">
        <f>'数据-取费表'!B31</f>
        <v>0</v>
      </c>
      <c r="F19" s="275"/>
      <c r="G19" s="2557"/>
    </row>
    <row r="20" spans="1:7" s="258" customFormat="1" ht="13.5" customHeight="1">
      <c r="A20" s="299" t="s">
        <v>2365</v>
      </c>
      <c r="B20" s="254" t="s">
        <v>2366</v>
      </c>
      <c r="C20" s="276">
        <f ca="1">ROUND((C5+C19)*F20,0)</f>
        <v>0</v>
      </c>
      <c r="D20" s="276"/>
      <c r="E20" s="276"/>
      <c r="F20" s="277">
        <f>'数据-取费表'!B37</f>
        <v>0</v>
      </c>
      <c r="G20" s="278" t="s">
        <v>2367</v>
      </c>
    </row>
    <row r="21" spans="1:7" s="258" customFormat="1" ht="13.5" customHeight="1">
      <c r="A21" s="299" t="s">
        <v>2368</v>
      </c>
      <c r="B21" s="254" t="s">
        <v>2369</v>
      </c>
      <c r="C21" s="279">
        <f>F21</f>
        <v>0</v>
      </c>
      <c r="D21" s="280" t="s">
        <v>2370</v>
      </c>
      <c r="E21" s="276"/>
      <c r="F21" s="277">
        <f>'数据-取费表'!B38</f>
        <v>0</v>
      </c>
      <c r="G21" s="278" t="s">
        <v>2371</v>
      </c>
    </row>
    <row r="22" spans="1:7" s="258" customFormat="1" ht="13.5" customHeight="1">
      <c r="A22" s="299" t="s">
        <v>2372</v>
      </c>
      <c r="B22" s="254" t="s">
        <v>2373</v>
      </c>
      <c r="C22" s="1357" t="e">
        <f ca="1">ROUND(SUM(C23:C25),0)</f>
        <v>#VALUE!</v>
      </c>
      <c r="D22" s="279" t="e">
        <f ca="1">C26</f>
        <v>#VALUE!</v>
      </c>
      <c r="E22" s="280" t="s">
        <v>2370</v>
      </c>
      <c r="F22" s="281" t="e">
        <f ca="1">'数据-取费表'!B40</f>
        <v>#VALUE!</v>
      </c>
      <c r="G22" s="278" t="str">
        <f>IF('数据-取费表'!B22&lt;=1,"单利计息","复利计息")</f>
        <v>单利计息</v>
      </c>
    </row>
    <row r="23" spans="1:7" s="258" customFormat="1" ht="13.5" customHeight="1">
      <c r="A23" s="954" t="s">
        <v>2374</v>
      </c>
      <c r="B23" s="259" t="s">
        <v>2375</v>
      </c>
      <c r="C23" s="1358" t="e">
        <f ca="1">ROUND(IF('数据-取费表'!B22&lt;=1,C5*F22*'数据-取费表'!B23,C5*(POWER((1+F22),'数据-取费表'!B23)-1)),0)</f>
        <v>#VALUE!</v>
      </c>
      <c r="D23" s="282"/>
      <c r="E23" s="282"/>
      <c r="F23" s="283"/>
      <c r="G23" s="284" t="s">
        <v>2376</v>
      </c>
    </row>
    <row r="24" spans="1:7" s="258" customFormat="1" ht="13.5" customHeight="1">
      <c r="A24" s="954" t="s">
        <v>2377</v>
      </c>
      <c r="B24" s="259" t="s">
        <v>2378</v>
      </c>
      <c r="C24" s="1358" t="e">
        <f ca="1">ROUND(IF('数据-取费表'!B22&lt;=1,C19*F22*('数据-取费表'!B19/2+'数据-取费表'!B21),C19*(POWER((1+F22),('数据-取费表'!B19/2+'数据-取费表'!B21))-1)),0)</f>
        <v>#VALUE!</v>
      </c>
      <c r="D24" s="282"/>
      <c r="E24" s="282"/>
      <c r="F24" s="283"/>
      <c r="G24" s="284" t="s">
        <v>2379</v>
      </c>
    </row>
    <row r="25" spans="1:7" s="258" customFormat="1" ht="24">
      <c r="A25" s="954" t="s">
        <v>2380</v>
      </c>
      <c r="B25" s="259" t="s">
        <v>2381</v>
      </c>
      <c r="C25" s="1358" t="e">
        <f ca="1">ROUND(IF('数据-取费表'!B22&lt;=1,C20*F22*'数据-取费表'!B23/2,C20*(POWER((1+F22),'数据-取费表'!B23/2)-1)),0)</f>
        <v>#VALUE!</v>
      </c>
      <c r="D25" s="282"/>
      <c r="E25" s="285"/>
      <c r="F25" s="283"/>
      <c r="G25" s="286" t="s">
        <v>2382</v>
      </c>
    </row>
    <row r="26" spans="1:7" s="258" customFormat="1">
      <c r="A26" s="954" t="s">
        <v>795</v>
      </c>
      <c r="B26" s="259" t="s">
        <v>2383</v>
      </c>
      <c r="C26" s="282" t="e">
        <f ca="1">ROUND(IF('数据-取费表'!B22&lt;=1,F21*F22*'数据-取费表'!B23/2,F21*(POWER((1+F22),'数据-取费表'!B23/2)-1)),4)</f>
        <v>#VALUE!</v>
      </c>
      <c r="D26" s="282"/>
      <c r="E26" s="285"/>
      <c r="F26" s="283"/>
      <c r="G26" s="287"/>
    </row>
    <row r="27" spans="1:7" s="258" customFormat="1" ht="24.75">
      <c r="A27" s="299" t="s">
        <v>2384</v>
      </c>
      <c r="B27" s="288" t="s">
        <v>2385</v>
      </c>
      <c r="C27" s="289" t="e">
        <f ca="1">C28</f>
        <v>#DIV/0!</v>
      </c>
      <c r="D27" s="279" t="e">
        <f ca="1">C29</f>
        <v>#DIV/0!</v>
      </c>
      <c r="E27" s="280" t="s">
        <v>2386</v>
      </c>
      <c r="F27" s="290" t="e">
        <f ca="1">IF(B1="",'数据-取费表'!Q16,INDIRECT("'数据-取费表'!q"&amp;$G$1))</f>
        <v>#DIV/0!</v>
      </c>
      <c r="G27" s="291" t="s">
        <v>2387</v>
      </c>
    </row>
    <row r="28" spans="1:7" s="258" customFormat="1" ht="13.5" customHeight="1">
      <c r="A28" s="954" t="s">
        <v>791</v>
      </c>
      <c r="B28" s="292" t="s">
        <v>2388</v>
      </c>
      <c r="C28" s="293" t="e">
        <f ca="1">ROUND((C5+C19+C20)*F27*'数据-取费表'!B21/'数据-取费表'!B20,0)</f>
        <v>#DIV/0!</v>
      </c>
      <c r="D28" s="279"/>
      <c r="E28" s="280"/>
      <c r="F28" s="290"/>
      <c r="G28" s="291"/>
    </row>
    <row r="29" spans="1:7" s="258" customFormat="1" ht="13.5" customHeight="1">
      <c r="A29" s="954" t="s">
        <v>792</v>
      </c>
      <c r="B29" s="292" t="s">
        <v>2389</v>
      </c>
      <c r="C29" s="282" t="e">
        <f ca="1">ROUND(C21*F27*'数据-取费表'!B21/'数据-取费表'!B20,4)</f>
        <v>#DIV/0!</v>
      </c>
      <c r="D29" s="279"/>
      <c r="E29" s="280"/>
      <c r="F29" s="290"/>
      <c r="G29" s="291"/>
    </row>
    <row r="30" spans="1:7" s="258" customFormat="1" ht="13.5" customHeight="1">
      <c r="A30" s="299" t="s">
        <v>2390</v>
      </c>
      <c r="B30" s="254" t="s">
        <v>2391</v>
      </c>
      <c r="C30" s="279">
        <f>ROUND(F30/(1+'数据-取费表'!C42),4)</f>
        <v>0</v>
      </c>
      <c r="D30" s="280" t="s">
        <v>2386</v>
      </c>
      <c r="E30" s="285"/>
      <c r="F30" s="281">
        <f>'数据-取费表'!B41</f>
        <v>0</v>
      </c>
      <c r="G30" s="278" t="s">
        <v>2392</v>
      </c>
    </row>
    <row r="31" spans="1:7" ht="16.5" customHeight="1">
      <c r="A31" s="253">
        <v>1</v>
      </c>
      <c r="B31" s="254" t="s">
        <v>2393</v>
      </c>
      <c r="C31" s="255" t="e">
        <f ca="1">ROUND((C5+C19+C20+C22+C27)/(1-C21-D22-D27-C30),0)</f>
        <v>#VALUE!</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0</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2398</v>
      </c>
    </row>
    <row r="35" spans="1:7" ht="13.5" customHeight="1">
      <c r="A35" s="954" t="s">
        <v>796</v>
      </c>
      <c r="B35" s="259" t="s">
        <v>2399</v>
      </c>
      <c r="C35" s="264">
        <f ca="1">ROUND(C34*F35,0)</f>
        <v>0</v>
      </c>
      <c r="D35" s="264"/>
      <c r="E35" s="264"/>
      <c r="F35" s="303">
        <f>'数据-取费表'!B33</f>
        <v>0</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2402</v>
      </c>
    </row>
    <row r="37" spans="1:7" s="302" customFormat="1" ht="13.5" customHeight="1">
      <c r="A37" s="954" t="s">
        <v>798</v>
      </c>
      <c r="B37" s="259" t="s">
        <v>2403</v>
      </c>
      <c r="C37" s="293">
        <f ca="1">ROUND(E37*D37*F34/10000,0)</f>
        <v>0</v>
      </c>
      <c r="D37" s="261">
        <f ca="1">D19</f>
        <v>0</v>
      </c>
      <c r="E37" s="293">
        <f>'数据-取费表'!B35</f>
        <v>0</v>
      </c>
      <c r="F37" s="303"/>
      <c r="G37" s="305" t="s">
        <v>2404</v>
      </c>
    </row>
    <row r="38" spans="1:7" ht="13.5" customHeight="1">
      <c r="A38" s="954" t="s">
        <v>799</v>
      </c>
      <c r="B38" s="259" t="s">
        <v>2405</v>
      </c>
      <c r="C38" s="264">
        <f ca="1">ROUND(C34*F38,0)</f>
        <v>0</v>
      </c>
      <c r="D38" s="264"/>
      <c r="E38" s="264"/>
      <c r="F38" s="303">
        <f>'数据-取费表'!B36</f>
        <v>0</v>
      </c>
      <c r="G38" s="263" t="s">
        <v>2400</v>
      </c>
    </row>
    <row r="39" spans="1:7" s="258" customFormat="1" ht="13.5" customHeight="1">
      <c r="A39" s="299" t="s">
        <v>2406</v>
      </c>
      <c r="B39" s="254" t="s">
        <v>2407</v>
      </c>
      <c r="C39" s="276">
        <f ca="1">ROUND(C33*F20,0)</f>
        <v>0</v>
      </c>
      <c r="D39" s="276"/>
      <c r="E39" s="276"/>
      <c r="F39" s="277"/>
      <c r="G39" s="278" t="s">
        <v>2408</v>
      </c>
    </row>
    <row r="40" spans="1:7" s="258" customFormat="1" ht="13.5" customHeight="1">
      <c r="A40" s="299" t="s">
        <v>2409</v>
      </c>
      <c r="B40" s="254" t="s">
        <v>2410</v>
      </c>
      <c r="C40" s="1731">
        <f>F21</f>
        <v>0</v>
      </c>
      <c r="D40" s="280" t="s">
        <v>2411</v>
      </c>
      <c r="E40" s="276"/>
      <c r="F40" s="277"/>
      <c r="G40" s="278" t="s">
        <v>2412</v>
      </c>
    </row>
    <row r="41" spans="1:7" s="258" customFormat="1" ht="13.5" customHeight="1">
      <c r="A41" s="299" t="s">
        <v>2413</v>
      </c>
      <c r="B41" s="254" t="s">
        <v>2414</v>
      </c>
      <c r="C41" s="276" t="e">
        <f ca="1">ROUND(SUM(C42:C43),0)</f>
        <v>#VALUE!</v>
      </c>
      <c r="D41" s="279" t="e">
        <f ca="1">C44</f>
        <v>#VALUE!</v>
      </c>
      <c r="E41" s="280" t="s">
        <v>2411</v>
      </c>
      <c r="F41" s="281"/>
      <c r="G41" s="278" t="str">
        <f>IF('数据-取费表'!B22&lt;=1,"单利计息","复利计息")</f>
        <v>单利计息</v>
      </c>
    </row>
    <row r="42" spans="1:7" ht="13.5" customHeight="1">
      <c r="A42" s="954" t="s">
        <v>791</v>
      </c>
      <c r="B42" s="259" t="s">
        <v>2415</v>
      </c>
      <c r="C42" s="282" t="e">
        <f ca="1">ROUND(IF('数据-取费表'!B22&lt;=1,C33*F22*'数据-取费表'!B21/2,C33*(POWER((1+F22),'数据-取费表'!B21/2)-1)),0)</f>
        <v>#VALUE!</v>
      </c>
      <c r="D42" s="282"/>
      <c r="E42" s="282"/>
      <c r="F42" s="283"/>
      <c r="G42" s="3135" t="s">
        <v>2416</v>
      </c>
    </row>
    <row r="43" spans="1:7" ht="13.5" customHeight="1">
      <c r="A43" s="954" t="s">
        <v>792</v>
      </c>
      <c r="B43" s="259" t="s">
        <v>2417</v>
      </c>
      <c r="C43" s="282" t="e">
        <f ca="1">ROUND(IF('数据-取费表'!B22&lt;=1,C39*F22*'数据-取费表'!B21/2,C39*(POWER((1+F22),'数据-取费表'!B21/2)-1)),0)</f>
        <v>#VALUE!</v>
      </c>
      <c r="D43" s="282"/>
      <c r="E43" s="282"/>
      <c r="F43" s="283"/>
      <c r="G43" s="3136"/>
    </row>
    <row r="44" spans="1:7" ht="13.5" customHeight="1">
      <c r="A44" s="954" t="s">
        <v>793</v>
      </c>
      <c r="B44" s="259" t="s">
        <v>2418</v>
      </c>
      <c r="C44" s="282" t="e">
        <f ca="1">ROUND(IF('数据-取费表'!B22&lt;=1,C40*F22*'数据-取费表'!B21/2,C40*(POWER((1+F22),'数据-取费表'!B21/2)-1)),4)</f>
        <v>#VALUE!</v>
      </c>
      <c r="D44" s="282"/>
      <c r="E44" s="282"/>
      <c r="F44" s="283"/>
      <c r="G44" s="3137"/>
    </row>
    <row r="45" spans="1:7" s="258" customFormat="1" ht="13.5" customHeight="1">
      <c r="A45" s="299" t="s">
        <v>2419</v>
      </c>
      <c r="B45" s="288" t="s">
        <v>2385</v>
      </c>
      <c r="C45" s="289" t="e">
        <f ca="1">C46</f>
        <v>#DIV/0!</v>
      </c>
      <c r="D45" s="279" t="e">
        <f ca="1">C47</f>
        <v>#DIV/0!</v>
      </c>
      <c r="E45" s="280" t="s">
        <v>2411</v>
      </c>
      <c r="F45" s="290"/>
      <c r="G45" s="291" t="s">
        <v>2420</v>
      </c>
    </row>
    <row r="46" spans="1:7" s="258" customFormat="1" ht="13.5" customHeight="1">
      <c r="A46" s="954" t="s">
        <v>791</v>
      </c>
      <c r="B46" s="292" t="s">
        <v>2421</v>
      </c>
      <c r="C46" s="293" t="e">
        <f ca="1">ROUND((C33+C39)*F27,0)</f>
        <v>#DIV/0!</v>
      </c>
      <c r="D46" s="307"/>
      <c r="E46" s="280"/>
      <c r="F46" s="290"/>
      <c r="G46" s="291"/>
    </row>
    <row r="47" spans="1:7" s="258" customFormat="1" ht="13.5" customHeight="1">
      <c r="A47" s="954" t="s">
        <v>792</v>
      </c>
      <c r="B47" s="292" t="s">
        <v>2422</v>
      </c>
      <c r="C47" s="282" t="e">
        <f ca="1">ROUND(C40*F27,4)</f>
        <v>#DIV/0!</v>
      </c>
      <c r="D47" s="307"/>
      <c r="E47" s="280"/>
      <c r="F47" s="290"/>
      <c r="G47" s="291"/>
    </row>
    <row r="48" spans="1:7" s="258" customFormat="1" ht="13.5" customHeight="1">
      <c r="A48" s="299" t="s">
        <v>2384</v>
      </c>
      <c r="B48" s="254" t="s">
        <v>2423</v>
      </c>
      <c r="C48" s="1731">
        <f>ROUND(F30/(1+'数据-取费表'!C42),4)</f>
        <v>0</v>
      </c>
      <c r="D48" s="280" t="s">
        <v>2411</v>
      </c>
      <c r="E48" s="276"/>
      <c r="F48" s="281"/>
      <c r="G48" s="278" t="s">
        <v>2424</v>
      </c>
    </row>
    <row r="49" spans="1:7" ht="16.5" customHeight="1">
      <c r="A49" s="299" t="s">
        <v>2390</v>
      </c>
      <c r="B49" s="254" t="s">
        <v>2425</v>
      </c>
      <c r="C49" s="276" t="e">
        <f ca="1">ROUND((C33+C39+C41+C45)/(1-C40-D41-D45-C48),0)</f>
        <v>#VALUE!</v>
      </c>
      <c r="D49" s="276"/>
      <c r="E49" s="276"/>
      <c r="F49" s="308"/>
      <c r="G49" s="278" t="s">
        <v>2426</v>
      </c>
    </row>
    <row r="50" spans="1:7" s="302" customFormat="1" ht="24">
      <c r="A50" s="299" t="s">
        <v>2427</v>
      </c>
      <c r="B50" s="254" t="s">
        <v>2428</v>
      </c>
      <c r="C50" s="276"/>
      <c r="D50" s="276"/>
      <c r="E50" s="276"/>
      <c r="F50" s="308" t="e">
        <f>IF('数据-取费表'!B24=0,'数据-取费表'!N16,1)</f>
        <v>#DIV/0!</v>
      </c>
      <c r="G50" s="291" t="s">
        <v>2429</v>
      </c>
    </row>
    <row r="51" spans="1:7" ht="16.5" customHeight="1">
      <c r="A51" s="299" t="s">
        <v>2430</v>
      </c>
      <c r="B51" s="254" t="s">
        <v>2431</v>
      </c>
      <c r="C51" s="276" t="e">
        <f ca="1">ROUND(C49*F50,0)</f>
        <v>#VALUE!</v>
      </c>
      <c r="D51" s="276"/>
      <c r="E51" s="276"/>
      <c r="F51" s="308"/>
      <c r="G51" s="278" t="s">
        <v>2432</v>
      </c>
    </row>
    <row r="52" spans="1:7" s="252" customFormat="1" ht="16.5" thickBot="1">
      <c r="A52" s="309" t="s">
        <v>2433</v>
      </c>
      <c r="B52" s="310"/>
      <c r="C52" s="311" t="e">
        <f ca="1">C31+C51</f>
        <v>#VALUE!</v>
      </c>
      <c r="D52" s="310"/>
      <c r="E52" s="310"/>
      <c r="F52" s="310"/>
      <c r="G52" s="312"/>
    </row>
    <row r="55" spans="1:7" ht="15">
      <c r="B55" s="314" t="s">
        <v>2434</v>
      </c>
      <c r="C55" s="315"/>
    </row>
    <row r="56" spans="1:7">
      <c r="B56" s="317" t="s">
        <v>1513</v>
      </c>
      <c r="C56" s="319" t="e">
        <f ca="1">1-C57</f>
        <v>#VALUE!</v>
      </c>
    </row>
    <row r="57" spans="1:7">
      <c r="B57" s="317" t="s">
        <v>1514</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9" t="str">
        <f>项目基本情况!B1</f>
        <v>出让国有建设用地使用权及在建建筑物预评估</v>
      </c>
      <c r="C37" s="2949"/>
      <c r="D37" s="2949"/>
      <c r="E37" s="2949"/>
      <c r="F37" s="2949"/>
      <c r="G37" s="2949"/>
      <c r="H37" s="2949"/>
      <c r="I37" s="294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40"/>
      <c r="C1" s="2560" t="s">
        <v>2435</v>
      </c>
      <c r="D1" s="242"/>
      <c r="E1" s="242"/>
      <c r="F1" s="242"/>
      <c r="G1" s="1382">
        <f>MATCH(B1,'数据-取费表'!A6:A16,0)+5</f>
        <v>6</v>
      </c>
      <c r="H1" s="1285" t="str">
        <f>IF(ISERROR(FIND("住宅",B1)),"非住宅","住宅")</f>
        <v>非住宅</v>
      </c>
    </row>
    <row r="2" spans="1:8" s="244" customFormat="1" ht="18" customHeight="1">
      <c r="A2" s="245" t="s">
        <v>2334</v>
      </c>
      <c r="B2" s="246" t="e">
        <f ca="1">ROUND(IF(D2="——",C52/10000,C52/10000-E2),0)</f>
        <v>#VALUE!</v>
      </c>
      <c r="C2" s="243" t="s">
        <v>2335</v>
      </c>
      <c r="D2" s="2554" t="s">
        <v>70</v>
      </c>
      <c r="E2" s="1443" t="e">
        <f ca="1">SUMIF(INDIRECT("'"&amp;G2&amp;"'"&amp;"!A:A"),"承租人权益价值",INDIRECT("'"&amp;G2&amp;"'"&amp;"!c:c"))</f>
        <v>#REF!</v>
      </c>
      <c r="F2" s="2555" t="s">
        <v>2335</v>
      </c>
      <c r="G2" s="2556"/>
    </row>
    <row r="3" spans="1:8" s="244" customFormat="1" ht="18" customHeight="1" thickBot="1">
      <c r="A3" s="247" t="s">
        <v>2336</v>
      </c>
      <c r="B3" s="248" t="e">
        <f ca="1">ROUND(B2*10000/(IF(B1="",'数据-汇总表'!E3,INDIRECT("'数据-取费表'!k"&amp;$G$1))),0)</f>
        <v>#VALUE!</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0</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0</v>
      </c>
      <c r="G7" s="263"/>
    </row>
    <row r="8" spans="1:8" s="267" customFormat="1">
      <c r="A8" s="952" t="s">
        <v>2348</v>
      </c>
      <c r="B8" s="259" t="s">
        <v>2349</v>
      </c>
      <c r="C8" s="264">
        <f ca="1">IF(G8="已包含在土地购买价格中",0,C9+C10)</f>
        <v>0</v>
      </c>
      <c r="D8" s="266"/>
      <c r="E8" s="264"/>
      <c r="F8" s="265"/>
      <c r="G8" s="2557"/>
    </row>
    <row r="9" spans="1:8" s="258" customFormat="1" ht="13.5" customHeight="1">
      <c r="A9" s="953" t="s">
        <v>800</v>
      </c>
      <c r="B9" s="268" t="s">
        <v>2350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2352</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0</v>
      </c>
      <c r="D19" s="1039">
        <f ca="1">D9+D10</f>
        <v>0</v>
      </c>
      <c r="E19" s="255">
        <f>'数据-取费表'!B31</f>
        <v>0</v>
      </c>
      <c r="F19" s="275"/>
      <c r="G19" s="2557"/>
    </row>
    <row r="20" spans="1:7" s="258" customFormat="1" ht="13.5" customHeight="1">
      <c r="A20" s="299" t="s">
        <v>2446</v>
      </c>
      <c r="B20" s="254" t="s">
        <v>2447</v>
      </c>
      <c r="C20" s="276">
        <f ca="1">ROUND((C5+C19)*F20,0)</f>
        <v>0</v>
      </c>
      <c r="D20" s="276"/>
      <c r="E20" s="276"/>
      <c r="F20" s="277">
        <f>'数据-取费表'!B37</f>
        <v>0</v>
      </c>
      <c r="G20" s="278" t="s">
        <v>2448</v>
      </c>
    </row>
    <row r="21" spans="1:7" s="258" customFormat="1" ht="13.5" customHeight="1">
      <c r="A21" s="299" t="s">
        <v>2449</v>
      </c>
      <c r="B21" s="254" t="s">
        <v>2450</v>
      </c>
      <c r="C21" s="279">
        <f>F21</f>
        <v>0</v>
      </c>
      <c r="D21" s="280" t="s">
        <v>2451</v>
      </c>
      <c r="E21" s="276"/>
      <c r="F21" s="277">
        <f>'数据-取费表'!B38</f>
        <v>0</v>
      </c>
      <c r="G21" s="278" t="s">
        <v>2452</v>
      </c>
    </row>
    <row r="22" spans="1:7" s="258" customFormat="1" ht="13.5" customHeight="1">
      <c r="A22" s="299" t="s">
        <v>2453</v>
      </c>
      <c r="B22" s="254" t="s">
        <v>2454</v>
      </c>
      <c r="C22" s="1383" t="e">
        <f ca="1">ROUND(SUM(C23:C25),0)</f>
        <v>#VALUE!</v>
      </c>
      <c r="D22" s="279" t="e">
        <f ca="1">C26</f>
        <v>#VALUE!</v>
      </c>
      <c r="E22" s="280" t="s">
        <v>2451</v>
      </c>
      <c r="F22" s="281" t="e">
        <f ca="1">'数据-取费表'!B40</f>
        <v>#VALUE!</v>
      </c>
      <c r="G22" s="278" t="str">
        <f>IF('数据-取费表'!B22&lt;=1,"单利计息","复利计息")</f>
        <v>单利计息</v>
      </c>
    </row>
    <row r="23" spans="1:7" s="258" customFormat="1" ht="13.5" customHeight="1">
      <c r="A23" s="954" t="s">
        <v>2344</v>
      </c>
      <c r="B23" s="259" t="s">
        <v>2455</v>
      </c>
      <c r="C23" s="1384" t="e">
        <f ca="1">ROUND(IF('数据-取费表'!B22&lt;=1,C5*F22*'数据-取费表'!B22,C5*(POWER((1+F22),'数据-取费表'!B22)-1)),0)</f>
        <v>#VALUE!</v>
      </c>
      <c r="D23" s="282"/>
      <c r="E23" s="282"/>
      <c r="F23" s="283"/>
      <c r="G23" s="284" t="s">
        <v>2456</v>
      </c>
    </row>
    <row r="24" spans="1:7" s="258" customFormat="1" ht="13.5" customHeight="1">
      <c r="A24" s="954" t="s">
        <v>2346</v>
      </c>
      <c r="B24" s="259" t="s">
        <v>2457</v>
      </c>
      <c r="C24" s="1384" t="e">
        <f ca="1">ROUND(IF('数据-取费表'!B22&lt;=1,C19*F22*('数据-取费表'!B19/2+'数据-取费表'!B20),C19*(POWER((1+F22),('数据-取费表'!B19/2+'数据-取费表'!B20))-1)),0)</f>
        <v>#VALUE!</v>
      </c>
      <c r="D24" s="282"/>
      <c r="E24" s="282"/>
      <c r="F24" s="283"/>
      <c r="G24" s="284" t="s">
        <v>2458</v>
      </c>
    </row>
    <row r="25" spans="1:7" s="258" customFormat="1" ht="24">
      <c r="A25" s="954" t="s">
        <v>2348</v>
      </c>
      <c r="B25" s="259" t="s">
        <v>2459</v>
      </c>
      <c r="C25" s="1384" t="e">
        <f ca="1">ROUND(IF('数据-取费表'!B22&lt;=1,C20*F22*'数据-取费表'!B22/2,C20*(POWER((1+F22),'数据-取费表'!B22/2)-1)),0)</f>
        <v>#VALUE!</v>
      </c>
      <c r="D25" s="282"/>
      <c r="E25" s="285"/>
      <c r="F25" s="283"/>
      <c r="G25" s="286" t="s">
        <v>2460</v>
      </c>
    </row>
    <row r="26" spans="1:7" s="258" customFormat="1">
      <c r="A26" s="954" t="s">
        <v>795</v>
      </c>
      <c r="B26" s="259" t="s">
        <v>2383</v>
      </c>
      <c r="C26" s="282" t="e">
        <f ca="1">ROUND(IF('数据-取费表'!B22&lt;=1,F21*F22*'数据-取费表'!B22/2,F21*(POWER((1+F22),'数据-取费表'!B22/2)-1)),4)</f>
        <v>#VALUE!</v>
      </c>
      <c r="D26" s="282"/>
      <c r="E26" s="285"/>
      <c r="F26" s="283"/>
      <c r="G26" s="287"/>
    </row>
    <row r="27" spans="1:7" s="258" customFormat="1" ht="24.75">
      <c r="A27" s="299" t="s">
        <v>2384</v>
      </c>
      <c r="B27" s="288" t="s">
        <v>2385</v>
      </c>
      <c r="C27" s="289" t="e">
        <f ca="1">C28</f>
        <v>#DIV/0!</v>
      </c>
      <c r="D27" s="279" t="e">
        <f ca="1">C29</f>
        <v>#DIV/0!</v>
      </c>
      <c r="E27" s="280" t="s">
        <v>2386</v>
      </c>
      <c r="F27" s="290" t="e">
        <f ca="1">IF(B1="",'数据-取费表'!Q16,INDIRECT("'数据-取费表'!q"&amp;$G$1))</f>
        <v>#DIV/0!</v>
      </c>
      <c r="G27" s="291" t="s">
        <v>2387</v>
      </c>
    </row>
    <row r="28" spans="1:7" s="258" customFormat="1" ht="13.5" customHeight="1">
      <c r="A28" s="954" t="s">
        <v>791</v>
      </c>
      <c r="B28" s="292" t="s">
        <v>2388</v>
      </c>
      <c r="C28" s="293" t="e">
        <f ca="1">ROUND((C5+C19+C20)*F27,0)</f>
        <v>#DIV/0!</v>
      </c>
      <c r="D28" s="279"/>
      <c r="E28" s="280"/>
      <c r="F28" s="290"/>
      <c r="G28" s="291"/>
    </row>
    <row r="29" spans="1:7" s="258" customFormat="1" ht="13.5" customHeight="1">
      <c r="A29" s="954" t="s">
        <v>792</v>
      </c>
      <c r="B29" s="292" t="s">
        <v>2389</v>
      </c>
      <c r="C29" s="282" t="e">
        <f ca="1">ROUND(C21*F27,4)</f>
        <v>#DIV/0!</v>
      </c>
      <c r="D29" s="279"/>
      <c r="E29" s="280"/>
      <c r="F29" s="290"/>
      <c r="G29" s="291"/>
    </row>
    <row r="30" spans="1:7" s="258" customFormat="1" ht="13.5" customHeight="1">
      <c r="A30" s="299" t="s">
        <v>2390</v>
      </c>
      <c r="B30" s="254" t="s">
        <v>2391</v>
      </c>
      <c r="C30" s="279">
        <f>ROUND(F30/(1+'数据-取费表'!C42),4)</f>
        <v>0</v>
      </c>
      <c r="D30" s="280" t="s">
        <v>2386</v>
      </c>
      <c r="E30" s="285"/>
      <c r="F30" s="281">
        <f>'数据-取费表'!B41</f>
        <v>0</v>
      </c>
      <c r="G30" s="278" t="s">
        <v>2392</v>
      </c>
    </row>
    <row r="31" spans="1:7" ht="16.5" customHeight="1">
      <c r="A31" s="253">
        <v>1</v>
      </c>
      <c r="B31" s="254" t="s">
        <v>2393</v>
      </c>
      <c r="C31" s="255" t="e">
        <f ca="1">ROUND((C5+C19+C20+C22+C27)/(1-C21-D22-D27-C30),0)</f>
        <v>#VALUE!</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0</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4" t="s">
        <v>796</v>
      </c>
      <c r="B35" s="259" t="s">
        <v>2399</v>
      </c>
      <c r="C35" s="264">
        <f ca="1">ROUND(C34*F35,0)</f>
        <v>0</v>
      </c>
      <c r="D35" s="264"/>
      <c r="E35" s="264"/>
      <c r="F35" s="303">
        <f>'数据-取费表'!B33</f>
        <v>0</v>
      </c>
      <c r="G35" s="263" t="s">
        <v>2400</v>
      </c>
    </row>
    <row r="36" spans="1:7" ht="24">
      <c r="A36" s="954" t="s">
        <v>797</v>
      </c>
      <c r="B36" s="259" t="s">
        <v>2401</v>
      </c>
      <c r="C36" s="264">
        <f ca="1">ROUND(IF(B1="",SUM('数据-取费表'!AP6:AP13)*F36,IF(INDIRECT("'数据-取费表'!c"&amp;$G$1)="住宅",INDIRECT("'数据-取费表'!k"&amp;$G$1)*INDIRECT("'数据-取费表'!l"&amp;$G$1)*F36,0)),0)</f>
        <v>0</v>
      </c>
      <c r="D36" s="264"/>
      <c r="E36" s="264"/>
      <c r="F36" s="303">
        <f>'数据-取费表'!B34</f>
        <v>0</v>
      </c>
      <c r="G36" s="304" t="s">
        <v>2402</v>
      </c>
    </row>
    <row r="37" spans="1:7" s="302" customFormat="1" ht="13.5" customHeight="1">
      <c r="A37" s="954" t="s">
        <v>798</v>
      </c>
      <c r="B37" s="259" t="s">
        <v>2403</v>
      </c>
      <c r="C37" s="293">
        <f ca="1">ROUND(E37*D37,0)</f>
        <v>0</v>
      </c>
      <c r="D37" s="261">
        <f ca="1">D19</f>
        <v>0</v>
      </c>
      <c r="E37" s="293">
        <f>'数据-取费表'!B35</f>
        <v>0</v>
      </c>
      <c r="F37" s="303"/>
      <c r="G37" s="305"/>
    </row>
    <row r="38" spans="1:7" ht="13.5" customHeight="1">
      <c r="A38" s="954" t="s">
        <v>799</v>
      </c>
      <c r="B38" s="259" t="s">
        <v>2405</v>
      </c>
      <c r="C38" s="264">
        <f ca="1">ROUND(C34*F38,0)</f>
        <v>0</v>
      </c>
      <c r="D38" s="264"/>
      <c r="E38" s="264"/>
      <c r="F38" s="303">
        <f>'数据-取费表'!B36</f>
        <v>0</v>
      </c>
      <c r="G38" s="263" t="s">
        <v>2400</v>
      </c>
    </row>
    <row r="39" spans="1:7" s="258" customFormat="1" ht="13.5" customHeight="1">
      <c r="A39" s="299" t="s">
        <v>2406</v>
      </c>
      <c r="B39" s="254" t="s">
        <v>2407</v>
      </c>
      <c r="C39" s="276">
        <f ca="1">ROUND(C33*F20,0)</f>
        <v>0</v>
      </c>
      <c r="D39" s="276"/>
      <c r="E39" s="276"/>
      <c r="F39" s="277"/>
      <c r="G39" s="278" t="s">
        <v>2408</v>
      </c>
    </row>
    <row r="40" spans="1:7" s="258" customFormat="1" ht="13.5" customHeight="1">
      <c r="A40" s="299" t="s">
        <v>2409</v>
      </c>
      <c r="B40" s="254" t="s">
        <v>2410</v>
      </c>
      <c r="C40" s="1731">
        <f>F21</f>
        <v>0</v>
      </c>
      <c r="D40" s="280" t="s">
        <v>2411</v>
      </c>
      <c r="E40" s="276"/>
      <c r="F40" s="277"/>
      <c r="G40" s="278" t="s">
        <v>2412</v>
      </c>
    </row>
    <row r="41" spans="1:7" s="258" customFormat="1" ht="13.5" customHeight="1">
      <c r="A41" s="299" t="s">
        <v>2413</v>
      </c>
      <c r="B41" s="254" t="s">
        <v>2414</v>
      </c>
      <c r="C41" s="276" t="e">
        <f ca="1">ROUND(SUM(C42:C43),0)</f>
        <v>#VALUE!</v>
      </c>
      <c r="D41" s="279" t="e">
        <f ca="1">C44</f>
        <v>#VALUE!</v>
      </c>
      <c r="E41" s="280" t="s">
        <v>2411</v>
      </c>
      <c r="F41" s="281"/>
      <c r="G41" s="278" t="str">
        <f>IF('数据-取费表'!B22&lt;=1,"单利计息","复利计息")</f>
        <v>单利计息</v>
      </c>
    </row>
    <row r="42" spans="1:7" ht="13.5" customHeight="1">
      <c r="A42" s="954" t="s">
        <v>791</v>
      </c>
      <c r="B42" s="259" t="s">
        <v>2415</v>
      </c>
      <c r="C42" s="282" t="e">
        <f ca="1">ROUND(IF('数据-取费表'!B22&lt;=1,C33*F22*'数据-取费表'!B20/2,C33*(POWER((1+F22),'数据-取费表'!B20/2)-1)),0)</f>
        <v>#VALUE!</v>
      </c>
      <c r="D42" s="282"/>
      <c r="E42" s="282"/>
      <c r="F42" s="283"/>
      <c r="G42" s="3135" t="s">
        <v>2463</v>
      </c>
    </row>
    <row r="43" spans="1:7" ht="13.5" customHeight="1">
      <c r="A43" s="954" t="s">
        <v>792</v>
      </c>
      <c r="B43" s="259" t="s">
        <v>2417</v>
      </c>
      <c r="C43" s="282" t="e">
        <f ca="1">ROUND(IF('数据-取费表'!B22&lt;=1,C39*F22*'数据-取费表'!B20/2,C39*(POWER((1+F22),'数据-取费表'!B20/2)-1)),0)</f>
        <v>#VALUE!</v>
      </c>
      <c r="D43" s="282"/>
      <c r="E43" s="282"/>
      <c r="F43" s="283"/>
      <c r="G43" s="3136"/>
    </row>
    <row r="44" spans="1:7" ht="13.5" customHeight="1">
      <c r="A44" s="954" t="s">
        <v>793</v>
      </c>
      <c r="B44" s="259" t="s">
        <v>2418</v>
      </c>
      <c r="C44" s="282" t="e">
        <f ca="1">ROUND(IF('数据-取费表'!B22&lt;=1,C40*F22*'数据-取费表'!B20/2,C40*(POWER((1+F22),'数据-取费表'!B20/2)-1)),4)</f>
        <v>#VALUE!</v>
      </c>
      <c r="D44" s="282"/>
      <c r="E44" s="282"/>
      <c r="F44" s="283"/>
      <c r="G44" s="3137"/>
    </row>
    <row r="45" spans="1:7" s="258" customFormat="1" ht="13.5" customHeight="1">
      <c r="A45" s="299" t="s">
        <v>2419</v>
      </c>
      <c r="B45" s="288" t="s">
        <v>2385</v>
      </c>
      <c r="C45" s="289" t="e">
        <f ca="1">C46</f>
        <v>#DIV/0!</v>
      </c>
      <c r="D45" s="279" t="e">
        <f ca="1">C47</f>
        <v>#DIV/0!</v>
      </c>
      <c r="E45" s="280" t="s">
        <v>2411</v>
      </c>
      <c r="F45" s="290"/>
      <c r="G45" s="291" t="s">
        <v>2420</v>
      </c>
    </row>
    <row r="46" spans="1:7" s="258" customFormat="1" ht="13.5" customHeight="1">
      <c r="A46" s="954" t="s">
        <v>791</v>
      </c>
      <c r="B46" s="292" t="s">
        <v>2421</v>
      </c>
      <c r="C46" s="293" t="e">
        <f ca="1">ROUND((C33+C39)*F27,0)</f>
        <v>#DIV/0!</v>
      </c>
      <c r="D46" s="307"/>
      <c r="E46" s="280"/>
      <c r="F46" s="290"/>
      <c r="G46" s="291"/>
    </row>
    <row r="47" spans="1:7" s="258" customFormat="1" ht="13.5" customHeight="1">
      <c r="A47" s="954" t="s">
        <v>792</v>
      </c>
      <c r="B47" s="292" t="s">
        <v>2422</v>
      </c>
      <c r="C47" s="282" t="e">
        <f ca="1">ROUND(C40*F27,4)</f>
        <v>#DIV/0!</v>
      </c>
      <c r="D47" s="307"/>
      <c r="E47" s="280"/>
      <c r="F47" s="290"/>
      <c r="G47" s="291"/>
    </row>
    <row r="48" spans="1:7" s="258" customFormat="1" ht="13.5" customHeight="1">
      <c r="A48" s="299" t="s">
        <v>2384</v>
      </c>
      <c r="B48" s="254" t="s">
        <v>2423</v>
      </c>
      <c r="C48" s="306">
        <f>ROUND(F30/(1+'数据-取费表'!C42),4)</f>
        <v>0</v>
      </c>
      <c r="D48" s="280" t="s">
        <v>2411</v>
      </c>
      <c r="E48" s="276"/>
      <c r="F48" s="281"/>
      <c r="G48" s="278" t="s">
        <v>2424</v>
      </c>
    </row>
    <row r="49" spans="1:7" ht="16.5" customHeight="1">
      <c r="A49" s="299" t="s">
        <v>2390</v>
      </c>
      <c r="B49" s="254" t="s">
        <v>2464</v>
      </c>
      <c r="C49" s="276" t="e">
        <f ca="1">ROUND((C33+C39+C41+C45)/(1-C40-D41-D45-C48),0)</f>
        <v>#VALUE!</v>
      </c>
      <c r="D49" s="276"/>
      <c r="E49" s="276"/>
      <c r="F49" s="308"/>
      <c r="G49" s="278" t="s">
        <v>2426</v>
      </c>
    </row>
    <row r="50" spans="1:7" s="302" customFormat="1">
      <c r="A50" s="299" t="s">
        <v>2427</v>
      </c>
      <c r="B50" s="254" t="s">
        <v>2428</v>
      </c>
      <c r="C50" s="276"/>
      <c r="D50" s="276"/>
      <c r="E50" s="276"/>
      <c r="F50" s="308" t="e">
        <f>IF('数据-取费表'!B24=0,'数据-取费表'!N16,1)</f>
        <v>#DIV/0!</v>
      </c>
      <c r="G50" s="291"/>
    </row>
    <row r="51" spans="1:7" ht="16.5" customHeight="1">
      <c r="A51" s="299" t="s">
        <v>2430</v>
      </c>
      <c r="B51" s="254" t="s">
        <v>2465</v>
      </c>
      <c r="C51" s="276" t="e">
        <f ca="1">ROUND(C49*F50,0)</f>
        <v>#VALUE!</v>
      </c>
      <c r="D51" s="276"/>
      <c r="E51" s="276"/>
      <c r="F51" s="308"/>
      <c r="G51" s="278" t="s">
        <v>2432</v>
      </c>
    </row>
    <row r="52" spans="1:7" s="252" customFormat="1" ht="16.5" thickBot="1">
      <c r="A52" s="309" t="s">
        <v>2433</v>
      </c>
      <c r="B52" s="310"/>
      <c r="C52" s="311" t="e">
        <f ca="1">C31+C51</f>
        <v>#VALUE!</v>
      </c>
      <c r="D52" s="310"/>
      <c r="E52" s="310"/>
      <c r="F52" s="310"/>
      <c r="G52" s="312"/>
    </row>
    <row r="55" spans="1:7" ht="15">
      <c r="B55" s="314" t="s">
        <v>2434</v>
      </c>
      <c r="C55" s="315"/>
    </row>
    <row r="56" spans="1:7">
      <c r="B56" s="317" t="s">
        <v>1513</v>
      </c>
      <c r="C56" s="319" t="e">
        <f ca="1">1-C57</f>
        <v>#VALUE!</v>
      </c>
    </row>
    <row r="57" spans="1:7">
      <c r="B57" s="317" t="s">
        <v>1514</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4"/>
      <c r="C1" s="1585"/>
      <c r="D1" s="1583"/>
      <c r="E1" s="320"/>
      <c r="F1" s="320"/>
      <c r="G1" s="1584"/>
      <c r="H1" s="320"/>
      <c r="I1" s="320"/>
      <c r="J1" s="320"/>
      <c r="K1" s="320">
        <f>MATCH(C1,'数据-取费表'!A6:A16,0)+5</f>
        <v>6</v>
      </c>
    </row>
    <row r="2" spans="1:33" ht="18" customHeight="1">
      <c r="A2" s="245" t="s">
        <v>2334</v>
      </c>
      <c r="B2" s="248" t="e">
        <f ca="1">C32</f>
        <v>#VALUE!</v>
      </c>
      <c r="C2" s="320" t="s">
        <v>2467</v>
      </c>
      <c r="D2" s="320"/>
      <c r="E2" s="320"/>
      <c r="F2" s="320"/>
      <c r="G2" s="320"/>
      <c r="H2" s="320"/>
      <c r="I2" s="320"/>
      <c r="J2" s="320"/>
      <c r="K2" s="320"/>
    </row>
    <row r="3" spans="1:33" ht="18" customHeight="1" thickBot="1">
      <c r="A3" s="247" t="s">
        <v>2336</v>
      </c>
      <c r="B3" s="248" t="e">
        <f ca="1">ROUND(B2*10000/IF(C1="",'数据-汇总表'!E3,INDIRECT("'数据-取费表'!K"&amp;$K$1)),0)</f>
        <v>#VALUE!</v>
      </c>
      <c r="C3" s="320" t="s">
        <v>2468</v>
      </c>
      <c r="D3" s="320"/>
      <c r="E3" s="320"/>
      <c r="F3" s="320"/>
      <c r="G3" s="320"/>
      <c r="H3" s="320"/>
      <c r="I3" s="320"/>
      <c r="J3" s="320"/>
      <c r="K3" s="320"/>
    </row>
    <row r="4" spans="1:33" s="959" customFormat="1" ht="16.5" customHeight="1">
      <c r="A4" s="956" t="s">
        <v>2469</v>
      </c>
      <c r="B4" s="957"/>
      <c r="C4" s="999">
        <f>SUM(C8:K8)</f>
        <v>0</v>
      </c>
      <c r="D4" s="957"/>
      <c r="E4" s="957"/>
      <c r="F4" s="957"/>
      <c r="G4" s="957"/>
      <c r="H4" s="957"/>
      <c r="I4" s="957"/>
      <c r="J4" s="957"/>
      <c r="K4" s="958"/>
    </row>
    <row r="5" spans="1:33" s="963" customFormat="1" ht="24.75">
      <c r="A5" s="960" t="s">
        <v>2470</v>
      </c>
      <c r="B5" s="961" t="s">
        <v>2471</v>
      </c>
      <c r="C5" s="2561" t="s">
        <v>2472</v>
      </c>
      <c r="D5" s="2561" t="s">
        <v>2473</v>
      </c>
      <c r="E5" s="2561" t="s">
        <v>2474</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2476</v>
      </c>
      <c r="B7" s="140" t="s">
        <v>2477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2478</v>
      </c>
      <c r="B8" s="177" t="s">
        <v>2479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2480</v>
      </c>
      <c r="B9" s="957"/>
      <c r="C9" s="957"/>
      <c r="D9" s="957"/>
      <c r="E9" s="957"/>
      <c r="F9" s="957"/>
      <c r="G9" s="957"/>
      <c r="H9" s="957"/>
      <c r="I9" s="957"/>
      <c r="J9" s="957"/>
      <c r="K9" s="958"/>
    </row>
    <row r="10" spans="1:33" s="973" customFormat="1" ht="13.5" customHeight="1">
      <c r="A10" s="960" t="s">
        <v>2481</v>
      </c>
      <c r="B10" s="8" t="s">
        <v>2482</v>
      </c>
      <c r="C10" s="969" t="s">
        <v>2483</v>
      </c>
      <c r="D10" s="970" t="s">
        <v>2484</v>
      </c>
      <c r="E10" s="970" t="s">
        <v>2485</v>
      </c>
      <c r="F10" s="970" t="s">
        <v>2486</v>
      </c>
      <c r="G10" s="8"/>
      <c r="H10" s="971"/>
      <c r="I10" s="971"/>
      <c r="J10" s="971"/>
      <c r="K10" s="972"/>
    </row>
    <row r="11" spans="1:33" s="978" customFormat="1" ht="13.5" customHeight="1">
      <c r="A11" s="974" t="s">
        <v>1334</v>
      </c>
      <c r="B11" s="975" t="s">
        <v>2487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2488</v>
      </c>
      <c r="C12" s="24">
        <f ca="1">ROUND(C11*F12,0)</f>
        <v>0</v>
      </c>
      <c r="D12" s="976"/>
      <c r="E12" s="375"/>
      <c r="F12" s="979">
        <f>'数据-取费表'!B33</f>
        <v>0</v>
      </c>
      <c r="G12" s="8" t="s">
        <v>2489</v>
      </c>
      <c r="H12" s="971"/>
      <c r="I12" s="971"/>
      <c r="J12" s="971"/>
      <c r="K12" s="972"/>
    </row>
    <row r="13" spans="1:33" s="978" customFormat="1" ht="13.5" customHeight="1">
      <c r="A13" s="974" t="s">
        <v>1336</v>
      </c>
      <c r="B13" s="975" t="s">
        <v>2490</v>
      </c>
      <c r="C13" s="24">
        <f ca="1">ROUND(IF(C1="",SUMIF('数据-取费表'!C:C,"住宅",'数据-取费表'!P:P)*F13,IF(INDIRECT("'数据-取费表'!c"&amp;$K$1)="住宅",INDIRECT("'数据-取费表'!P"&amp;$K$1)*F13,0)),0)</f>
        <v>0</v>
      </c>
      <c r="D13" s="1036"/>
      <c r="E13" s="375"/>
      <c r="F13" s="979">
        <f>'数据-取费表'!B34</f>
        <v>0</v>
      </c>
      <c r="G13" s="8" t="s">
        <v>2491</v>
      </c>
      <c r="H13" s="971"/>
      <c r="I13" s="971"/>
      <c r="J13" s="971"/>
      <c r="K13" s="972"/>
    </row>
    <row r="14" spans="1:33" s="980" customFormat="1" ht="13.5" customHeight="1">
      <c r="A14" s="974" t="s">
        <v>1337</v>
      </c>
      <c r="B14" s="975" t="s">
        <v>2492</v>
      </c>
      <c r="C14" s="24">
        <f ca="1">ROUND(D14*E14*F11/10000,0)</f>
        <v>0</v>
      </c>
      <c r="D14" s="1036">
        <f ca="1">IF(C1="",'数据-汇总表'!E3,INDIRECT("'数据-取费表'!K"&amp;$K$1)+INDIRECT("'数据-取费表'!S"&amp;$K$1))</f>
        <v>0</v>
      </c>
      <c r="E14" s="24">
        <f>'数据-取费表'!B35</f>
        <v>0</v>
      </c>
      <c r="F14" s="979"/>
      <c r="G14" s="8" t="s">
        <v>2493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2494</v>
      </c>
      <c r="C15" s="986">
        <f ca="1">ROUND(C11*F15,0)</f>
        <v>0</v>
      </c>
      <c r="D15" s="981"/>
      <c r="E15" s="986"/>
      <c r="F15" s="987">
        <f>'数据-取费表'!B36</f>
        <v>0</v>
      </c>
      <c r="G15" s="140" t="s">
        <v>2495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2497</v>
      </c>
      <c r="C17" s="24">
        <f ca="1">ROUND(D17*E17/10000,0)</f>
        <v>0</v>
      </c>
      <c r="D17" s="1036">
        <f ca="1">D14</f>
        <v>0</v>
      </c>
      <c r="E17" s="24">
        <f>'数据-取费表'!B32</f>
        <v>0</v>
      </c>
      <c r="F17" s="981"/>
      <c r="G17" s="140" t="s">
        <v>2498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2499</v>
      </c>
      <c r="C18" s="24">
        <f ca="1">C19+C20-IF(C1="",'数据-取费表'!B29,IF(G18="已全部缴纳",C19+C20,H18))</f>
        <v>0</v>
      </c>
      <c r="D18" s="1036"/>
      <c r="E18" s="24"/>
      <c r="F18" s="979"/>
      <c r="G18" s="2563"/>
      <c r="H18" s="1580"/>
      <c r="I18" s="2564" t="s">
        <v>2500</v>
      </c>
      <c r="J18" s="982"/>
      <c r="K18" s="983"/>
    </row>
    <row r="19" spans="1:33" s="978" customFormat="1" ht="13.5" customHeight="1">
      <c r="A19" s="974" t="s">
        <v>805</v>
      </c>
      <c r="B19" s="975" t="s">
        <v>2501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2502</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2503</v>
      </c>
      <c r="C21" s="989">
        <f ca="1">C16+C17+C18</f>
        <v>0</v>
      </c>
      <c r="D21" s="990"/>
      <c r="E21" s="325"/>
      <c r="F21" s="325"/>
      <c r="G21" s="140" t="s">
        <v>2504</v>
      </c>
      <c r="H21" s="982"/>
      <c r="I21" s="982"/>
      <c r="J21" s="982"/>
      <c r="K21" s="983"/>
    </row>
    <row r="22" spans="1:33" s="978" customFormat="1" ht="13.5" customHeight="1">
      <c r="A22" s="964" t="s">
        <v>2476</v>
      </c>
      <c r="B22" s="988" t="s">
        <v>2505</v>
      </c>
      <c r="C22" s="989">
        <f ca="1">ROUND(C21*F22,0)</f>
        <v>0</v>
      </c>
      <c r="D22" s="325"/>
      <c r="E22" s="325"/>
      <c r="F22" s="991">
        <f>'数据-取费表'!B37</f>
        <v>0</v>
      </c>
      <c r="G22" s="8" t="s">
        <v>2506</v>
      </c>
      <c r="H22" s="971"/>
      <c r="I22" s="971"/>
      <c r="J22" s="971"/>
      <c r="K22" s="972"/>
    </row>
    <row r="23" spans="1:33" s="978" customFormat="1" ht="13.5" customHeight="1">
      <c r="A23" s="964" t="s">
        <v>2478</v>
      </c>
      <c r="B23" s="988" t="s">
        <v>2507</v>
      </c>
      <c r="C23" s="989">
        <f ca="1">ROUND(C4*F23*F11,0)</f>
        <v>0</v>
      </c>
      <c r="D23" s="325"/>
      <c r="E23" s="325"/>
      <c r="F23" s="991">
        <f>'数据-取费表'!B38</f>
        <v>0</v>
      </c>
      <c r="G23" s="8" t="s">
        <v>2508</v>
      </c>
      <c r="H23" s="971"/>
      <c r="I23" s="971"/>
      <c r="J23" s="971"/>
      <c r="K23" s="972"/>
    </row>
    <row r="24" spans="1:33" s="978" customFormat="1" ht="13.5" customHeight="1">
      <c r="A24" s="964" t="s">
        <v>2509</v>
      </c>
      <c r="B24" s="988" t="s">
        <v>2510</v>
      </c>
      <c r="C24" s="324">
        <f>ROUND(F24/(1+'数据-取费表'!C42),4)</f>
        <v>0</v>
      </c>
      <c r="D24" s="325" t="s">
        <v>15</v>
      </c>
      <c r="E24" s="325"/>
      <c r="F24" s="991">
        <f>'数据-取费表'!B48+'数据-取费表'!B49</f>
        <v>0</v>
      </c>
      <c r="G24" s="8" t="s">
        <v>2511</v>
      </c>
      <c r="H24" s="993"/>
      <c r="I24" s="993"/>
      <c r="J24" s="993"/>
      <c r="K24" s="994"/>
    </row>
    <row r="25" spans="1:33" s="978" customFormat="1" ht="13.5" customHeight="1">
      <c r="A25" s="964" t="s">
        <v>2512</v>
      </c>
      <c r="B25" s="990" t="s">
        <v>2513</v>
      </c>
      <c r="C25" s="1359"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2514</v>
      </c>
      <c r="C26" s="1360" t="e">
        <f ca="1">ROUND(IF('数据-取费表'!B22&lt;=1,(1+C24)*F25*'数据-取费表'!B24,(1+C24)*(POWER((1+F25),'数据-取费表'!B24)-1)),4)</f>
        <v>#VALUE!</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2515</v>
      </c>
      <c r="C27" s="1361" t="e">
        <f ca="1">ROUND(IF('数据-取费表'!B22&lt;=1,(C21+C22+C23)*F25*'数据-取费表'!B24/2,(C21+C22+C23)*(POWER((1+F25),'数据-取费表'!B24/2)-1)),0)</f>
        <v>#VALUE!</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2516</v>
      </c>
      <c r="B28" s="2566" t="s">
        <v>2517</v>
      </c>
      <c r="C28" s="331" t="e">
        <f ca="1">C30</f>
        <v>#DIV/0!</v>
      </c>
      <c r="D28" s="324" t="e">
        <f ca="1">C29</f>
        <v>#DIV/0!</v>
      </c>
      <c r="E28" s="326" t="s">
        <v>15</v>
      </c>
      <c r="F28" s="332" t="e">
        <f ca="1">IF(C1="",'数据-取费表'!Q16,INDIRECT("'数据-取费表'!q"&amp;$K$1))</f>
        <v>#DIV/0!</v>
      </c>
      <c r="G28" s="992"/>
      <c r="H28" s="993"/>
      <c r="I28" s="993"/>
      <c r="J28" s="993"/>
      <c r="K28" s="994"/>
    </row>
    <row r="29" spans="1:33" s="335" customFormat="1" ht="13.5" customHeight="1">
      <c r="A29" s="974" t="s">
        <v>803</v>
      </c>
      <c r="B29" s="997" t="s">
        <v>2518</v>
      </c>
      <c r="C29" s="328" t="e">
        <f ca="1">ROUND((1+C24)*F28*'数据-取费表'!B24/'数据-取费表'!B20,4)</f>
        <v>#DIV/0!</v>
      </c>
      <c r="D29" s="328"/>
      <c r="E29" s="329"/>
      <c r="F29" s="334"/>
      <c r="G29" s="140" t="s">
        <v>2519</v>
      </c>
      <c r="H29" s="982"/>
      <c r="I29" s="982"/>
      <c r="J29" s="982"/>
      <c r="K29" s="983"/>
    </row>
    <row r="30" spans="1:33" s="335" customFormat="1" ht="13.5" customHeight="1">
      <c r="A30" s="974" t="s">
        <v>804</v>
      </c>
      <c r="B30" s="997" t="s">
        <v>2520</v>
      </c>
      <c r="C30" s="336" t="e">
        <f ca="1">ROUND((C21+C22+C23)*F28,0)</f>
        <v>#DIV/0!</v>
      </c>
      <c r="D30" s="328"/>
      <c r="E30" s="329"/>
      <c r="F30" s="334"/>
      <c r="G30" s="140"/>
      <c r="H30" s="982"/>
      <c r="I30" s="982"/>
      <c r="J30" s="982"/>
      <c r="K30" s="983"/>
    </row>
    <row r="31" spans="1:33" s="978" customFormat="1" ht="13.5" customHeight="1" thickBot="1">
      <c r="A31" s="2567" t="s">
        <v>2521</v>
      </c>
      <c r="B31" s="1008" t="s">
        <v>2522</v>
      </c>
      <c r="C31" s="1009">
        <f>ROUND(C4*F31/(1+'数据-取费表'!C42),0)</f>
        <v>0</v>
      </c>
      <c r="D31" s="1010"/>
      <c r="E31" s="1011"/>
      <c r="F31" s="1012">
        <f>'数据-取费表'!B41</f>
        <v>0</v>
      </c>
      <c r="G31" s="1013" t="s">
        <v>2523</v>
      </c>
      <c r="H31" s="1014"/>
      <c r="I31" s="1014"/>
      <c r="J31" s="1014"/>
      <c r="K31" s="1015"/>
    </row>
    <row r="32" spans="1:33" s="973" customFormat="1" ht="13.5" customHeight="1" thickBot="1">
      <c r="A32" s="1003" t="s">
        <v>2524</v>
      </c>
      <c r="B32" s="1004"/>
      <c r="C32" s="1005" t="e">
        <f ca="1">ROUND((C4-C21-C22-C23-C25-C28-C31)/(1+C24+D25+D28),0)</f>
        <v>#VALUE!</v>
      </c>
      <c r="D32" s="1004"/>
      <c r="E32" s="1004"/>
      <c r="F32" s="1004"/>
      <c r="G32" s="1006" t="s">
        <v>2525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#VALUE!</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40" t="s">
        <v>1403</v>
      </c>
      <c r="C6" s="1299">
        <f ca="1">ROUND(F6*F8*F7*(1-F9)/10000,0)</f>
        <v>0</v>
      </c>
      <c r="D6" s="164" t="s">
        <v>3039</v>
      </c>
      <c r="E6" s="347" t="s">
        <v>1405</v>
      </c>
      <c r="F6" s="348">
        <f ca="1">INDIRECT("'数据-取费表'!u"&amp;$G$1)</f>
        <v>0</v>
      </c>
      <c r="G6" s="1854"/>
      <c r="H6" s="1294" t="s">
        <v>1035</v>
      </c>
      <c r="I6" s="3140" t="s">
        <v>1403</v>
      </c>
      <c r="J6" s="346">
        <f ca="1">ROUND(M6*M8*M7*(1-M9)/10000,0)</f>
        <v>0</v>
      </c>
      <c r="K6" s="164" t="s">
        <v>3038</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0</v>
      </c>
      <c r="G7" s="1854"/>
      <c r="H7" s="349"/>
      <c r="I7" s="3141"/>
      <c r="J7" s="351"/>
      <c r="K7" s="352"/>
      <c r="L7" s="347" t="s">
        <v>1406</v>
      </c>
      <c r="M7" s="348">
        <f ca="1">F7</f>
        <v>0</v>
      </c>
    </row>
    <row r="8" spans="1:37" ht="18" customHeight="1">
      <c r="A8" s="349"/>
      <c r="B8" s="3141"/>
      <c r="C8" s="351"/>
      <c r="D8" s="352"/>
      <c r="E8" s="347" t="s">
        <v>1407</v>
      </c>
      <c r="F8" s="348">
        <f ca="1">INDIRECT("'数据-取费表'!ai"&amp;$G$1)</f>
        <v>0</v>
      </c>
      <c r="G8" s="1854"/>
      <c r="H8" s="349"/>
      <c r="I8" s="3141"/>
      <c r="J8" s="351"/>
      <c r="K8" s="352"/>
      <c r="L8" s="347" t="s">
        <v>1407</v>
      </c>
      <c r="M8" s="348">
        <f ca="1">INDIRECT("'数据-取费表'!ai"&amp;$G$1)</f>
        <v>0</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3048</v>
      </c>
      <c r="E10" s="358" t="s">
        <v>1410</v>
      </c>
      <c r="F10" s="1369"/>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#VALUE!</v>
      </c>
      <c r="D13" s="1334" t="s">
        <v>1415</v>
      </c>
      <c r="E13" s="1334" t="s">
        <v>1416</v>
      </c>
      <c r="F13" s="1335">
        <f ca="1">INDIRECT("'数据-取费表'!y"&amp;$G$1)</f>
        <v>0</v>
      </c>
      <c r="G13" s="1854"/>
      <c r="H13" s="1332">
        <v>2</v>
      </c>
      <c r="I13" s="1333" t="s">
        <v>1414</v>
      </c>
      <c r="J13" s="1293" t="e">
        <f ca="1">ROUND(J14*J15,0)</f>
        <v>#VALUE!</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t="e">
        <f ca="1">C29</f>
        <v>#VALUE!</v>
      </c>
      <c r="K14" s="15"/>
      <c r="L14" s="982"/>
      <c r="M14" s="983"/>
    </row>
    <row r="15" spans="1:37" s="1861" customFormat="1" ht="18" customHeight="1" thickBot="1">
      <c r="A15" s="1204" t="s">
        <v>1036</v>
      </c>
      <c r="B15" s="347" t="s">
        <v>1420</v>
      </c>
      <c r="C15" s="24">
        <f ca="1">ROUND(C14*F15,0)</f>
        <v>0</v>
      </c>
      <c r="D15" s="365" t="s">
        <v>1421</v>
      </c>
      <c r="E15" s="365" t="s">
        <v>1422</v>
      </c>
      <c r="F15" s="366">
        <f>'数据-取费表'!B33</f>
        <v>0</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t="e">
        <f ca="1">ROUND(J17+J22+J23+J24,0)</f>
        <v>#VALUE!</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0</v>
      </c>
      <c r="G17" s="1857"/>
      <c r="H17" s="1204" t="s">
        <v>1035</v>
      </c>
      <c r="I17" s="347" t="s">
        <v>1429</v>
      </c>
      <c r="J17" s="24" t="e">
        <f ca="1">ROUND(IF(项目基本情况!B11="自然人",J5*M17,J18+J19+J20),1)</f>
        <v>#VALUE!</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0</v>
      </c>
      <c r="G18" s="1857"/>
      <c r="H18" s="1204" t="s">
        <v>1034</v>
      </c>
      <c r="I18" s="347" t="s">
        <v>1433</v>
      </c>
      <c r="J18" s="24">
        <f ca="1">ROUND(J5*M18/(1+'数据-取费表'!C42),2)</f>
        <v>0</v>
      </c>
      <c r="K18" s="1801" t="s">
        <v>1434</v>
      </c>
      <c r="L18" s="347" t="s">
        <v>1422</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t="e">
        <f ca="1">IF(K19="按租金收入计税",ROUND(J5*M19,2),ROUND(C29*M19*0.7,2))</f>
        <v>#VALUE!</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t="e">
        <f ca="1">ROUND(J14*M22,1)</f>
        <v>#VALUE!</v>
      </c>
      <c r="K22" s="1801" t="s">
        <v>1450</v>
      </c>
      <c r="L22" s="347" t="s">
        <v>1422</v>
      </c>
      <c r="M22" s="374">
        <f ca="1">INDIRECT("'数据-取费表'!Ak"&amp;$G$1)</f>
        <v>0</v>
      </c>
    </row>
    <row r="23" spans="1:37" s="1861" customFormat="1" ht="18" customHeight="1">
      <c r="A23" s="1204" t="s">
        <v>1034</v>
      </c>
      <c r="B23" s="347" t="s">
        <v>1451</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1452</v>
      </c>
      <c r="F23" s="371">
        <f>'数据-取费表'!B20</f>
        <v>0</v>
      </c>
      <c r="G23" s="1857"/>
      <c r="H23" s="1204" t="s">
        <v>1075</v>
      </c>
      <c r="I23" s="347" t="s">
        <v>1453</v>
      </c>
      <c r="J23" s="24" t="e">
        <f ca="1">ROUND(J13*M23,1)</f>
        <v>#VALUE!</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t="e">
        <f ca="1">ROUND(IF('数据-取费表'!B22&lt;=1,F21*F24*F23/2,F21*(POWER((1+F24),F23/2)-1)),4)</f>
        <v>#VALUE!</v>
      </c>
      <c r="D24" s="375" t="str">
        <f>IF(F23&lt;=1,"销售费用×利率×(建设周期÷2)","销售费用×((1+利率)^(建设周期÷2)-1)")</f>
        <v>销售费用×利率×(建设周期÷2)</v>
      </c>
      <c r="E24" s="347" t="s">
        <v>1458</v>
      </c>
      <c r="F24" s="377" t="e">
        <f ca="1">'数据-取费表'!B40</f>
        <v>#VALUE!</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t="e">
        <f ca="1">J5-J16</f>
        <v>#VALUE!</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0</v>
      </c>
      <c r="D28" s="369" t="s">
        <v>1476</v>
      </c>
      <c r="E28" s="347" t="s">
        <v>1422</v>
      </c>
      <c r="F28" s="367">
        <f>'数据-取费表'!B41</f>
        <v>0</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#VALUE!</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#VALUE!</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ROUND(IF(项目基本情况!B11="自然人",C5*F31,C32+C33+C34),1)</f>
        <v>#VALUE!</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0</v>
      </c>
      <c r="G32" s="1854"/>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#VALUE!</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t="e">
        <f ca="1">ROUND(C29*F36,1)</f>
        <v>#VALUE!</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t="e">
        <f ca="1">ROUND(C13*F37,1)</f>
        <v>#VALUE!</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t="e">
        <f ca="1">C5-C30</f>
        <v>#VALUE!</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#VALUE!</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#VALUE!</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t="e">
        <f ca="1">IF(M47="住宅",0,IF(L48&gt;J51,L60,J60))</f>
        <v>#VALUE!</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40</v>
      </c>
      <c r="M47" s="1841" t="str">
        <f>IF(ISNUMBER(FIND("住宅",C1)),"住宅","非住宅")</f>
        <v>非住宅</v>
      </c>
      <c r="O47" s="1887" t="s">
        <v>1040</v>
      </c>
      <c r="P47" s="1888" t="s">
        <v>1528</v>
      </c>
      <c r="Q47" s="1889" t="e">
        <f ca="1">C40+J29</f>
        <v>#VALUE!</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40</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c r="K49" s="1892" t="s">
        <v>1535</v>
      </c>
      <c r="L49" s="1896"/>
      <c r="O49" s="1897" t="s">
        <v>1042</v>
      </c>
      <c r="P49" s="1888" t="s">
        <v>1536</v>
      </c>
      <c r="Q49" s="1889" t="e">
        <f ca="1">C29</f>
        <v>#VALUE!</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t="e">
        <f ca="1">ROUND(-PV(INDIRECT("'数据-取费表'!h"&amp;$G$1),L48,(C39-C13*C76),0),0)</f>
        <v>#VALUE!</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8" t="s">
        <v>1548</v>
      </c>
      <c r="L53" s="3139"/>
      <c r="O53" s="1887" t="s">
        <v>1046</v>
      </c>
      <c r="P53" s="1888" t="s">
        <v>1549</v>
      </c>
      <c r="Q53" s="1889" t="e">
        <f ca="1">Q47+Q48</f>
        <v>#VALUE!</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t="e">
        <f ca="1">C13</f>
        <v>#VALUE!</v>
      </c>
      <c r="D56" s="1917"/>
      <c r="E56" s="1918"/>
      <c r="F56" s="1910"/>
      <c r="I56" s="1919" t="s">
        <v>1554</v>
      </c>
      <c r="J56" s="1920"/>
      <c r="K56" s="1890" t="s">
        <v>1555</v>
      </c>
      <c r="L56" s="1893">
        <f ca="1">IF(L48&lt;J51,"——",L48-J53)</f>
        <v>40</v>
      </c>
      <c r="O56" s="1887" t="s">
        <v>1040</v>
      </c>
      <c r="P56" s="1888" t="s">
        <v>1528</v>
      </c>
      <c r="Q56" s="1889" t="e">
        <f ca="1">C40+J29</f>
        <v>#VALUE!</v>
      </c>
      <c r="R56" s="1889" t="s">
        <v>1529</v>
      </c>
    </row>
    <row r="57" spans="1:18" s="1845" customFormat="1" ht="24.75" thickBot="1">
      <c r="A57" s="1921"/>
      <c r="B57" s="1172" t="s">
        <v>1478</v>
      </c>
      <c r="C57" s="282" t="e">
        <f ca="1">C29</f>
        <v>#VALUE!</v>
      </c>
      <c r="D57" s="1922"/>
      <c r="E57" s="1923"/>
      <c r="F57" s="1924"/>
      <c r="I57" s="1925" t="s">
        <v>1556</v>
      </c>
      <c r="J57" s="1926" t="str">
        <f ca="1">IF(OR(M47="住宅",J51&lt;L48,J56="是"),"——",J51-L48)</f>
        <v>——</v>
      </c>
      <c r="K57" s="1890" t="s">
        <v>1557</v>
      </c>
      <c r="L57" s="1893" t="e">
        <f ca="1">IF(L48&lt;J51,"——",IF(L55="比较法",L49,IF(L55="基准地价",L50,L51)))</f>
        <v>#VALUE!</v>
      </c>
      <c r="O57" s="1887" t="s">
        <v>1041</v>
      </c>
      <c r="P57" s="1888" t="s">
        <v>1558</v>
      </c>
      <c r="Q57" s="1889" t="e">
        <f ca="1">L60</f>
        <v>#VALUE!</v>
      </c>
      <c r="R57" s="1889" t="s">
        <v>1559</v>
      </c>
    </row>
    <row r="58" spans="1:18" s="1845" customFormat="1" ht="24.75"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0</v>
      </c>
      <c r="I60" s="1928" t="s">
        <v>1565</v>
      </c>
      <c r="J60" s="1929" t="str">
        <f ca="1">IF(OR(M47="住宅",J51&lt;L48,J56="是"),"0",ROUND(J59/(1+J52)^J53,0))</f>
        <v>0</v>
      </c>
      <c r="K60" s="1930" t="s">
        <v>1566</v>
      </c>
      <c r="L60" s="1929" t="e">
        <f ca="1">IF(OR(M47="住宅",L48&lt;J51),0,ROUND(L57*(L58/L59-1),0))</f>
        <v>#VALUE!</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#VALUE!</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ROUND(C57*F64,1)</f>
        <v>#VALUE!</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ROUND(C56*F65,1)</f>
        <v>#VALUE!</v>
      </c>
      <c r="D65" s="1186" t="s">
        <v>1454</v>
      </c>
      <c r="E65" s="1172" t="s">
        <v>1455</v>
      </c>
      <c r="F65" s="376">
        <f t="shared" ca="1" si="0"/>
        <v>0</v>
      </c>
      <c r="I65" s="1932" t="s">
        <v>1579</v>
      </c>
      <c r="J65" s="1933">
        <v>40</v>
      </c>
      <c r="K65" s="1933">
        <v>30</v>
      </c>
      <c r="L65" s="1933">
        <v>50</v>
      </c>
      <c r="M65" s="1935">
        <v>0.02</v>
      </c>
      <c r="O65" s="1887" t="s">
        <v>1040</v>
      </c>
      <c r="P65" s="1888" t="s">
        <v>1580</v>
      </c>
      <c r="Q65" s="1889" t="e">
        <f ca="1">C40+J29</f>
        <v>#VALUE!</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#VALUE!</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t="e">
        <f ca="1">L51</f>
        <v>#VALUE!</v>
      </c>
      <c r="R67" s="1889" t="s">
        <v>1582</v>
      </c>
    </row>
    <row r="68" spans="1:18" s="1845" customFormat="1" ht="16.5" thickBot="1">
      <c r="A68" s="1169" t="s">
        <v>1032</v>
      </c>
      <c r="B68" s="1170" t="s">
        <v>1485</v>
      </c>
      <c r="C68" s="346" t="e">
        <f ca="1">ROUND(C67*(1-((1+F70)/(1+F68))^F69)/(F68-F70),0)</f>
        <v>#VALUE!</v>
      </c>
      <c r="D68" s="1187" t="s">
        <v>1469</v>
      </c>
      <c r="E68" s="1172" t="s">
        <v>1470</v>
      </c>
      <c r="F68" s="357">
        <f ca="1">F40</f>
        <v>0</v>
      </c>
      <c r="O68" s="1897" t="s">
        <v>1043</v>
      </c>
      <c r="P68" s="1937" t="s">
        <v>1583</v>
      </c>
      <c r="Q68" s="1889" t="e">
        <f ca="1">ROUND(Q69-Q70*Q71,0)</f>
        <v>#VALUE!</v>
      </c>
      <c r="R68" s="1889" t="s">
        <v>1051</v>
      </c>
    </row>
    <row r="69" spans="1:18" s="1845" customFormat="1" ht="13.5" thickBot="1">
      <c r="A69" s="1173"/>
      <c r="B69" s="1174"/>
      <c r="C69" s="351"/>
      <c r="D69" s="1192" t="s">
        <v>1473</v>
      </c>
      <c r="E69" s="1172" t="s">
        <v>1474</v>
      </c>
      <c r="F69" s="379">
        <f ca="1">F41</f>
        <v>0</v>
      </c>
      <c r="O69" s="1897" t="s">
        <v>1048</v>
      </c>
      <c r="P69" s="1937" t="s">
        <v>1584</v>
      </c>
      <c r="Q69" s="1889" t="e">
        <f ca="1">C39</f>
        <v>#VALUE!</v>
      </c>
      <c r="R69" s="1889" t="s">
        <v>1529</v>
      </c>
    </row>
    <row r="70" spans="1:18" s="1845" customFormat="1" ht="13.5" thickBot="1">
      <c r="A70" s="1176"/>
      <c r="B70" s="1177"/>
      <c r="C70" s="355"/>
      <c r="D70" s="1188"/>
      <c r="E70" s="1172" t="s">
        <v>1477</v>
      </c>
      <c r="F70" s="1278"/>
      <c r="O70" s="1897" t="s">
        <v>1049</v>
      </c>
      <c r="P70" s="1937" t="s">
        <v>1585</v>
      </c>
      <c r="Q70" s="1889" t="e">
        <f ca="1">C13</f>
        <v>#VALUE!</v>
      </c>
      <c r="R70" s="1889" t="s">
        <v>1529</v>
      </c>
    </row>
    <row r="71" spans="1:18" s="1845" customFormat="1" ht="13.5" thickBot="1">
      <c r="A71" s="1193" t="s">
        <v>1033</v>
      </c>
      <c r="B71" s="1194" t="s">
        <v>1487</v>
      </c>
      <c r="C71" s="382" t="e">
        <f ca="1">ROUND(C68*10000/F71,0)</f>
        <v>#VALUE!</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t="e">
        <f ca="1">ROUND(C13*C76,0)</f>
        <v>#VALUE!</v>
      </c>
      <c r="D75" s="1845"/>
      <c r="E75" s="1845"/>
      <c r="F75" s="1845"/>
      <c r="K75" s="1871"/>
      <c r="L75" s="1845"/>
      <c r="O75" s="1887" t="s">
        <v>1046</v>
      </c>
      <c r="P75" s="1888" t="s">
        <v>1549</v>
      </c>
      <c r="Q75" s="1889" t="e">
        <f ca="1">Q65+Q66</f>
        <v>#VALUE!</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#VALUE!</v>
      </c>
    </row>
    <row r="80" spans="1:18">
      <c r="B80" s="386" t="s">
        <v>1511</v>
      </c>
      <c r="C80" s="318" t="e">
        <f ca="1">ROUND(C75/C39,3)</f>
        <v>#VALUE!</v>
      </c>
    </row>
    <row r="81" spans="2:3">
      <c r="B81" s="314" t="s">
        <v>1512</v>
      </c>
      <c r="C81" s="282"/>
    </row>
    <row r="82" spans="2:3">
      <c r="B82" s="317" t="s">
        <v>1513</v>
      </c>
      <c r="C82" s="319" t="e">
        <f ca="1">1-C83</f>
        <v>#VALUE!</v>
      </c>
    </row>
    <row r="83" spans="2:3">
      <c r="B83" s="317" t="s">
        <v>1514</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#VALUE!</v>
      </c>
      <c r="C2" s="1848" t="s">
        <v>1591</v>
      </c>
      <c r="D2" s="1941" t="e">
        <f ca="1">C40+J29+L46</f>
        <v>#VALUE!</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0" t="s">
        <v>1403</v>
      </c>
      <c r="C6" s="1299">
        <f ca="1">ROUND(F6*F8*F7*(1-F9),0)</f>
        <v>0</v>
      </c>
      <c r="D6" s="164" t="s">
        <v>3036</v>
      </c>
      <c r="E6" s="347" t="s">
        <v>1405</v>
      </c>
      <c r="F6" s="348">
        <f ca="1">INDIRECT("'数据-取费表'!u"&amp;$G$1)</f>
        <v>0</v>
      </c>
      <c r="G6" s="1854"/>
      <c r="H6" s="1294" t="s">
        <v>1035</v>
      </c>
      <c r="I6" s="3140" t="s">
        <v>1403</v>
      </c>
      <c r="J6" s="346">
        <f ca="1">ROUND(M6*M8*M7*(1-M9),0)</f>
        <v>0</v>
      </c>
      <c r="K6" s="1837" t="s">
        <v>3037</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0</v>
      </c>
      <c r="G7" s="1854"/>
      <c r="H7" s="349"/>
      <c r="I7" s="3141"/>
      <c r="J7" s="351"/>
      <c r="K7" s="352"/>
      <c r="L7" s="347" t="s">
        <v>1406</v>
      </c>
      <c r="M7" s="348">
        <f ca="1">F7</f>
        <v>0</v>
      </c>
    </row>
    <row r="8" spans="1:37" ht="18" customHeight="1">
      <c r="A8" s="349"/>
      <c r="B8" s="3141"/>
      <c r="C8" s="351"/>
      <c r="D8" s="352"/>
      <c r="E8" s="347" t="s">
        <v>1407</v>
      </c>
      <c r="F8" s="348">
        <f ca="1">INDIRECT("'数据-取费表'!ai"&amp;$G$1)</f>
        <v>0</v>
      </c>
      <c r="G8" s="1854"/>
      <c r="H8" s="349"/>
      <c r="I8" s="3141"/>
      <c r="J8" s="351"/>
      <c r="K8" s="352"/>
      <c r="L8" s="347" t="s">
        <v>1407</v>
      </c>
      <c r="M8" s="348">
        <f ca="1">INDIRECT("'数据-取费表'!ai"&amp;$G$1)</f>
        <v>0</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38" t="s">
        <v>3049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#VALUE!</v>
      </c>
      <c r="D13" s="1334" t="s">
        <v>1415</v>
      </c>
      <c r="E13" s="1334" t="s">
        <v>1416</v>
      </c>
      <c r="F13" s="1335">
        <f ca="1">INDIRECT("'数据-取费表'!y"&amp;$G$1)</f>
        <v>0</v>
      </c>
      <c r="G13" s="1854"/>
      <c r="H13" s="1332">
        <v>2</v>
      </c>
      <c r="I13" s="1333" t="s">
        <v>1414</v>
      </c>
      <c r="J13" s="1293" t="e">
        <f ca="1">ROUND(J14*J15,0)</f>
        <v>#VALUE!</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t="e">
        <f ca="1">C29</f>
        <v>#VALUE!</v>
      </c>
      <c r="K14" s="15"/>
      <c r="L14" s="982"/>
      <c r="M14" s="983"/>
    </row>
    <row r="15" spans="1:37" s="1861" customFormat="1" ht="18" customHeight="1" thickBot="1">
      <c r="A15" s="1204" t="s">
        <v>1036</v>
      </c>
      <c r="B15" s="347" t="s">
        <v>1420</v>
      </c>
      <c r="C15" s="24">
        <f ca="1">ROUND(C14*F15,0)</f>
        <v>0</v>
      </c>
      <c r="D15" s="365" t="s">
        <v>1421</v>
      </c>
      <c r="E15" s="365" t="s">
        <v>1422</v>
      </c>
      <c r="F15" s="366">
        <f>'数据-取费表'!B33</f>
        <v>0</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t="e">
        <f ca="1">ROUND(J17+J22+J23+J24,0)</f>
        <v>#VALUE!</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0</v>
      </c>
      <c r="G17" s="1857"/>
      <c r="H17" s="1204" t="s">
        <v>1035</v>
      </c>
      <c r="I17" s="347" t="s">
        <v>1429</v>
      </c>
      <c r="J17" s="24" t="e">
        <f ca="1">ROUND(IF(项目基本情况!B11="自然人",J5*M17,J18+J19+J20),0)</f>
        <v>#VALUE!</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0</v>
      </c>
      <c r="G18" s="1857"/>
      <c r="H18" s="1204" t="s">
        <v>1034</v>
      </c>
      <c r="I18" s="347" t="s">
        <v>1433</v>
      </c>
      <c r="J18" s="24">
        <f ca="1">ROUND(J5*M18/(1+'数据-取费表'!C42),0)</f>
        <v>0</v>
      </c>
      <c r="K18" s="1801" t="s">
        <v>1434</v>
      </c>
      <c r="L18" s="347" t="s">
        <v>1422</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t="e">
        <f ca="1">IF(K19="按租金收入计税",ROUND(J5*M19,0),ROUND(C29*M19*0.7,0))</f>
        <v>#VALUE!</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t="e">
        <f ca="1">ROUND(J14*M22,0)</f>
        <v>#VALUE!</v>
      </c>
      <c r="K22" s="1801" t="s">
        <v>1450</v>
      </c>
      <c r="L22" s="347" t="s">
        <v>1422</v>
      </c>
      <c r="M22" s="374">
        <f ca="1">INDIRECT("'数据-取费表'!Ak"&amp;$G$1)</f>
        <v>0</v>
      </c>
    </row>
    <row r="23" spans="1:37" s="1861" customFormat="1" ht="18" customHeight="1">
      <c r="A23" s="1204" t="s">
        <v>1034</v>
      </c>
      <c r="B23" s="347" t="s">
        <v>1451</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1452</v>
      </c>
      <c r="F23" s="371">
        <f>'数据-取费表'!B20</f>
        <v>0</v>
      </c>
      <c r="G23" s="1857"/>
      <c r="H23" s="1204" t="s">
        <v>1075</v>
      </c>
      <c r="I23" s="347" t="s">
        <v>1453</v>
      </c>
      <c r="J23" s="24" t="e">
        <f ca="1">ROUND(J13*M23,0)</f>
        <v>#VALUE!</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t="e">
        <f ca="1">ROUND(IF('数据-取费表'!B22&lt;=1,F21*F24*F23/2,F21*(POWER((1+F24),F23/2)-1)),4)</f>
        <v>#VALUE!</v>
      </c>
      <c r="D24" s="375" t="str">
        <f>IF(F23&lt;=1,"销售费用×利率×(建设周期÷2)","销售费用×((1+利率)^(建设周期÷2)-1)")</f>
        <v>销售费用×利率×(建设周期÷2)</v>
      </c>
      <c r="E24" s="347" t="s">
        <v>1458</v>
      </c>
      <c r="F24" s="377" t="e">
        <f ca="1">'数据-取费表'!B40</f>
        <v>#VALUE!</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t="e">
        <f ca="1">J5-J16</f>
        <v>#VALUE!</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0</v>
      </c>
      <c r="D28" s="369" t="s">
        <v>1476</v>
      </c>
      <c r="E28" s="347" t="s">
        <v>1422</v>
      </c>
      <c r="F28" s="367">
        <f>'数据-取费表'!B41</f>
        <v>0</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#VALUE!</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#VALUE!</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ROUND(IF(项目基本情况!B11="自然人",C5*F31,C32+C33+C34),0)</f>
        <v>#VALUE!</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0</v>
      </c>
      <c r="G32" s="1854"/>
      <c r="H32" s="745"/>
      <c r="I32" s="746"/>
      <c r="J32" s="747"/>
      <c r="K32" s="748"/>
      <c r="L32" s="749"/>
      <c r="M32" s="750"/>
    </row>
    <row r="33" spans="1:18" ht="18" customHeight="1">
      <c r="A33" s="1204" t="s">
        <v>1036</v>
      </c>
      <c r="B33" s="347" t="s">
        <v>1437</v>
      </c>
      <c r="C33" s="24" t="e">
        <f ca="1">IF(项目基本情况!B11="自然人","——",IF(D33="按租金收入计税",ROUND(C5*F33,0),IF(D33="按房产原值计税",ROUND(C29*F33*0.7,0),INDIRECT("'数据-取费表'!Aj"&amp;$G$1))))</f>
        <v>#VALUE!</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t="e">
        <f ca="1">ROUND(C29*F36,0)</f>
        <v>#VALUE!</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t="e">
        <f ca="1">ROUND(C13*F37,0)</f>
        <v>#VALUE!</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t="e">
        <f ca="1">C5-C30</f>
        <v>#VALUE!</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#VALUE!</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#VALUE!</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#VALUE!</v>
      </c>
      <c r="D45" s="1943" t="s">
        <v>1604</v>
      </c>
      <c r="E45" s="1869"/>
      <c r="F45" s="1869"/>
      <c r="O45" s="1872" t="s">
        <v>1519</v>
      </c>
      <c r="P45" s="1842"/>
      <c r="Q45" s="1842"/>
      <c r="R45" s="1842"/>
    </row>
    <row r="46" spans="1:18" s="1845" customFormat="1" ht="13.5" thickBot="1">
      <c r="A46" s="1873" t="s">
        <v>1520</v>
      </c>
      <c r="C46" s="1874" t="e">
        <f ca="1">ROUND(C45/10000,0)</f>
        <v>#VALUE!</v>
      </c>
      <c r="D46" s="1875" t="str">
        <f>C2</f>
        <v>万元</v>
      </c>
      <c r="I46" s="1876" t="s">
        <v>1521</v>
      </c>
      <c r="J46" s="1877"/>
      <c r="K46" s="1878"/>
      <c r="L46" s="1879" t="e">
        <f ca="1">IF(M47="住宅",0,IF(L48&gt;J51,L60,J60))</f>
        <v>#VALUE!</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40</v>
      </c>
      <c r="M47" s="1841" t="str">
        <f>IF(ISNUMBER(FIND("住宅",C1)),"住宅","非住宅")</f>
        <v>非住宅</v>
      </c>
      <c r="O47" s="1887" t="s">
        <v>1040</v>
      </c>
      <c r="P47" s="1888" t="s">
        <v>1528</v>
      </c>
      <c r="Q47" s="1889" t="e">
        <f ca="1">C40+J29</f>
        <v>#VALUE!</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40</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t="e">
        <f ca="1">C29</f>
        <v>#VALUE!</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t="e">
        <f ca="1">ROUND(-PV(INDIRECT("'数据-取费表'!h"&amp;$G$1),L48,(C39-C13*C76),0),0)</f>
        <v>#VALUE!</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8" t="s">
        <v>1548</v>
      </c>
      <c r="L53" s="3139"/>
      <c r="O53" s="1887" t="s">
        <v>1046</v>
      </c>
      <c r="P53" s="1888" t="s">
        <v>1549</v>
      </c>
      <c r="Q53" s="1889" t="e">
        <f ca="1">Q47+Q48</f>
        <v>#VALUE!</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t="e">
        <f ca="1">C13</f>
        <v>#VALUE!</v>
      </c>
      <c r="D56" s="1917"/>
      <c r="E56" s="1918"/>
      <c r="F56" s="1910"/>
      <c r="I56" s="1919" t="s">
        <v>1554</v>
      </c>
      <c r="J56" s="1920"/>
      <c r="K56" s="1890" t="s">
        <v>1555</v>
      </c>
      <c r="L56" s="1893">
        <f ca="1">IF(L48&lt;J51,"——",L48-J51)</f>
        <v>40</v>
      </c>
      <c r="O56" s="1887" t="s">
        <v>1040</v>
      </c>
      <c r="P56" s="1888" t="s">
        <v>1528</v>
      </c>
      <c r="Q56" s="1889" t="e">
        <f ca="1">C40+J29</f>
        <v>#VALUE!</v>
      </c>
      <c r="R56" s="1889" t="s">
        <v>1529</v>
      </c>
    </row>
    <row r="57" spans="1:18" s="1845" customFormat="1" ht="24.75" thickBot="1">
      <c r="A57" s="1921"/>
      <c r="B57" s="1172" t="s">
        <v>1478</v>
      </c>
      <c r="C57" s="282" t="e">
        <f ca="1">C29</f>
        <v>#VALUE!</v>
      </c>
      <c r="D57" s="1922"/>
      <c r="E57" s="1923"/>
      <c r="F57" s="1924"/>
      <c r="I57" s="1925" t="s">
        <v>1556</v>
      </c>
      <c r="J57" s="1926" t="str">
        <f ca="1">IF(OR(M47="住宅",J51&lt;L48,J56="是"),"——",J51-L48)</f>
        <v>——</v>
      </c>
      <c r="K57" s="1890" t="s">
        <v>1605</v>
      </c>
      <c r="L57" s="1893" t="e">
        <f ca="1">IF(L48&lt;J51,"——",IF(L55="比较法",L49,IF(L55="基准地价",L50,L51)))</f>
        <v>#VALUE!</v>
      </c>
      <c r="O57" s="1887" t="s">
        <v>1041</v>
      </c>
      <c r="P57" s="1888" t="s">
        <v>1606</v>
      </c>
      <c r="Q57" s="1889" t="e">
        <f ca="1">L60</f>
        <v>#VALUE!</v>
      </c>
      <c r="R57" s="1889" t="s">
        <v>1607</v>
      </c>
    </row>
    <row r="58" spans="1:18" s="1845" customFormat="1" ht="24.75" thickBot="1">
      <c r="A58" s="360" t="s">
        <v>1030</v>
      </c>
      <c r="B58" s="1180" t="s">
        <v>1424</v>
      </c>
      <c r="C58" s="361" t="e">
        <f ca="1">ROUND(C59+C64+C65+C66,0)</f>
        <v>#VALUE!</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ROUND(IF(项目基本情况!B11="自然人",C48*F59,C60+C61+C62),0)</f>
        <v>#VALUE!</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0</v>
      </c>
      <c r="I60" s="1928" t="s">
        <v>1565</v>
      </c>
      <c r="J60" s="1929" t="str">
        <f ca="1">IF(OR(M47="住宅",J51&lt;L48,J56="是"),"0",ROUND(J59/(1+J52)^J53,0))</f>
        <v>0</v>
      </c>
      <c r="K60" s="1930" t="s">
        <v>1566</v>
      </c>
      <c r="L60" s="1929" t="e">
        <f ca="1">IF(OR(M47="住宅",L48&lt;J51),0,ROUND(L57*(L58/L59-1),0))</f>
        <v>#VALUE!</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IF(项目基本情况!B11="自然人","——",IF(D61="按租金收入计税",ROUND(C48*F61,0),IF(D61="按房产原值计税",ROUND(C57*F61*0.7,0),INDIRECT("'数据-取费表'!Aj"&amp;$G$1))))</f>
        <v>#VALUE!</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#VALUE!</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ROUND(C57*F64,0)</f>
        <v>#VALUE!</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ROUND(C56*F65,0)</f>
        <v>#VALUE!</v>
      </c>
      <c r="D65" s="1186" t="s">
        <v>1454</v>
      </c>
      <c r="E65" s="1172" t="s">
        <v>1455</v>
      </c>
      <c r="F65" s="376">
        <f t="shared" ca="1" si="0"/>
        <v>0</v>
      </c>
      <c r="I65" s="1932" t="s">
        <v>1579</v>
      </c>
      <c r="J65" s="1933">
        <v>40</v>
      </c>
      <c r="K65" s="1933">
        <v>30</v>
      </c>
      <c r="L65" s="1933">
        <v>50</v>
      </c>
      <c r="M65" s="1935">
        <v>0.02</v>
      </c>
      <c r="O65" s="1887" t="s">
        <v>1040</v>
      </c>
      <c r="P65" s="1888" t="s">
        <v>1580</v>
      </c>
      <c r="Q65" s="1889" t="e">
        <f ca="1">C40+J29</f>
        <v>#VALUE!</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#VALUE!</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t="e">
        <f ca="1">L51</f>
        <v>#VALUE!</v>
      </c>
      <c r="R67" s="1889" t="s">
        <v>1582</v>
      </c>
    </row>
    <row r="68" spans="1:18" s="1845" customFormat="1" ht="16.5" thickBot="1">
      <c r="A68" s="1169" t="s">
        <v>1032</v>
      </c>
      <c r="B68" s="1170" t="s">
        <v>1485</v>
      </c>
      <c r="C68" s="346" t="e">
        <f ca="1">ROUND(C67*(1-((1+F70)/(1+F68))^F69)/(F68-F70),0)</f>
        <v>#VALUE!</v>
      </c>
      <c r="D68" s="1187" t="s">
        <v>1469</v>
      </c>
      <c r="E68" s="1172" t="s">
        <v>1470</v>
      </c>
      <c r="F68" s="357">
        <f ca="1">F40</f>
        <v>0</v>
      </c>
      <c r="O68" s="1897" t="s">
        <v>1043</v>
      </c>
      <c r="P68" s="1937" t="s">
        <v>1583</v>
      </c>
      <c r="Q68" s="1889" t="e">
        <f ca="1">ROUND(Q69-Q70*Q71,0)</f>
        <v>#VALUE!</v>
      </c>
      <c r="R68" s="1889" t="s">
        <v>1051</v>
      </c>
    </row>
    <row r="69" spans="1:18" s="1845" customFormat="1" ht="13.5" thickBot="1">
      <c r="A69" s="1173"/>
      <c r="B69" s="1174"/>
      <c r="C69" s="351"/>
      <c r="D69" s="1192" t="s">
        <v>1473</v>
      </c>
      <c r="E69" s="1172" t="s">
        <v>1474</v>
      </c>
      <c r="F69" s="379">
        <f ca="1">F41</f>
        <v>0</v>
      </c>
      <c r="O69" s="1897" t="s">
        <v>1048</v>
      </c>
      <c r="P69" s="1937" t="s">
        <v>1584</v>
      </c>
      <c r="Q69" s="1889" t="e">
        <f ca="1">C39</f>
        <v>#VALUE!</v>
      </c>
      <c r="R69" s="1889" t="s">
        <v>1529</v>
      </c>
    </row>
    <row r="70" spans="1:18" s="1845" customFormat="1" ht="13.5" thickBot="1">
      <c r="A70" s="1176"/>
      <c r="B70" s="1177"/>
      <c r="C70" s="355"/>
      <c r="D70" s="1188"/>
      <c r="E70" s="1172" t="s">
        <v>1477</v>
      </c>
      <c r="F70" s="1278">
        <f ca="1">F42</f>
        <v>0</v>
      </c>
      <c r="O70" s="1897" t="s">
        <v>1049</v>
      </c>
      <c r="P70" s="1937" t="s">
        <v>1585</v>
      </c>
      <c r="Q70" s="1889" t="e">
        <f ca="1">C13</f>
        <v>#VALUE!</v>
      </c>
      <c r="R70" s="1889" t="s">
        <v>1529</v>
      </c>
    </row>
    <row r="71" spans="1:18" s="1845" customFormat="1" ht="13.5" thickBot="1">
      <c r="A71" s="1193" t="s">
        <v>1033</v>
      </c>
      <c r="B71" s="1194" t="s">
        <v>1487</v>
      </c>
      <c r="C71" s="382" t="e">
        <f ca="1">ROUND(C68/F71,0)</f>
        <v>#VALUE!</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t="e">
        <f ca="1">ROUND(C13*C76,0)</f>
        <v>#VALUE!</v>
      </c>
      <c r="D75" s="1845"/>
      <c r="E75" s="1845"/>
      <c r="F75" s="1845"/>
      <c r="K75" s="1871"/>
      <c r="L75" s="1845"/>
      <c r="O75" s="1887" t="s">
        <v>1046</v>
      </c>
      <c r="P75" s="1888" t="s">
        <v>1549</v>
      </c>
      <c r="Q75" s="1889" t="e">
        <f ca="1">Q65+Q66</f>
        <v>#VALUE!</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#VALUE!</v>
      </c>
    </row>
    <row r="80" spans="1:18">
      <c r="B80" s="386" t="s">
        <v>1511</v>
      </c>
      <c r="C80" s="318" t="e">
        <f ca="1">ROUND(C75/C39,3)</f>
        <v>#VALUE!</v>
      </c>
    </row>
    <row r="81" spans="2:3">
      <c r="B81" s="314" t="s">
        <v>1512</v>
      </c>
      <c r="C81" s="282"/>
    </row>
    <row r="82" spans="2:3">
      <c r="B82" s="317" t="s">
        <v>1513</v>
      </c>
      <c r="C82" s="319" t="e">
        <f ca="1">1-C83</f>
        <v>#VALUE!</v>
      </c>
    </row>
    <row r="83" spans="2:3">
      <c r="B83" s="317" t="s">
        <v>1514</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2533</v>
      </c>
      <c r="B1" s="2569"/>
      <c r="C1" s="2569"/>
      <c r="D1" s="2569"/>
      <c r="E1" s="2570"/>
    </row>
    <row r="2" spans="1:6" ht="15.75">
      <c r="A2" s="2571" t="s">
        <v>2334</v>
      </c>
      <c r="B2" s="2572">
        <f ca="1">SUMIF(B6:B13,"&lt;&gt;#ref!",B6:B13)</f>
        <v>0</v>
      </c>
      <c r="C2" s="2573" t="s">
        <v>2526</v>
      </c>
      <c r="D2" s="2574" t="s">
        <v>2527</v>
      </c>
      <c r="E2" s="2575">
        <f>SUM(E6:E13)</f>
        <v>0</v>
      </c>
    </row>
    <row r="3" spans="1:6" ht="15.75">
      <c r="A3" s="2571" t="s">
        <v>1395</v>
      </c>
      <c r="B3" s="2572" t="e">
        <f ca="1">ROUND(B2*10000/E2,0)</f>
        <v>#DIV/0!</v>
      </c>
      <c r="C3" s="2573" t="s">
        <v>2534</v>
      </c>
      <c r="D3" s="2576"/>
      <c r="E3" s="2577"/>
    </row>
    <row r="4" spans="1:6" ht="15.75">
      <c r="A4" s="2578"/>
      <c r="B4" s="2576"/>
      <c r="C4" s="2576"/>
      <c r="D4" s="2576"/>
      <c r="E4" s="2577"/>
    </row>
    <row r="5" spans="1:6" ht="15">
      <c r="A5" s="2579" t="s">
        <v>2528</v>
      </c>
      <c r="B5" s="3143" t="s">
        <v>2529</v>
      </c>
      <c r="C5" s="3143"/>
      <c r="D5" s="2580"/>
      <c r="E5" s="2581" t="s">
        <v>2530</v>
      </c>
      <c r="F5" s="2582" t="s">
        <v>2531</v>
      </c>
    </row>
    <row r="6" spans="1:6">
      <c r="A6" s="2583">
        <f>'数据-取费表'!AN6</f>
        <v>0</v>
      </c>
      <c r="B6" s="2582" t="e">
        <f ca="1">IF(F6="是",'数据-取费表'!AO6,0)</f>
        <v>#REF!</v>
      </c>
      <c r="C6" s="2573" t="s">
        <v>2526</v>
      </c>
      <c r="D6" s="2576"/>
      <c r="E6" s="2584">
        <f>IF(OR(A6=0,F6="否"),0,'数据-取费表'!K6+'数据-取费表'!S6)</f>
        <v>0</v>
      </c>
      <c r="F6" s="2585" t="s">
        <v>2532</v>
      </c>
    </row>
    <row r="7" spans="1:6">
      <c r="A7" s="2583">
        <f>'数据-取费表'!AN7</f>
        <v>0</v>
      </c>
      <c r="B7" s="2582" t="e">
        <f ca="1">IF(F7="是",'数据-取费表'!AO7,0)</f>
        <v>#REF!</v>
      </c>
      <c r="C7" s="2573" t="s">
        <v>2526</v>
      </c>
      <c r="D7" s="2576"/>
      <c r="E7" s="2584">
        <f>IF(OR(A7=0,F7="否"),0,'数据-取费表'!K7+'数据-取费表'!S7)</f>
        <v>0</v>
      </c>
      <c r="F7" s="2585" t="s">
        <v>2532</v>
      </c>
    </row>
    <row r="8" spans="1:6">
      <c r="A8" s="2583">
        <f>'数据-取费表'!AN8</f>
        <v>0</v>
      </c>
      <c r="B8" s="2582" t="e">
        <f ca="1">IF(F8="是",'数据-取费表'!AO8,0)</f>
        <v>#REF!</v>
      </c>
      <c r="C8" s="2573" t="s">
        <v>2526</v>
      </c>
      <c r="D8" s="2576"/>
      <c r="E8" s="2584">
        <f>IF(OR(A8=0,F8="否"),0,'数据-取费表'!K8+'数据-取费表'!S8)</f>
        <v>0</v>
      </c>
      <c r="F8" s="2585" t="s">
        <v>2532</v>
      </c>
    </row>
    <row r="9" spans="1:6">
      <c r="A9" s="2583">
        <f>'数据-取费表'!AN9</f>
        <v>0</v>
      </c>
      <c r="B9" s="2582" t="e">
        <f ca="1">IF(F9="是",'数据-取费表'!AO9,0)</f>
        <v>#REF!</v>
      </c>
      <c r="C9" s="2573" t="s">
        <v>2526</v>
      </c>
      <c r="D9" s="2576"/>
      <c r="E9" s="2584">
        <f>IF(OR(A9=0,F9="否"),0,'数据-取费表'!K9+'数据-取费表'!S9)</f>
        <v>0</v>
      </c>
      <c r="F9" s="2585" t="s">
        <v>2532</v>
      </c>
    </row>
    <row r="10" spans="1:6">
      <c r="A10" s="2583">
        <f>'数据-取费表'!AN10</f>
        <v>0</v>
      </c>
      <c r="B10" s="2582" t="e">
        <f ca="1">IF(F10="是",'数据-取费表'!AO10,0)</f>
        <v>#REF!</v>
      </c>
      <c r="C10" s="2573" t="s">
        <v>2526</v>
      </c>
      <c r="D10" s="2576"/>
      <c r="E10" s="2584">
        <f>IF(OR(A10=0,F10="否"),0,'数据-取费表'!K10+'数据-取费表'!S10)</f>
        <v>0</v>
      </c>
      <c r="F10" s="2585" t="s">
        <v>2532</v>
      </c>
    </row>
    <row r="11" spans="1:6">
      <c r="A11" s="2583">
        <f>'数据-取费表'!AN11</f>
        <v>0</v>
      </c>
      <c r="B11" s="2582" t="e">
        <f ca="1">IF(F11="是",'数据-取费表'!AO11,0)</f>
        <v>#REF!</v>
      </c>
      <c r="C11" s="2573" t="s">
        <v>2526</v>
      </c>
      <c r="D11" s="2576"/>
      <c r="E11" s="2584">
        <f>IF(OR(A11=0,F11="否"),0,'数据-取费表'!K11+'数据-取费表'!S11)</f>
        <v>0</v>
      </c>
      <c r="F11" s="2585" t="s">
        <v>2532</v>
      </c>
    </row>
    <row r="12" spans="1:6">
      <c r="A12" s="2583">
        <f>'数据-取费表'!AN12</f>
        <v>0</v>
      </c>
      <c r="B12" s="2582" t="e">
        <f ca="1">IF(F12="是",'数据-取费表'!AO12,0)</f>
        <v>#REF!</v>
      </c>
      <c r="C12" s="2573" t="s">
        <v>2526</v>
      </c>
      <c r="D12" s="2576"/>
      <c r="E12" s="2584">
        <f>IF(OR(A12=0,F12="否"),0,'数据-取费表'!K12+'数据-取费表'!S12)</f>
        <v>0</v>
      </c>
      <c r="F12" s="2585" t="s">
        <v>2532</v>
      </c>
    </row>
    <row r="13" spans="1:6" ht="15" thickBot="1">
      <c r="A13" s="2586">
        <f>'数据-取费表'!AN13</f>
        <v>0</v>
      </c>
      <c r="B13" s="2582" t="e">
        <f ca="1">IF(F13="是",'数据-取费表'!AO13,0)</f>
        <v>#REF!</v>
      </c>
      <c r="C13" s="2587" t="s">
        <v>2526</v>
      </c>
      <c r="D13" s="2588"/>
      <c r="E13" s="2584">
        <f>IF(OR(A13=0,F13="否"),0,'数据-取费表'!K13+'数据-取费表'!S13)</f>
        <v>0</v>
      </c>
      <c r="F13" s="2585"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P15" sqref="P15:P32"/>
    </sheetView>
  </sheetViews>
  <sheetFormatPr defaultRowHeight="13.5"/>
  <cols>
    <col min="1" max="1" width="10.5" customWidth="1"/>
    <col min="2" max="2" width="12.875" customWidth="1"/>
    <col min="3" max="3" width="8.75" customWidth="1"/>
  </cols>
  <sheetData>
    <row r="1" spans="1:9" ht="14.25">
      <c r="A1" s="3144" t="s">
        <v>1076</v>
      </c>
      <c r="B1" s="3145"/>
      <c r="C1" s="3146"/>
      <c r="D1" s="3147">
        <f>SUM(I10,I15,I20,I21,I23)</f>
        <v>0</v>
      </c>
      <c r="E1" s="3147"/>
      <c r="F1" s="3147"/>
      <c r="G1" s="3147"/>
      <c r="H1" s="3147"/>
      <c r="I1" s="3148"/>
    </row>
    <row r="2" spans="1:9">
      <c r="A2" s="3149" t="s">
        <v>1077</v>
      </c>
      <c r="B2" s="3150" t="s">
        <v>1078</v>
      </c>
      <c r="C2" s="3150"/>
      <c r="D2" s="1304" t="s">
        <v>1079</v>
      </c>
      <c r="E2" s="1304" t="s">
        <v>1080</v>
      </c>
      <c r="F2" s="1304" t="s">
        <v>1081</v>
      </c>
      <c r="G2" s="1304" t="s">
        <v>1082</v>
      </c>
      <c r="H2" s="1304" t="s">
        <v>1083</v>
      </c>
      <c r="I2" s="1305" t="s">
        <v>1084</v>
      </c>
    </row>
    <row r="3" spans="1:9">
      <c r="A3" s="3149"/>
      <c r="B3" s="3150" t="s">
        <v>1085</v>
      </c>
      <c r="C3" s="3150"/>
      <c r="D3" s="1306"/>
      <c r="E3" s="1304"/>
      <c r="F3" s="1307"/>
      <c r="G3" s="1307"/>
      <c r="H3" s="1308"/>
      <c r="I3" s="1309">
        <f>ROUND(D3*E3*F3*G3*H3/10000,0)</f>
        <v>0</v>
      </c>
    </row>
    <row r="4" spans="1:9">
      <c r="A4" s="3149"/>
      <c r="B4" s="3150" t="s">
        <v>1086</v>
      </c>
      <c r="C4" s="3150"/>
      <c r="D4" s="1306"/>
      <c r="E4" s="1304"/>
      <c r="F4" s="1307"/>
      <c r="G4" s="1307"/>
      <c r="H4" s="1308"/>
      <c r="I4" s="1309">
        <f t="shared" ref="I4:I9" si="0">ROUND(D4*E4*F4*G4*H4/10000,0)</f>
        <v>0</v>
      </c>
    </row>
    <row r="5" spans="1:9">
      <c r="A5" s="3149"/>
      <c r="B5" s="3150" t="s">
        <v>1087</v>
      </c>
      <c r="C5" s="3150"/>
      <c r="D5" s="1306"/>
      <c r="E5" s="1304"/>
      <c r="F5" s="1307"/>
      <c r="G5" s="1307"/>
      <c r="H5" s="1308"/>
      <c r="I5" s="1309">
        <f t="shared" si="0"/>
        <v>0</v>
      </c>
    </row>
    <row r="6" spans="1:9">
      <c r="A6" s="3149"/>
      <c r="B6" s="3150" t="s">
        <v>1088</v>
      </c>
      <c r="C6" s="3150"/>
      <c r="D6" s="1306"/>
      <c r="E6" s="1304"/>
      <c r="F6" s="1307"/>
      <c r="G6" s="1307"/>
      <c r="H6" s="1308"/>
      <c r="I6" s="1309">
        <f t="shared" si="0"/>
        <v>0</v>
      </c>
    </row>
    <row r="7" spans="1:9">
      <c r="A7" s="3149"/>
      <c r="B7" s="3150" t="s">
        <v>1089</v>
      </c>
      <c r="C7" s="3150"/>
      <c r="D7" s="1306"/>
      <c r="E7" s="1304"/>
      <c r="F7" s="1307"/>
      <c r="G7" s="1307"/>
      <c r="H7" s="1308"/>
      <c r="I7" s="1309">
        <f t="shared" si="0"/>
        <v>0</v>
      </c>
    </row>
    <row r="8" spans="1:9">
      <c r="A8" s="3149"/>
      <c r="B8" s="3150" t="s">
        <v>1090</v>
      </c>
      <c r="C8" s="3150"/>
      <c r="D8" s="1306"/>
      <c r="E8" s="1304"/>
      <c r="F8" s="1307"/>
      <c r="G8" s="1307"/>
      <c r="H8" s="1308"/>
      <c r="I8" s="1309">
        <f t="shared" si="0"/>
        <v>0</v>
      </c>
    </row>
    <row r="9" spans="1:9">
      <c r="A9" s="3149"/>
      <c r="B9" s="3150" t="s">
        <v>1091</v>
      </c>
      <c r="C9" s="3150"/>
      <c r="D9" s="1306"/>
      <c r="E9" s="1304"/>
      <c r="F9" s="1307"/>
      <c r="G9" s="1307"/>
      <c r="H9" s="1308"/>
      <c r="I9" s="1309">
        <f t="shared" si="0"/>
        <v>0</v>
      </c>
    </row>
    <row r="10" spans="1:9">
      <c r="A10" s="3149"/>
      <c r="B10" s="3151" t="s">
        <v>1092</v>
      </c>
      <c r="C10" s="3151"/>
      <c r="D10" s="1310"/>
      <c r="E10" s="1310" t="e">
        <f>ROUND(D1*10000/D10/H9,0)</f>
        <v>#DIV/0!</v>
      </c>
      <c r="F10" s="1311"/>
      <c r="G10" s="1311"/>
      <c r="H10" s="1312"/>
      <c r="I10" s="1313">
        <f>SUM(I3:I9)</f>
        <v>0</v>
      </c>
    </row>
    <row r="11" spans="1:9" ht="14.25">
      <c r="A11" s="3149" t="s">
        <v>1093</v>
      </c>
      <c r="B11" s="3150" t="s">
        <v>1094</v>
      </c>
      <c r="C11" s="3150"/>
      <c r="D11" s="1306" t="s">
        <v>1095</v>
      </c>
      <c r="E11" s="1306" t="s">
        <v>1096</v>
      </c>
      <c r="F11" s="1307" t="s">
        <v>1097</v>
      </c>
      <c r="G11" s="1307" t="s">
        <v>1083</v>
      </c>
      <c r="H11" s="1314" t="s">
        <v>1098</v>
      </c>
      <c r="I11" s="1305" t="s">
        <v>1084</v>
      </c>
    </row>
    <row r="12" spans="1:9">
      <c r="A12" s="3149"/>
      <c r="B12" s="3150" t="s">
        <v>1099</v>
      </c>
      <c r="C12" s="3150"/>
      <c r="D12" s="1306"/>
      <c r="E12" s="1306"/>
      <c r="F12" s="1307"/>
      <c r="G12" s="1308"/>
      <c r="H12" s="1315"/>
      <c r="I12" s="1305">
        <f>ROUND(D12*E12*F12*G12/10000,0)</f>
        <v>0</v>
      </c>
    </row>
    <row r="13" spans="1:9">
      <c r="A13" s="3149"/>
      <c r="B13" s="3150" t="s">
        <v>1100</v>
      </c>
      <c r="C13" s="3150"/>
      <c r="D13" s="1306"/>
      <c r="E13" s="1306"/>
      <c r="F13" s="1307"/>
      <c r="G13" s="1308"/>
      <c r="H13" s="1315"/>
      <c r="I13" s="1305">
        <f>ROUND(D13*E13*F13*G13/10000,0)</f>
        <v>0</v>
      </c>
    </row>
    <row r="14" spans="1:9">
      <c r="A14" s="3149"/>
      <c r="B14" s="3150" t="s">
        <v>1101</v>
      </c>
      <c r="C14" s="3150"/>
      <c r="D14" s="1306"/>
      <c r="E14" s="1306"/>
      <c r="F14" s="1307"/>
      <c r="G14" s="1308"/>
      <c r="H14" s="1315"/>
      <c r="I14" s="1305">
        <f>ROUND(D14*E14*F14*G14/10000,0)</f>
        <v>0</v>
      </c>
    </row>
    <row r="15" spans="1:9">
      <c r="A15" s="3149"/>
      <c r="B15" s="3151" t="s">
        <v>1092</v>
      </c>
      <c r="C15" s="3151"/>
      <c r="D15" s="1310"/>
      <c r="E15" s="1310">
        <f>SUM(E12:E14)</f>
        <v>0</v>
      </c>
      <c r="F15" s="1311"/>
      <c r="G15" s="1308"/>
      <c r="H15" s="1315"/>
      <c r="I15" s="1316">
        <f>SUM(I12:I14)</f>
        <v>0</v>
      </c>
    </row>
    <row r="16" spans="1:9" ht="24">
      <c r="A16" s="3149" t="s">
        <v>1102</v>
      </c>
      <c r="B16" s="3150" t="s">
        <v>1103</v>
      </c>
      <c r="C16" s="3150"/>
      <c r="D16" s="1306" t="s">
        <v>1079</v>
      </c>
      <c r="E16" s="1317" t="s">
        <v>1104</v>
      </c>
      <c r="F16" s="1307" t="s">
        <v>1105</v>
      </c>
      <c r="G16" s="1308" t="s">
        <v>1083</v>
      </c>
      <c r="H16" s="1314" t="s">
        <v>1098</v>
      </c>
      <c r="I16" s="1305" t="s">
        <v>1084</v>
      </c>
    </row>
    <row r="17" spans="1:9" ht="14.25">
      <c r="A17" s="3149"/>
      <c r="B17" s="3150" t="s">
        <v>1106</v>
      </c>
      <c r="C17" s="3150"/>
      <c r="D17" s="1306"/>
      <c r="E17" s="1306"/>
      <c r="F17" s="1307"/>
      <c r="G17" s="1308"/>
      <c r="H17" s="1318"/>
      <c r="I17" s="1319">
        <f>ROUND(D17*E17*F17*G17/10000,0)</f>
        <v>0</v>
      </c>
    </row>
    <row r="18" spans="1:9" ht="14.25">
      <c r="A18" s="3149"/>
      <c r="B18" s="3150" t="s">
        <v>1107</v>
      </c>
      <c r="C18" s="3150"/>
      <c r="D18" s="1306"/>
      <c r="E18" s="1306"/>
      <c r="F18" s="1307"/>
      <c r="G18" s="1308"/>
      <c r="H18" s="1318"/>
      <c r="I18" s="1319">
        <f>ROUND(D18*E18*F18*G18/10000,0)</f>
        <v>0</v>
      </c>
    </row>
    <row r="19" spans="1:9" ht="14.25">
      <c r="A19" s="3149"/>
      <c r="B19" s="3150" t="s">
        <v>1108</v>
      </c>
      <c r="C19" s="3150"/>
      <c r="D19" s="1306"/>
      <c r="E19" s="1306"/>
      <c r="F19" s="1307"/>
      <c r="G19" s="1308"/>
      <c r="H19" s="1318"/>
      <c r="I19" s="1319">
        <f>ROUND(D19*E19*F19*G19/10000,0)</f>
        <v>0</v>
      </c>
    </row>
    <row r="20" spans="1:9">
      <c r="A20" s="3149"/>
      <c r="B20" s="3151" t="s">
        <v>1092</v>
      </c>
      <c r="C20" s="3151"/>
      <c r="D20" s="1310">
        <f>SUM(D17:D19)</f>
        <v>0</v>
      </c>
      <c r="E20" s="1310"/>
      <c r="F20" s="1311"/>
      <c r="G20" s="1308"/>
      <c r="H20" s="1315"/>
      <c r="I20" s="1316">
        <f>SUM(I17:I19)</f>
        <v>0</v>
      </c>
    </row>
    <row r="21" spans="1:9">
      <c r="A21" s="3149" t="s">
        <v>1109</v>
      </c>
      <c r="B21" s="3153"/>
      <c r="C21" s="3153"/>
      <c r="D21" s="3153"/>
      <c r="E21" s="3153"/>
      <c r="F21" s="3153"/>
      <c r="G21" s="3153"/>
      <c r="H21" s="1768">
        <v>0.1</v>
      </c>
      <c r="I21" s="1313">
        <f>ROUND(I10*H21,0)</f>
        <v>0</v>
      </c>
    </row>
    <row r="22" spans="1:9" ht="14.25">
      <c r="A22" s="3154" t="s">
        <v>1110</v>
      </c>
      <c r="B22" s="3155"/>
      <c r="C22" s="3156"/>
      <c r="D22" s="1320" t="s">
        <v>1111</v>
      </c>
      <c r="E22" s="1320" t="s">
        <v>1112</v>
      </c>
      <c r="F22" s="1321" t="s">
        <v>1113</v>
      </c>
      <c r="G22" s="1321" t="s">
        <v>1114</v>
      </c>
      <c r="H22" s="1314" t="s">
        <v>1115</v>
      </c>
      <c r="I22" s="1305" t="s">
        <v>1116</v>
      </c>
    </row>
    <row r="23" spans="1:9" ht="14.25" thickBot="1">
      <c r="A23" s="3157"/>
      <c r="B23" s="3158"/>
      <c r="C23" s="3159"/>
      <c r="D23" s="1322"/>
      <c r="E23" s="1322"/>
      <c r="F23" s="1322"/>
      <c r="G23" s="1323"/>
      <c r="H23" s="1324"/>
      <c r="I23" s="1325">
        <f>ROUND(E23*D23*F23*(1-G23)/10000,0)</f>
        <v>0</v>
      </c>
    </row>
    <row r="26" spans="1:9">
      <c r="A26" s="1326" t="s">
        <v>1117</v>
      </c>
      <c r="B26" s="1326"/>
      <c r="C26" s="1326"/>
      <c r="D26" s="1326"/>
      <c r="E26" s="3160">
        <f>C27-C30-C31-C32</f>
        <v>0</v>
      </c>
      <c r="F26" s="3160"/>
      <c r="G26" s="3160"/>
      <c r="H26" s="1740" t="s">
        <v>1340</v>
      </c>
    </row>
    <row r="27" spans="1:9">
      <c r="A27" s="1327">
        <v>1</v>
      </c>
      <c r="B27" s="1328" t="s">
        <v>1118</v>
      </c>
      <c r="C27" s="1328">
        <f>C28+C29</f>
        <v>0</v>
      </c>
      <c r="D27" s="1328"/>
      <c r="E27" s="3161"/>
      <c r="F27" s="3161"/>
      <c r="G27" s="3161"/>
    </row>
    <row r="28" spans="1:9">
      <c r="A28" s="1329" t="s">
        <v>1119</v>
      </c>
      <c r="B28" s="1328" t="s">
        <v>1120</v>
      </c>
      <c r="C28" s="1328"/>
      <c r="D28" s="1328"/>
      <c r="E28" s="3161"/>
      <c r="F28" s="3161"/>
      <c r="G28" s="316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2"/>
      <c r="F32" s="3152"/>
      <c r="G32" s="3152"/>
    </row>
    <row r="33" spans="1:7" hidden="1">
      <c r="A33" s="3162" t="s">
        <v>1129</v>
      </c>
      <c r="B33" s="3163"/>
      <c r="C33" s="3163"/>
      <c r="D33" s="3164"/>
      <c r="E33" s="3160"/>
      <c r="F33" s="3160"/>
      <c r="G33" s="3160"/>
    </row>
    <row r="34" spans="1:7" hidden="1">
      <c r="A34" s="1331">
        <v>1</v>
      </c>
      <c r="B34" s="1328" t="s">
        <v>1130</v>
      </c>
      <c r="C34" s="1328"/>
      <c r="D34" s="1328"/>
      <c r="E34" s="3161"/>
      <c r="F34" s="3161"/>
      <c r="G34" s="3161"/>
    </row>
    <row r="35" spans="1:7" hidden="1">
      <c r="A35" s="1331">
        <v>2</v>
      </c>
      <c r="B35" s="1328" t="s">
        <v>1131</v>
      </c>
      <c r="C35" s="1328"/>
      <c r="D35" s="1328"/>
      <c r="E35" s="3161"/>
      <c r="F35" s="3161"/>
      <c r="G35" s="3161"/>
    </row>
    <row r="36" spans="1:7" hidden="1">
      <c r="A36" s="1331">
        <v>3</v>
      </c>
      <c r="B36" s="1328" t="s">
        <v>1132</v>
      </c>
      <c r="C36" s="1328"/>
      <c r="D36" s="1328"/>
      <c r="E36" s="3161"/>
      <c r="F36" s="3161"/>
      <c r="G36" s="3161"/>
    </row>
    <row r="37" spans="1:7" hidden="1">
      <c r="A37" s="1331">
        <v>4</v>
      </c>
      <c r="B37" s="1328" t="s">
        <v>1133</v>
      </c>
      <c r="C37" s="1328"/>
      <c r="D37" s="1328"/>
      <c r="E37" s="3161"/>
      <c r="F37" s="3161"/>
      <c r="G37" s="3161"/>
    </row>
    <row r="38" spans="1:7" hidden="1">
      <c r="A38" s="3162" t="s">
        <v>1134</v>
      </c>
      <c r="B38" s="3163"/>
      <c r="C38" s="3163"/>
      <c r="D38" s="3164"/>
      <c r="E38" s="3160"/>
      <c r="F38" s="3160"/>
      <c r="G38" s="31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P15" sqref="P15:P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2536</v>
      </c>
      <c r="C1" s="1637" t="s">
        <v>2537</v>
      </c>
      <c r="D1" s="1624"/>
      <c r="E1" s="2590"/>
      <c r="F1" s="2591" t="s">
        <v>2538</v>
      </c>
      <c r="G1" s="1634" t="s">
        <v>2539</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2540</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2541</v>
      </c>
      <c r="D3" s="399">
        <f>IF(D1="",'数据-汇总表'!E3,SUMIF('数据-汇总表'!$C19:$C33,D1,'数据-汇总表'!$E19:$E33))</f>
        <v>0</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2542</v>
      </c>
      <c r="B4" s="402"/>
      <c r="C4" s="3183" t="s">
        <v>2543</v>
      </c>
      <c r="D4" s="3184"/>
      <c r="E4" s="3185" t="s">
        <v>2544</v>
      </c>
      <c r="F4" s="3186"/>
      <c r="G4" s="3183" t="s">
        <v>2545</v>
      </c>
      <c r="H4" s="3184"/>
      <c r="I4" s="3183" t="s">
        <v>2546</v>
      </c>
      <c r="J4" s="3184"/>
      <c r="K4" s="2603" t="s">
        <v>2547</v>
      </c>
      <c r="L4" s="1133"/>
      <c r="M4" s="1134"/>
      <c r="N4" s="1134"/>
      <c r="O4" s="1134"/>
      <c r="P4" s="3187" t="s">
        <v>2548</v>
      </c>
      <c r="Q4" s="3188"/>
      <c r="R4" s="3170" t="s">
        <v>2544</v>
      </c>
      <c r="S4" s="3171"/>
      <c r="T4" s="3170" t="s">
        <v>2545</v>
      </c>
      <c r="U4" s="3171"/>
      <c r="V4" s="3195" t="s">
        <v>2546</v>
      </c>
      <c r="W4" s="3195"/>
      <c r="X4" s="1816"/>
      <c r="Y4" s="3170" t="s">
        <v>2548</v>
      </c>
      <c r="Z4" s="3171"/>
      <c r="AA4" s="3165" t="s">
        <v>2544</v>
      </c>
      <c r="AB4" s="3165" t="s">
        <v>2545</v>
      </c>
      <c r="AC4" s="3165" t="s">
        <v>2546</v>
      </c>
    </row>
    <row r="5" spans="1:29" ht="15">
      <c r="A5" s="404"/>
      <c r="B5" s="405"/>
      <c r="C5" s="3176" t="s">
        <v>2549</v>
      </c>
      <c r="D5" s="3177"/>
      <c r="E5" s="3174" t="s">
        <v>2550</v>
      </c>
      <c r="F5" s="3175"/>
      <c r="G5" s="3176" t="s">
        <v>2551</v>
      </c>
      <c r="H5" s="3177"/>
      <c r="I5" s="3176" t="s">
        <v>2552</v>
      </c>
      <c r="J5" s="3177"/>
      <c r="K5" s="2604"/>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2604"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43307</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68" t="s">
        <v>2556</v>
      </c>
      <c r="Q7" s="3196"/>
      <c r="R7" s="770" t="s">
        <v>23</v>
      </c>
      <c r="S7" s="771">
        <f t="shared" ref="S7:S15" si="0">F7</f>
        <v>0</v>
      </c>
      <c r="T7" s="770" t="s">
        <v>23</v>
      </c>
      <c r="U7" s="771">
        <f t="shared" ref="U7:U15" si="1">H7</f>
        <v>0</v>
      </c>
      <c r="V7" s="770" t="s">
        <v>23</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2558</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68" t="s">
        <v>2559</v>
      </c>
      <c r="Q8" s="3169"/>
      <c r="R8" s="770" t="s">
        <v>23</v>
      </c>
      <c r="S8" s="771">
        <f t="shared" si="0"/>
        <v>0</v>
      </c>
      <c r="T8" s="770" t="s">
        <v>23</v>
      </c>
      <c r="U8" s="771">
        <f t="shared" si="1"/>
        <v>0</v>
      </c>
      <c r="V8" s="770" t="s">
        <v>23</v>
      </c>
      <c r="W8" s="771">
        <f t="shared" si="2"/>
        <v>0</v>
      </c>
      <c r="X8" s="772"/>
      <c r="Y8" s="3168" t="s">
        <v>2559</v>
      </c>
      <c r="Z8" s="3169"/>
      <c r="AA8" s="773" t="e">
        <f t="shared" ref="AA8:AA19" si="3">D8/F8</f>
        <v>#DIV/0!</v>
      </c>
      <c r="AB8" s="773" t="e">
        <f t="shared" ref="AB8:AB19" si="4">D8/H8</f>
        <v>#DIV/0!</v>
      </c>
      <c r="AC8" s="773" t="e">
        <f t="shared" ref="AC8:AC19" si="5">D8/J8</f>
        <v>#DIV/0!</v>
      </c>
    </row>
    <row r="9" spans="1:29" s="117" customFormat="1">
      <c r="A9" s="415" t="s">
        <v>2560</v>
      </c>
      <c r="B9" s="71" t="s">
        <v>2561</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2"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2566</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2567</v>
      </c>
      <c r="Q15" s="1813" t="str">
        <f t="shared" si="6"/>
        <v>居住社区成熟度</v>
      </c>
      <c r="R15" s="774" t="s">
        <v>21</v>
      </c>
      <c r="S15" s="775">
        <f t="shared" si="0"/>
        <v>100</v>
      </c>
      <c r="T15" s="774" t="s">
        <v>21</v>
      </c>
      <c r="U15" s="775">
        <f t="shared" si="1"/>
        <v>100</v>
      </c>
      <c r="V15" s="774" t="s">
        <v>21</v>
      </c>
      <c r="W15" s="775">
        <f t="shared" si="2"/>
        <v>100</v>
      </c>
      <c r="X15" s="1816"/>
      <c r="Y15" s="3202" t="s">
        <v>2567</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0"/>
      <c r="Q16" s="1813"/>
      <c r="R16" s="774"/>
      <c r="S16" s="775"/>
      <c r="T16" s="774"/>
      <c r="U16" s="775"/>
      <c r="V16" s="774"/>
      <c r="W16" s="775"/>
      <c r="X16" s="1816"/>
      <c r="Y16" s="3203"/>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3" t="str">
        <f>B17</f>
        <v>交通便捷度</v>
      </c>
      <c r="R17" s="774" t="s">
        <v>21</v>
      </c>
      <c r="S17" s="775">
        <f>F17</f>
        <v>100</v>
      </c>
      <c r="T17" s="774" t="s">
        <v>21</v>
      </c>
      <c r="U17" s="775">
        <f>H17</f>
        <v>100</v>
      </c>
      <c r="V17" s="774" t="s">
        <v>21</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3" t="str">
        <f>B19</f>
        <v>公共配套设施</v>
      </c>
      <c r="R19" s="774" t="s">
        <v>21</v>
      </c>
      <c r="S19" s="775">
        <f>F19</f>
        <v>100</v>
      </c>
      <c r="T19" s="774" t="s">
        <v>21</v>
      </c>
      <c r="U19" s="775">
        <f>H19</f>
        <v>100</v>
      </c>
      <c r="V19" s="774" t="s">
        <v>21</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0"/>
      <c r="Q20" s="1813"/>
      <c r="R20" s="774"/>
      <c r="S20" s="775"/>
      <c r="T20" s="774"/>
      <c r="U20" s="775"/>
      <c r="V20" s="774"/>
      <c r="W20" s="775"/>
      <c r="X20" s="1816"/>
      <c r="Y20" s="3203"/>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10"/>
      <c r="Q22" s="1813"/>
      <c r="R22" s="774"/>
      <c r="S22" s="775"/>
      <c r="T22" s="774"/>
      <c r="U22" s="775"/>
      <c r="V22" s="774"/>
      <c r="W22" s="775"/>
      <c r="X22" s="1816"/>
      <c r="Y22" s="3203"/>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3" t="str">
        <f>B23</f>
        <v>自然及人文环境</v>
      </c>
      <c r="R23" s="774" t="s">
        <v>21</v>
      </c>
      <c r="S23" s="775">
        <f>F23</f>
        <v>100</v>
      </c>
      <c r="T23" s="774" t="s">
        <v>21</v>
      </c>
      <c r="U23" s="775">
        <f>H23</f>
        <v>100</v>
      </c>
      <c r="V23" s="774" t="s">
        <v>21</v>
      </c>
      <c r="W23" s="775">
        <f>J23</f>
        <v>100</v>
      </c>
      <c r="X23" s="1816"/>
      <c r="Y23" s="320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2568</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3"/>
      <c r="Z25" s="1817" t="str">
        <f>Q25</f>
        <v>楼层-1</v>
      </c>
      <c r="AA25" s="1814">
        <f t="shared" ref="AA25:AA46" si="15">D25/F25</f>
        <v>1</v>
      </c>
      <c r="AB25" s="1814">
        <f t="shared" ref="AB25:AB46" si="16">D25/H25</f>
        <v>1</v>
      </c>
      <c r="AC25" s="1814">
        <f t="shared" ref="AC25:AC46" si="17">D25/J25</f>
        <v>1</v>
      </c>
    </row>
    <row r="26" spans="1:29" ht="15">
      <c r="A26" s="428"/>
      <c r="B26" s="422" t="s">
        <v>2569</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0"/>
      <c r="Q26" s="1813" t="str">
        <f t="shared" si="11"/>
        <v>朝向</v>
      </c>
      <c r="R26" s="774" t="s">
        <v>21</v>
      </c>
      <c r="S26" s="775">
        <f t="shared" si="12"/>
        <v>100</v>
      </c>
      <c r="T26" s="774" t="s">
        <v>21</v>
      </c>
      <c r="U26" s="775">
        <f t="shared" si="13"/>
        <v>100</v>
      </c>
      <c r="V26" s="774" t="s">
        <v>21</v>
      </c>
      <c r="W26" s="775">
        <f t="shared" si="14"/>
        <v>100</v>
      </c>
      <c r="X26" s="1816"/>
      <c r="Y26" s="320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0"/>
      <c r="Q27" s="1798">
        <f t="shared" si="11"/>
        <v>111</v>
      </c>
      <c r="R27" s="770" t="s">
        <v>21</v>
      </c>
      <c r="S27" s="771">
        <f t="shared" si="12"/>
        <v>100</v>
      </c>
      <c r="T27" s="770" t="s">
        <v>21</v>
      </c>
      <c r="U27" s="771">
        <f t="shared" si="13"/>
        <v>100</v>
      </c>
      <c r="V27" s="770" t="s">
        <v>21</v>
      </c>
      <c r="W27" s="771">
        <f t="shared" si="14"/>
        <v>100</v>
      </c>
      <c r="X27" s="772"/>
      <c r="Y27" s="320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0"/>
      <c r="Q28" s="1813">
        <f t="shared" si="11"/>
        <v>111</v>
      </c>
      <c r="R28" s="774" t="s">
        <v>21</v>
      </c>
      <c r="S28" s="775">
        <f t="shared" si="12"/>
        <v>100</v>
      </c>
      <c r="T28" s="774" t="s">
        <v>21</v>
      </c>
      <c r="U28" s="775">
        <f t="shared" si="13"/>
        <v>100</v>
      </c>
      <c r="V28" s="774" t="s">
        <v>21</v>
      </c>
      <c r="W28" s="775">
        <f t="shared" si="14"/>
        <v>100</v>
      </c>
      <c r="X28" s="1816"/>
      <c r="Y28" s="320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0"/>
      <c r="Q29" s="1813">
        <f t="shared" si="11"/>
        <v>111</v>
      </c>
      <c r="R29" s="774" t="s">
        <v>21</v>
      </c>
      <c r="S29" s="775">
        <f t="shared" si="12"/>
        <v>100</v>
      </c>
      <c r="T29" s="774" t="s">
        <v>21</v>
      </c>
      <c r="U29" s="775">
        <f t="shared" si="13"/>
        <v>100</v>
      </c>
      <c r="V29" s="774" t="s">
        <v>21</v>
      </c>
      <c r="W29" s="775">
        <f t="shared" si="14"/>
        <v>100</v>
      </c>
      <c r="X29" s="1816"/>
      <c r="Y29" s="320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0"/>
      <c r="Q30" s="1813">
        <f t="shared" si="11"/>
        <v>111</v>
      </c>
      <c r="R30" s="774" t="s">
        <v>21</v>
      </c>
      <c r="S30" s="775">
        <f t="shared" si="12"/>
        <v>100</v>
      </c>
      <c r="T30" s="774" t="s">
        <v>21</v>
      </c>
      <c r="U30" s="775">
        <f t="shared" si="13"/>
        <v>100</v>
      </c>
      <c r="V30" s="774" t="s">
        <v>21</v>
      </c>
      <c r="W30" s="775">
        <f t="shared" si="14"/>
        <v>100</v>
      </c>
      <c r="X30" s="1816"/>
      <c r="Y30" s="320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0"/>
      <c r="Q31" s="1813">
        <f t="shared" si="11"/>
        <v>111</v>
      </c>
      <c r="R31" s="774" t="s">
        <v>21</v>
      </c>
      <c r="S31" s="775">
        <f t="shared" si="12"/>
        <v>100</v>
      </c>
      <c r="T31" s="774" t="s">
        <v>21</v>
      </c>
      <c r="U31" s="775">
        <f t="shared" si="13"/>
        <v>100</v>
      </c>
      <c r="V31" s="774" t="s">
        <v>21</v>
      </c>
      <c r="W31" s="775">
        <f t="shared" si="14"/>
        <v>100</v>
      </c>
      <c r="X31" s="1816"/>
      <c r="Y31" s="3203"/>
      <c r="Z31" s="1817">
        <f t="shared" si="18"/>
        <v>111</v>
      </c>
      <c r="AA31" s="1814">
        <f t="shared" si="15"/>
        <v>1</v>
      </c>
      <c r="AB31" s="1814">
        <f t="shared" si="16"/>
        <v>1</v>
      </c>
      <c r="AC31" s="1814">
        <f t="shared" si="17"/>
        <v>1</v>
      </c>
    </row>
    <row r="32" spans="1:29" ht="15">
      <c r="A32" s="440" t="s">
        <v>2570</v>
      </c>
      <c r="B32" s="71" t="s">
        <v>2571</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4" t="s">
        <v>2572</v>
      </c>
      <c r="Q32" s="1813" t="str">
        <f t="shared" si="11"/>
        <v>建筑类型</v>
      </c>
      <c r="R32" s="774" t="s">
        <v>21</v>
      </c>
      <c r="S32" s="775">
        <f t="shared" si="12"/>
        <v>100</v>
      </c>
      <c r="T32" s="774" t="s">
        <v>21</v>
      </c>
      <c r="U32" s="775">
        <f t="shared" si="13"/>
        <v>100</v>
      </c>
      <c r="V32" s="774" t="s">
        <v>21</v>
      </c>
      <c r="W32" s="775">
        <f t="shared" si="14"/>
        <v>100</v>
      </c>
      <c r="X32" s="1816"/>
      <c r="Y32" s="3207" t="s">
        <v>2572</v>
      </c>
      <c r="Z32" s="1817" t="str">
        <f t="shared" si="18"/>
        <v>建筑类型</v>
      </c>
      <c r="AA32" s="1814">
        <f t="shared" si="15"/>
        <v>1</v>
      </c>
      <c r="AB32" s="1814">
        <f t="shared" si="16"/>
        <v>1</v>
      </c>
      <c r="AC32" s="1814">
        <f t="shared" si="17"/>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4" t="e">
        <f t="shared" si="15"/>
        <v>#N/A</v>
      </c>
      <c r="AB33" s="1814" t="e">
        <f t="shared" si="16"/>
        <v>#N/A</v>
      </c>
      <c r="AC33" s="1814" t="e">
        <f t="shared" si="17"/>
        <v>#N/A</v>
      </c>
    </row>
    <row r="34" spans="1:29" ht="15">
      <c r="A34" s="472"/>
      <c r="B34" s="422" t="s">
        <v>2574</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5"/>
      <c r="Q34" s="1813" t="str">
        <f t="shared" si="11"/>
        <v>建筑结构</v>
      </c>
      <c r="R34" s="774" t="s">
        <v>21</v>
      </c>
      <c r="S34" s="775">
        <f t="shared" si="12"/>
        <v>100</v>
      </c>
      <c r="T34" s="774" t="s">
        <v>21</v>
      </c>
      <c r="U34" s="775">
        <f t="shared" si="13"/>
        <v>100</v>
      </c>
      <c r="V34" s="774" t="s">
        <v>21</v>
      </c>
      <c r="W34" s="775">
        <f t="shared" si="14"/>
        <v>100</v>
      </c>
      <c r="X34" s="1816"/>
      <c r="Y34" s="3207"/>
      <c r="Z34" s="1817" t="str">
        <f t="shared" si="18"/>
        <v>建筑结构</v>
      </c>
      <c r="AA34" s="1814">
        <f t="shared" si="15"/>
        <v>1</v>
      </c>
      <c r="AB34" s="1814">
        <f t="shared" si="16"/>
        <v>1</v>
      </c>
      <c r="AC34" s="1814">
        <f t="shared" si="17"/>
        <v>1</v>
      </c>
    </row>
    <row r="35" spans="1:29" ht="15">
      <c r="A35" s="472"/>
      <c r="B35" s="422" t="s">
        <v>2575</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5"/>
      <c r="Q35" s="1813" t="str">
        <f t="shared" si="11"/>
        <v>建筑品质</v>
      </c>
      <c r="R35" s="774" t="s">
        <v>21</v>
      </c>
      <c r="S35" s="775">
        <f t="shared" si="12"/>
        <v>100</v>
      </c>
      <c r="T35" s="774" t="s">
        <v>21</v>
      </c>
      <c r="U35" s="775">
        <f t="shared" si="13"/>
        <v>100</v>
      </c>
      <c r="V35" s="774" t="s">
        <v>21</v>
      </c>
      <c r="W35" s="775">
        <f t="shared" si="14"/>
        <v>100</v>
      </c>
      <c r="X35" s="1816"/>
      <c r="Y35" s="3207"/>
      <c r="Z35" s="1817" t="str">
        <f t="shared" si="18"/>
        <v>建筑品质</v>
      </c>
      <c r="AA35" s="1814">
        <f t="shared" si="15"/>
        <v>1</v>
      </c>
      <c r="AB35" s="1814">
        <f t="shared" si="16"/>
        <v>1</v>
      </c>
      <c r="AC35" s="1814">
        <f t="shared" si="17"/>
        <v>1</v>
      </c>
    </row>
    <row r="36" spans="1:29" ht="15">
      <c r="A36" s="472"/>
      <c r="B36" s="422" t="s">
        <v>2576</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5"/>
      <c r="Q36" s="1813" t="str">
        <f t="shared" si="11"/>
        <v>公共部分装修</v>
      </c>
      <c r="R36" s="774" t="s">
        <v>21</v>
      </c>
      <c r="S36" s="775">
        <f t="shared" si="12"/>
        <v>100</v>
      </c>
      <c r="T36" s="774" t="s">
        <v>21</v>
      </c>
      <c r="U36" s="775">
        <f t="shared" si="13"/>
        <v>100</v>
      </c>
      <c r="V36" s="774" t="s">
        <v>21</v>
      </c>
      <c r="W36" s="775">
        <f t="shared" si="14"/>
        <v>100</v>
      </c>
      <c r="X36" s="1816"/>
      <c r="Y36" s="3207"/>
      <c r="Z36" s="1817" t="str">
        <f t="shared" si="18"/>
        <v>公共部分装修</v>
      </c>
      <c r="AA36" s="1814">
        <f t="shared" si="15"/>
        <v>1</v>
      </c>
      <c r="AB36" s="1814">
        <f t="shared" si="16"/>
        <v>1</v>
      </c>
      <c r="AC36" s="1814">
        <f t="shared" si="17"/>
        <v>1</v>
      </c>
    </row>
    <row r="37" spans="1:29" s="117" customFormat="1" ht="15">
      <c r="A37" s="473"/>
      <c r="B37" s="422" t="s">
        <v>2577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8"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2578</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5" t="s">
        <v>2572</v>
      </c>
      <c r="Q38" s="1813" t="str">
        <f t="shared" si="11"/>
        <v>物业管理</v>
      </c>
      <c r="R38" s="774" t="s">
        <v>21</v>
      </c>
      <c r="S38" s="775">
        <f t="shared" si="12"/>
        <v>100</v>
      </c>
      <c r="T38" s="774" t="s">
        <v>21</v>
      </c>
      <c r="U38" s="775">
        <f t="shared" si="13"/>
        <v>100</v>
      </c>
      <c r="V38" s="774" t="s">
        <v>21</v>
      </c>
      <c r="W38" s="775">
        <f t="shared" si="14"/>
        <v>100</v>
      </c>
      <c r="X38" s="1816"/>
      <c r="Y38" s="3207" t="s">
        <v>2572</v>
      </c>
      <c r="Z38" s="1817" t="str">
        <f t="shared" si="18"/>
        <v>物业管理</v>
      </c>
      <c r="AA38" s="1814">
        <f t="shared" si="15"/>
        <v>1</v>
      </c>
      <c r="AB38" s="1814">
        <f t="shared" si="16"/>
        <v>1</v>
      </c>
      <c r="AC38" s="1814">
        <f t="shared" si="17"/>
        <v>1</v>
      </c>
    </row>
    <row r="39" spans="1:29" ht="15">
      <c r="A39" s="472"/>
      <c r="B39" s="422" t="s">
        <v>2579</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5"/>
      <c r="Q39" s="1813" t="str">
        <f t="shared" si="11"/>
        <v>市政基础设施</v>
      </c>
      <c r="R39" s="774" t="s">
        <v>21</v>
      </c>
      <c r="S39" s="775">
        <f t="shared" si="12"/>
        <v>100</v>
      </c>
      <c r="T39" s="774" t="s">
        <v>21</v>
      </c>
      <c r="U39" s="775">
        <f t="shared" si="13"/>
        <v>100</v>
      </c>
      <c r="V39" s="774" t="s">
        <v>21</v>
      </c>
      <c r="W39" s="775">
        <f t="shared" si="14"/>
        <v>100</v>
      </c>
      <c r="X39" s="1816"/>
      <c r="Y39" s="3207"/>
      <c r="Z39" s="1817" t="str">
        <f t="shared" si="18"/>
        <v>市政基础设施</v>
      </c>
      <c r="AA39" s="1814">
        <f t="shared" si="15"/>
        <v>1</v>
      </c>
      <c r="AB39" s="1814">
        <f t="shared" si="16"/>
        <v>1</v>
      </c>
      <c r="AC39" s="1814">
        <f t="shared" si="17"/>
        <v>1</v>
      </c>
    </row>
    <row r="40" spans="1:29" ht="15">
      <c r="A40" s="472"/>
      <c r="B40" s="422" t="s">
        <v>2580</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5"/>
      <c r="Q40" s="1813" t="str">
        <f t="shared" si="11"/>
        <v>房型</v>
      </c>
      <c r="R40" s="774" t="s">
        <v>21</v>
      </c>
      <c r="S40" s="775">
        <f t="shared" si="12"/>
        <v>100</v>
      </c>
      <c r="T40" s="774" t="s">
        <v>21</v>
      </c>
      <c r="U40" s="775">
        <f t="shared" si="13"/>
        <v>100</v>
      </c>
      <c r="V40" s="774" t="s">
        <v>21</v>
      </c>
      <c r="W40" s="775">
        <f t="shared" si="14"/>
        <v>100</v>
      </c>
      <c r="X40" s="1816"/>
      <c r="Y40" s="3207"/>
      <c r="Z40" s="1817" t="str">
        <f t="shared" si="18"/>
        <v>房型</v>
      </c>
      <c r="AA40" s="1814">
        <f t="shared" si="15"/>
        <v>1</v>
      </c>
      <c r="AB40" s="1814">
        <f t="shared" si="16"/>
        <v>1</v>
      </c>
      <c r="AC40" s="1814">
        <f t="shared" si="17"/>
        <v>1</v>
      </c>
    </row>
    <row r="41" spans="1:29" s="471" customFormat="1" ht="28.5">
      <c r="A41" s="468"/>
      <c r="B41" s="422" t="s">
        <v>2581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4">
        <f t="shared" si="15"/>
        <v>1</v>
      </c>
      <c r="AB41" s="1814">
        <f t="shared" si="16"/>
        <v>1</v>
      </c>
      <c r="AC41" s="1814">
        <f t="shared" si="17"/>
        <v>1</v>
      </c>
    </row>
    <row r="42" spans="1:29" ht="15">
      <c r="A42" s="472"/>
      <c r="B42" s="422" t="s">
        <v>2582</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5"/>
      <c r="Q42" s="1813" t="str">
        <f t="shared" si="11"/>
        <v>内部装修</v>
      </c>
      <c r="R42" s="774" t="s">
        <v>21</v>
      </c>
      <c r="S42" s="775">
        <f t="shared" si="12"/>
        <v>100</v>
      </c>
      <c r="T42" s="774" t="s">
        <v>21</v>
      </c>
      <c r="U42" s="775">
        <f t="shared" si="13"/>
        <v>100</v>
      </c>
      <c r="V42" s="774" t="s">
        <v>21</v>
      </c>
      <c r="W42" s="775">
        <f t="shared" si="14"/>
        <v>100</v>
      </c>
      <c r="X42" s="1816"/>
      <c r="Y42" s="3207"/>
      <c r="Z42" s="1817" t="str">
        <f t="shared" si="18"/>
        <v>内部装修</v>
      </c>
      <c r="AA42" s="1814">
        <f t="shared" si="15"/>
        <v>1</v>
      </c>
      <c r="AB42" s="1814">
        <f t="shared" si="16"/>
        <v>1</v>
      </c>
      <c r="AC42" s="1814">
        <f t="shared" si="17"/>
        <v>1</v>
      </c>
    </row>
    <row r="43" spans="1:29" ht="15">
      <c r="A43" s="472"/>
      <c r="B43" s="422" t="s">
        <v>2583</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5"/>
      <c r="Q43" s="1813" t="str">
        <f t="shared" si="11"/>
        <v>内部装修维护情况</v>
      </c>
      <c r="R43" s="774" t="s">
        <v>21</v>
      </c>
      <c r="S43" s="775">
        <f t="shared" si="12"/>
        <v>100</v>
      </c>
      <c r="T43" s="774" t="s">
        <v>21</v>
      </c>
      <c r="U43" s="775">
        <f t="shared" si="13"/>
        <v>100</v>
      </c>
      <c r="V43" s="774" t="s">
        <v>21</v>
      </c>
      <c r="W43" s="775">
        <f t="shared" si="14"/>
        <v>100</v>
      </c>
      <c r="X43" s="1816"/>
      <c r="Y43" s="320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5"/>
      <c r="Q44" s="1798">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5"/>
      <c r="Q45" s="1813">
        <f t="shared" si="11"/>
        <v>111</v>
      </c>
      <c r="R45" s="774" t="s">
        <v>21</v>
      </c>
      <c r="S45" s="775">
        <f t="shared" si="12"/>
        <v>100</v>
      </c>
      <c r="T45" s="774" t="s">
        <v>21</v>
      </c>
      <c r="U45" s="775">
        <f t="shared" si="13"/>
        <v>100</v>
      </c>
      <c r="V45" s="774" t="s">
        <v>21</v>
      </c>
      <c r="W45" s="775">
        <f t="shared" si="14"/>
        <v>100</v>
      </c>
      <c r="X45" s="1816"/>
      <c r="Y45" s="320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6"/>
      <c r="Q46" s="1813">
        <f t="shared" si="11"/>
        <v>111</v>
      </c>
      <c r="R46" s="774" t="s">
        <v>20</v>
      </c>
      <c r="S46" s="775">
        <f t="shared" si="12"/>
        <v>100</v>
      </c>
      <c r="T46" s="774" t="s">
        <v>20</v>
      </c>
      <c r="U46" s="775">
        <f t="shared" si="13"/>
        <v>100</v>
      </c>
      <c r="V46" s="774" t="s">
        <v>20</v>
      </c>
      <c r="W46" s="775">
        <f t="shared" si="14"/>
        <v>100</v>
      </c>
      <c r="X46" s="1816"/>
      <c r="Y46" s="3208"/>
      <c r="Z46" s="1817">
        <f t="shared" si="18"/>
        <v>111</v>
      </c>
      <c r="AA46" s="1814">
        <f t="shared" si="15"/>
        <v>1</v>
      </c>
      <c r="AB46" s="1814">
        <f t="shared" si="16"/>
        <v>1</v>
      </c>
      <c r="AC46" s="1814">
        <f t="shared" si="17"/>
        <v>1</v>
      </c>
    </row>
    <row r="47" spans="1:29" ht="15">
      <c r="A47" s="479" t="s">
        <v>2584</v>
      </c>
      <c r="B47" s="480"/>
      <c r="C47" s="1410" t="s">
        <v>19</v>
      </c>
      <c r="D47" s="1411"/>
      <c r="E47" s="1412"/>
      <c r="F47" s="1413"/>
      <c r="G47" s="1414"/>
      <c r="H47" s="1415"/>
      <c r="I47" s="1412"/>
      <c r="J47" s="1415"/>
      <c r="K47" s="2628"/>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2585</v>
      </c>
      <c r="B48" s="487"/>
      <c r="C48" s="1416" t="e">
        <f>R49</f>
        <v>#DIV/0!</v>
      </c>
      <c r="D48" s="1417"/>
      <c r="E48" s="1418" t="e">
        <f>R48</f>
        <v>#DIV/0!</v>
      </c>
      <c r="F48" s="1418"/>
      <c r="G48" s="1416" t="e">
        <f>T48</f>
        <v>#DIV/0!</v>
      </c>
      <c r="H48" s="1417"/>
      <c r="I48" s="1418" t="e">
        <f>V48</f>
        <v>#DIV/0!</v>
      </c>
      <c r="J48" s="1417"/>
      <c r="K48" s="2629"/>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2586</v>
      </c>
      <c r="B49" s="493"/>
      <c r="C49" s="1419" t="e">
        <f>R49</f>
        <v>#DIV/0!</v>
      </c>
      <c r="D49" s="1420"/>
      <c r="E49" s="1420"/>
      <c r="F49" s="1420"/>
      <c r="G49" s="1420"/>
      <c r="H49" s="1420"/>
      <c r="I49" s="1420"/>
      <c r="J49" s="1420"/>
      <c r="K49" s="2630"/>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2590</v>
      </c>
      <c r="B57" s="759"/>
      <c r="C57" s="764"/>
      <c r="D57" s="764"/>
      <c r="E57" s="764"/>
      <c r="F57" s="765"/>
      <c r="G57" s="765"/>
      <c r="H57" s="764"/>
      <c r="I57" s="764"/>
      <c r="J57" s="764"/>
      <c r="K57" s="1163"/>
      <c r="L57" s="1164"/>
      <c r="M57" s="1162"/>
      <c r="N57" s="1162"/>
      <c r="O57" s="1162"/>
      <c r="P57" s="2633"/>
      <c r="Q57" s="504"/>
    </row>
    <row r="58" spans="1:29" s="508" customFormat="1" ht="15">
      <c r="A58" s="505" t="s">
        <v>2591</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2593</v>
      </c>
      <c r="B61" s="510"/>
      <c r="C61" s="522" t="s">
        <v>2594</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2611</v>
      </c>
      <c r="D82" s="539" t="s">
        <v>2612</v>
      </c>
      <c r="E82" s="539" t="s">
        <v>2613</v>
      </c>
      <c r="F82" s="539" t="s">
        <v>2614</v>
      </c>
      <c r="G82" s="539" t="s">
        <v>2615</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2618</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2570</v>
      </c>
      <c r="B100" s="528" t="s">
        <v>2619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2620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2622</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2623</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2624</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2625</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2626</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2581</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2629</v>
      </c>
    </row>
    <row r="137" spans="1:17" ht="15">
      <c r="B137" s="2645" t="s">
        <v>2630</v>
      </c>
      <c r="C137" s="2646"/>
      <c r="D137" s="2646"/>
      <c r="E137" s="2646"/>
      <c r="F137" s="2646"/>
      <c r="G137" s="2647"/>
      <c r="H137" s="2648"/>
      <c r="I137" s="2649" t="s">
        <v>2631</v>
      </c>
      <c r="J137" s="2646"/>
      <c r="K137" s="2650"/>
    </row>
    <row r="138" spans="1:17" ht="15">
      <c r="B138" s="2651"/>
      <c r="C138" s="146" t="s">
        <v>2632</v>
      </c>
      <c r="D138" s="146" t="s">
        <v>2633</v>
      </c>
      <c r="E138" s="2652" t="s">
        <v>2634</v>
      </c>
      <c r="F138" s="2653" t="s">
        <v>2635</v>
      </c>
      <c r="G138" s="146" t="s">
        <v>2633</v>
      </c>
      <c r="H138" s="147" t="s">
        <v>2634</v>
      </c>
      <c r="I138" s="2654"/>
      <c r="J138" s="146" t="s">
        <v>2636</v>
      </c>
      <c r="K138" s="147" t="s">
        <v>2637</v>
      </c>
    </row>
    <row r="139" spans="1:17" ht="15">
      <c r="B139" s="1087">
        <v>6</v>
      </c>
      <c r="C139" s="1088">
        <v>96</v>
      </c>
      <c r="D139" s="2655" t="s">
        <v>2638</v>
      </c>
      <c r="E139" s="1089">
        <v>100</v>
      </c>
      <c r="F139" s="1090">
        <v>102.5</v>
      </c>
      <c r="G139" s="2655" t="s">
        <v>2638</v>
      </c>
      <c r="H139" s="1091">
        <v>105</v>
      </c>
      <c r="I139" s="2656" t="s">
        <v>2639</v>
      </c>
      <c r="J139" s="1088">
        <v>20</v>
      </c>
      <c r="K139" s="1092">
        <f>C145/(J139-2)</f>
        <v>4.0555555555555553E-3</v>
      </c>
    </row>
    <row r="140" spans="1:17" ht="15">
      <c r="B140" s="1093">
        <v>5</v>
      </c>
      <c r="C140" s="1094">
        <v>100</v>
      </c>
      <c r="D140" s="1094"/>
      <c r="E140" s="1095"/>
      <c r="F140" s="1096">
        <v>102</v>
      </c>
      <c r="G140" s="1094"/>
      <c r="H140" s="1097"/>
      <c r="I140" s="2657" t="s">
        <v>2640</v>
      </c>
      <c r="J140" s="315">
        <f>ROUNDUP((J139-1)/2,0)</f>
        <v>10</v>
      </c>
      <c r="K140" s="1098">
        <v>100</v>
      </c>
    </row>
    <row r="141" spans="1:17" ht="15">
      <c r="B141" s="1093">
        <v>4</v>
      </c>
      <c r="C141" s="1094">
        <v>102</v>
      </c>
      <c r="D141" s="1094"/>
      <c r="E141" s="1095"/>
      <c r="F141" s="1096">
        <v>101.5</v>
      </c>
      <c r="G141" s="1094"/>
      <c r="H141" s="1097"/>
      <c r="I141" s="2657" t="s">
        <v>2641</v>
      </c>
      <c r="J141" s="315">
        <v>1</v>
      </c>
      <c r="K141" s="1099">
        <f>ROUND(100+(J141-J140)*K139*100,1)</f>
        <v>96.4</v>
      </c>
    </row>
    <row r="142" spans="1:17" ht="15">
      <c r="B142" s="1093">
        <v>3</v>
      </c>
      <c r="C142" s="1094">
        <v>103</v>
      </c>
      <c r="D142" s="1094"/>
      <c r="E142" s="1095"/>
      <c r="F142" s="1096">
        <v>101</v>
      </c>
      <c r="G142" s="1094"/>
      <c r="H142" s="1097"/>
      <c r="I142" s="2657" t="s">
        <v>2642</v>
      </c>
      <c r="J142" s="315">
        <f>J139</f>
        <v>20</v>
      </c>
      <c r="K142" s="1100">
        <v>95</v>
      </c>
    </row>
    <row r="143" spans="1:17" ht="15">
      <c r="B143" s="1093">
        <v>2</v>
      </c>
      <c r="C143" s="1094">
        <v>100</v>
      </c>
      <c r="D143" s="1094"/>
      <c r="E143" s="1095"/>
      <c r="F143" s="1096">
        <v>100.5</v>
      </c>
      <c r="G143" s="1094"/>
      <c r="H143" s="1097"/>
      <c r="I143" s="2657" t="s">
        <v>2643</v>
      </c>
      <c r="J143" s="1094">
        <v>15</v>
      </c>
      <c r="K143" s="1099">
        <f>ROUND(100+(J143-J140)*K139*100,1)</f>
        <v>102</v>
      </c>
    </row>
    <row r="144" spans="1:17" ht="15">
      <c r="B144" s="1093">
        <v>1</v>
      </c>
      <c r="C144" s="1094">
        <v>98</v>
      </c>
      <c r="D144" s="2658" t="s">
        <v>2644</v>
      </c>
      <c r="E144" s="1095">
        <v>102</v>
      </c>
      <c r="F144" s="1101">
        <v>100</v>
      </c>
      <c r="G144" s="2658" t="s">
        <v>2644</v>
      </c>
      <c r="H144" s="1097">
        <v>105</v>
      </c>
      <c r="I144" s="2657" t="s">
        <v>2643</v>
      </c>
      <c r="J144" s="1094">
        <v>18</v>
      </c>
      <c r="K144" s="1099">
        <f>ROUND(100+(J144-J140)*K139*100,1)</f>
        <v>103.2</v>
      </c>
    </row>
    <row r="145" spans="2:11" ht="15.75" thickBot="1">
      <c r="B145" s="2659" t="s">
        <v>2645</v>
      </c>
      <c r="C145" s="1102">
        <f>ROUND(MAX(C139:C144)/MIN(C139:C144)-1,3)</f>
        <v>7.2999999999999995E-2</v>
      </c>
      <c r="D145" s="1103"/>
      <c r="E145" s="1103"/>
      <c r="F145" s="2660" t="s">
        <v>2646</v>
      </c>
      <c r="G145" s="2661"/>
      <c r="H145" s="2662"/>
      <c r="I145" s="2663" t="s">
        <v>2643</v>
      </c>
      <c r="J145" s="1104">
        <v>8</v>
      </c>
      <c r="K145" s="1105">
        <f>ROUND(100+(J145-J140)*K139*100,1)</f>
        <v>99.2</v>
      </c>
    </row>
    <row r="147" spans="2:11">
      <c r="B147" s="2644" t="s">
        <v>2647</v>
      </c>
    </row>
    <row r="148" spans="2:11">
      <c r="B148" s="2644"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P15" sqref="P15:P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2649</v>
      </c>
      <c r="C1" s="1637" t="s">
        <v>2537</v>
      </c>
      <c r="D1" s="1624"/>
      <c r="E1" s="2664"/>
      <c r="F1" s="2591"/>
      <c r="G1" s="1634" t="s">
        <v>2650</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2334</v>
      </c>
      <c r="B2" s="1421" t="e">
        <f ca="1">IF(C2="——",ROUND(C49*D3/10000,0),ROUND(C49*D3/10000,0)-D2)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2336</v>
      </c>
      <c r="B3" s="609" t="e">
        <f ca="1">IF(C2="——",C49,ROUND(B2*10000/D3,0))</f>
        <v>#DIV/0!</v>
      </c>
      <c r="C3" s="400" t="s">
        <v>2651</v>
      </c>
      <c r="D3" s="399">
        <f>IF(D1="",'数据-汇总表'!E3,SUMIF('数据-汇总表'!$C19:$C33,D1,'数据-汇总表'!$E19:$E33))</f>
        <v>0</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95"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95"/>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95"/>
      <c r="AC6" s="3167"/>
    </row>
    <row r="7" spans="1:29" s="117" customFormat="1" ht="15.75" thickBot="1">
      <c r="A7" s="408" t="s">
        <v>2555</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2659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6" si="3">D8/F8</f>
        <v>#DIV/0!</v>
      </c>
      <c r="AB8" s="773" t="e">
        <f t="shared" ref="AB8:AB46" si="4">D8/H8</f>
        <v>#DIV/0!</v>
      </c>
      <c r="AC8" s="773" t="e">
        <f t="shared" ref="AC8:AC46" si="5">D8/J8</f>
        <v>#DIV/0!</v>
      </c>
    </row>
    <row r="9" spans="1:29" s="117" customFormat="1">
      <c r="A9" s="415" t="s">
        <v>2560</v>
      </c>
      <c r="B9" s="71" t="s">
        <v>2561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2566</v>
      </c>
      <c r="B15" s="69" t="s">
        <v>2660</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2567</v>
      </c>
      <c r="Q15" s="1813" t="str">
        <f t="shared" si="6"/>
        <v>商业繁华度</v>
      </c>
      <c r="R15" s="774" t="s">
        <v>17</v>
      </c>
      <c r="S15" s="775">
        <f t="shared" si="0"/>
        <v>100</v>
      </c>
      <c r="T15" s="774" t="s">
        <v>17</v>
      </c>
      <c r="U15" s="775">
        <f t="shared" si="1"/>
        <v>100</v>
      </c>
      <c r="V15" s="774" t="s">
        <v>17</v>
      </c>
      <c r="W15" s="775">
        <f t="shared" si="2"/>
        <v>100</v>
      </c>
      <c r="X15" s="1816"/>
      <c r="Y15" s="3202" t="s">
        <v>2567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2661</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0"/>
      <c r="Q20" s="1813"/>
      <c r="R20" s="774"/>
      <c r="S20" s="775"/>
      <c r="T20" s="774"/>
      <c r="U20" s="775"/>
      <c r="V20" s="774"/>
      <c r="W20" s="775"/>
      <c r="X20" s="1816"/>
      <c r="Y20" s="3203"/>
      <c r="Z20" s="1817"/>
      <c r="AA20" s="1814">
        <v>1</v>
      </c>
      <c r="AB20" s="1814">
        <v>1</v>
      </c>
      <c r="AC20" s="1814">
        <v>1</v>
      </c>
    </row>
    <row r="21" spans="1:29" ht="28.5">
      <c r="A21" s="428"/>
      <c r="B21" s="1387" t="s">
        <v>2662</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10"/>
      <c r="Q22" s="1813"/>
      <c r="R22" s="774"/>
      <c r="S22" s="775"/>
      <c r="T22" s="774"/>
      <c r="U22" s="775"/>
      <c r="V22" s="774"/>
      <c r="W22" s="775"/>
      <c r="X22" s="1816"/>
      <c r="Y22" s="3203"/>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3" t="str">
        <f>B23</f>
        <v>自然及人文环境</v>
      </c>
      <c r="R23" s="774" t="s">
        <v>17</v>
      </c>
      <c r="S23" s="775">
        <f>F23</f>
        <v>100</v>
      </c>
      <c r="T23" s="774" t="s">
        <v>17</v>
      </c>
      <c r="U23" s="775">
        <f>H23</f>
        <v>100</v>
      </c>
      <c r="V23" s="774" t="s">
        <v>17</v>
      </c>
      <c r="W23" s="775">
        <f>J23</f>
        <v>100</v>
      </c>
      <c r="X23" s="1816"/>
      <c r="Y23" s="320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2663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3" t="str">
        <f t="shared" ref="Q25:Q46" si="11">B25</f>
        <v>临街状况</v>
      </c>
      <c r="R25" s="774" t="s">
        <v>17</v>
      </c>
      <c r="S25" s="775">
        <f>F25</f>
        <v>100</v>
      </c>
      <c r="T25" s="774" t="s">
        <v>17</v>
      </c>
      <c r="U25" s="775">
        <f>H25</f>
        <v>100</v>
      </c>
      <c r="V25" s="774" t="s">
        <v>17</v>
      </c>
      <c r="W25" s="775">
        <f>J25</f>
        <v>100</v>
      </c>
      <c r="X25" s="1816"/>
      <c r="Y25" s="3203"/>
      <c r="Z25" s="1817" t="str">
        <f>Q25</f>
        <v>临街状况</v>
      </c>
      <c r="AA25" s="1814">
        <f t="shared" si="3"/>
        <v>1</v>
      </c>
      <c r="AB25" s="1814">
        <f t="shared" si="4"/>
        <v>1</v>
      </c>
      <c r="AC25" s="1814">
        <f t="shared" si="5"/>
        <v>1</v>
      </c>
    </row>
    <row r="26" spans="1:29" ht="15">
      <c r="A26" s="428"/>
      <c r="B26" s="1389" t="s">
        <v>2664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3" t="str">
        <f t="shared" si="11"/>
        <v>平面位置/可视性</v>
      </c>
      <c r="R26" s="774" t="s">
        <v>17</v>
      </c>
      <c r="S26" s="775">
        <f>F26</f>
        <v>100</v>
      </c>
      <c r="T26" s="774" t="s">
        <v>17</v>
      </c>
      <c r="U26" s="775">
        <f>H26</f>
        <v>100</v>
      </c>
      <c r="V26" s="774" t="s">
        <v>17</v>
      </c>
      <c r="W26" s="775">
        <f>J26</f>
        <v>100</v>
      </c>
      <c r="X26" s="1816"/>
      <c r="Y26" s="3203"/>
      <c r="Z26" s="1817" t="str">
        <f>Q26</f>
        <v>平面位置/可视性</v>
      </c>
      <c r="AA26" s="1814">
        <f t="shared" si="3"/>
        <v>1</v>
      </c>
      <c r="AB26" s="1814">
        <f t="shared" si="4"/>
        <v>1</v>
      </c>
      <c r="AC26" s="1814">
        <f t="shared" si="5"/>
        <v>1</v>
      </c>
    </row>
    <row r="27" spans="1:29" s="117" customFormat="1" ht="15">
      <c r="A27" s="431"/>
      <c r="B27" s="451" t="s">
        <v>2665</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0"/>
      <c r="Q27" s="1798" t="str">
        <f t="shared" si="11"/>
        <v>人流量</v>
      </c>
      <c r="R27" s="770" t="s">
        <v>17</v>
      </c>
      <c r="S27" s="771">
        <f>F27</f>
        <v>100</v>
      </c>
      <c r="T27" s="770" t="s">
        <v>17</v>
      </c>
      <c r="U27" s="771">
        <f>H27</f>
        <v>100</v>
      </c>
      <c r="V27" s="770" t="s">
        <v>17</v>
      </c>
      <c r="W27" s="771">
        <f>J27</f>
        <v>100</v>
      </c>
      <c r="X27" s="772"/>
      <c r="Y27" s="3203"/>
      <c r="Z27" s="55" t="str">
        <f>Q27</f>
        <v>人流量</v>
      </c>
      <c r="AA27" s="1814">
        <f>D27/F27</f>
        <v>1</v>
      </c>
      <c r="AB27" s="1814">
        <f>D27/H27</f>
        <v>1</v>
      </c>
      <c r="AC27" s="1814">
        <f>D27/J27</f>
        <v>1</v>
      </c>
    </row>
    <row r="28" spans="1:29" ht="15">
      <c r="A28" s="428"/>
      <c r="B28" s="422" t="s">
        <v>2666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3">
        <f t="shared" si="11"/>
        <v>111</v>
      </c>
      <c r="R29" s="774" t="s">
        <v>17</v>
      </c>
      <c r="S29" s="775">
        <f t="shared" si="12"/>
        <v>100</v>
      </c>
      <c r="T29" s="774" t="s">
        <v>17</v>
      </c>
      <c r="U29" s="775">
        <f t="shared" si="13"/>
        <v>100</v>
      </c>
      <c r="V29" s="774" t="s">
        <v>17</v>
      </c>
      <c r="W29" s="775">
        <f t="shared" si="14"/>
        <v>100</v>
      </c>
      <c r="X29" s="1816"/>
      <c r="Y29" s="320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1814">
        <f t="shared" si="5"/>
        <v>1</v>
      </c>
    </row>
    <row r="32" spans="1:29" ht="15">
      <c r="A32" s="440" t="s">
        <v>2570</v>
      </c>
      <c r="B32" s="71" t="s">
        <v>2667</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4" t="s">
        <v>2572</v>
      </c>
      <c r="Q32" s="1813" t="str">
        <f t="shared" si="11"/>
        <v>商业类型</v>
      </c>
      <c r="R32" s="774" t="s">
        <v>17</v>
      </c>
      <c r="S32" s="775">
        <f t="shared" si="12"/>
        <v>100</v>
      </c>
      <c r="T32" s="774" t="s">
        <v>17</v>
      </c>
      <c r="U32" s="775">
        <f t="shared" si="13"/>
        <v>100</v>
      </c>
      <c r="V32" s="774" t="s">
        <v>17</v>
      </c>
      <c r="W32" s="775">
        <f t="shared" si="14"/>
        <v>100</v>
      </c>
      <c r="X32" s="1816"/>
      <c r="Y32" s="3207" t="s">
        <v>2572</v>
      </c>
      <c r="Z32" s="1817" t="str">
        <f t="shared" si="15"/>
        <v>商业类型</v>
      </c>
      <c r="AA32" s="1814">
        <f t="shared" si="3"/>
        <v>1</v>
      </c>
      <c r="AB32" s="1814">
        <f t="shared" si="4"/>
        <v>1</v>
      </c>
      <c r="AC32" s="1814">
        <f t="shared" si="5"/>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4" t="e">
        <f t="shared" si="3"/>
        <v>#N/A</v>
      </c>
      <c r="AB33" s="1814" t="e">
        <f t="shared" si="4"/>
        <v>#N/A</v>
      </c>
      <c r="AC33" s="1814" t="e">
        <f t="shared" si="5"/>
        <v>#N/A</v>
      </c>
    </row>
    <row r="34" spans="1:29" ht="15">
      <c r="A34" s="472"/>
      <c r="B34" s="422" t="s">
        <v>2574</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5"/>
      <c r="Q34" s="1813" t="str">
        <f t="shared" si="11"/>
        <v>建筑结构</v>
      </c>
      <c r="R34" s="774" t="s">
        <v>17</v>
      </c>
      <c r="S34" s="775">
        <f t="shared" si="12"/>
        <v>100</v>
      </c>
      <c r="T34" s="774" t="s">
        <v>17</v>
      </c>
      <c r="U34" s="775">
        <f t="shared" si="13"/>
        <v>100</v>
      </c>
      <c r="V34" s="774" t="s">
        <v>17</v>
      </c>
      <c r="W34" s="775">
        <f t="shared" si="14"/>
        <v>100</v>
      </c>
      <c r="X34" s="1816"/>
      <c r="Y34" s="3207"/>
      <c r="Z34" s="1817" t="str">
        <f t="shared" si="15"/>
        <v>建筑结构</v>
      </c>
      <c r="AA34" s="1814">
        <f t="shared" si="3"/>
        <v>1</v>
      </c>
      <c r="AB34" s="1814">
        <f t="shared" si="4"/>
        <v>1</v>
      </c>
      <c r="AC34" s="1814">
        <f t="shared" si="5"/>
        <v>1</v>
      </c>
    </row>
    <row r="35" spans="1:29" ht="15">
      <c r="A35" s="472"/>
      <c r="B35" s="422" t="s">
        <v>2668</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5"/>
      <c r="Q35" s="1813" t="str">
        <f t="shared" si="11"/>
        <v>公共部分装修</v>
      </c>
      <c r="R35" s="774" t="s">
        <v>17</v>
      </c>
      <c r="S35" s="775">
        <f t="shared" si="12"/>
        <v>100</v>
      </c>
      <c r="T35" s="774" t="s">
        <v>17</v>
      </c>
      <c r="U35" s="775">
        <f t="shared" si="13"/>
        <v>100</v>
      </c>
      <c r="V35" s="774" t="s">
        <v>17</v>
      </c>
      <c r="W35" s="775">
        <f t="shared" si="14"/>
        <v>100</v>
      </c>
      <c r="X35" s="1816"/>
      <c r="Y35" s="3207"/>
      <c r="Z35" s="1817" t="str">
        <f t="shared" si="15"/>
        <v>公共部分装修</v>
      </c>
      <c r="AA35" s="1814">
        <f t="shared" si="3"/>
        <v>1</v>
      </c>
      <c r="AB35" s="1814">
        <f t="shared" si="4"/>
        <v>1</v>
      </c>
      <c r="AC35" s="1814">
        <f t="shared" si="5"/>
        <v>1</v>
      </c>
    </row>
    <row r="36" spans="1:29" ht="15">
      <c r="A36" s="472"/>
      <c r="B36" s="422" t="s">
        <v>2669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3" t="str">
        <f t="shared" si="11"/>
        <v>成新度</v>
      </c>
      <c r="R36" s="774" t="s">
        <v>17</v>
      </c>
      <c r="S36" s="775" t="e">
        <f t="shared" si="12"/>
        <v>#N/A</v>
      </c>
      <c r="T36" s="774" t="s">
        <v>17</v>
      </c>
      <c r="U36" s="775" t="e">
        <f t="shared" si="13"/>
        <v>#N/A</v>
      </c>
      <c r="V36" s="774" t="s">
        <v>17</v>
      </c>
      <c r="W36" s="775" t="e">
        <f t="shared" si="14"/>
        <v>#N/A</v>
      </c>
      <c r="X36" s="1816"/>
      <c r="Y36" s="3207"/>
      <c r="Z36" s="1817" t="str">
        <f t="shared" si="15"/>
        <v>成新度</v>
      </c>
      <c r="AA36" s="1814" t="e">
        <f t="shared" si="3"/>
        <v>#N/A</v>
      </c>
      <c r="AB36" s="1814" t="e">
        <f t="shared" si="4"/>
        <v>#N/A</v>
      </c>
      <c r="AC36" s="1814" t="e">
        <f t="shared" si="5"/>
        <v>#N/A</v>
      </c>
    </row>
    <row r="37" spans="1:29" s="117" customFormat="1" ht="15">
      <c r="A37" s="473"/>
      <c r="B37" s="422" t="s">
        <v>2670</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5"/>
      <c r="Q37" s="1798"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2671</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5" t="s">
        <v>2572</v>
      </c>
      <c r="Q38" s="1813" t="str">
        <f t="shared" si="11"/>
        <v>业态</v>
      </c>
      <c r="R38" s="774" t="s">
        <v>17</v>
      </c>
      <c r="S38" s="775">
        <f t="shared" si="12"/>
        <v>100</v>
      </c>
      <c r="T38" s="774" t="s">
        <v>17</v>
      </c>
      <c r="U38" s="775">
        <f t="shared" si="13"/>
        <v>100</v>
      </c>
      <c r="V38" s="774" t="s">
        <v>17</v>
      </c>
      <c r="W38" s="775">
        <f t="shared" si="14"/>
        <v>100</v>
      </c>
      <c r="X38" s="1816"/>
      <c r="Y38" s="3207" t="s">
        <v>2572</v>
      </c>
      <c r="Z38" s="1817" t="str">
        <f t="shared" si="15"/>
        <v>业态</v>
      </c>
      <c r="AA38" s="1814">
        <f t="shared" si="3"/>
        <v>1</v>
      </c>
      <c r="AB38" s="1814">
        <f t="shared" si="4"/>
        <v>1</v>
      </c>
      <c r="AC38" s="1814">
        <f t="shared" si="5"/>
        <v>1</v>
      </c>
    </row>
    <row r="39" spans="1:29" ht="15">
      <c r="A39" s="472"/>
      <c r="B39" s="422" t="s">
        <v>2672</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5"/>
      <c r="Q39" s="1813" t="str">
        <f t="shared" si="11"/>
        <v>层高</v>
      </c>
      <c r="R39" s="774" t="s">
        <v>17</v>
      </c>
      <c r="S39" s="775">
        <f t="shared" si="12"/>
        <v>100</v>
      </c>
      <c r="T39" s="774" t="s">
        <v>17</v>
      </c>
      <c r="U39" s="775">
        <f t="shared" si="13"/>
        <v>100</v>
      </c>
      <c r="V39" s="774" t="s">
        <v>17</v>
      </c>
      <c r="W39" s="775">
        <f t="shared" si="14"/>
        <v>100</v>
      </c>
      <c r="X39" s="1816"/>
      <c r="Y39" s="3207"/>
      <c r="Z39" s="1817" t="str">
        <f t="shared" si="15"/>
        <v>层高</v>
      </c>
      <c r="AA39" s="1814">
        <f t="shared" si="3"/>
        <v>1</v>
      </c>
      <c r="AB39" s="1814">
        <f t="shared" si="4"/>
        <v>1</v>
      </c>
      <c r="AC39" s="1814">
        <f t="shared" si="5"/>
        <v>1</v>
      </c>
    </row>
    <row r="40" spans="1:29" ht="15">
      <c r="A40" s="472"/>
      <c r="B40" s="422" t="s">
        <v>2673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3" t="str">
        <f t="shared" si="11"/>
        <v>单套建筑面积</v>
      </c>
      <c r="R40" s="774" t="s">
        <v>17</v>
      </c>
      <c r="S40" s="775">
        <f t="shared" si="12"/>
        <v>100</v>
      </c>
      <c r="T40" s="774" t="s">
        <v>17</v>
      </c>
      <c r="U40" s="775">
        <f t="shared" si="13"/>
        <v>100</v>
      </c>
      <c r="V40" s="774" t="s">
        <v>17</v>
      </c>
      <c r="W40" s="775">
        <f t="shared" si="14"/>
        <v>100</v>
      </c>
      <c r="X40" s="1816"/>
      <c r="Y40" s="3207"/>
      <c r="Z40" s="1817" t="str">
        <f t="shared" si="15"/>
        <v>单套建筑面积</v>
      </c>
      <c r="AA40" s="1814">
        <f t="shared" si="3"/>
        <v>1</v>
      </c>
      <c r="AB40" s="1814">
        <f t="shared" si="4"/>
        <v>1</v>
      </c>
      <c r="AC40" s="1814">
        <f t="shared" si="5"/>
        <v>1</v>
      </c>
    </row>
    <row r="41" spans="1:29" s="471" customFormat="1" ht="15">
      <c r="A41" s="468"/>
      <c r="B41" s="1815" t="s">
        <v>2674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4">
        <f t="shared" si="3"/>
        <v>1</v>
      </c>
      <c r="AB41" s="1814">
        <f t="shared" si="4"/>
        <v>1</v>
      </c>
      <c r="AC41" s="1814">
        <f t="shared" si="5"/>
        <v>1</v>
      </c>
    </row>
    <row r="42" spans="1:29" ht="15">
      <c r="A42" s="472"/>
      <c r="B42" s="422" t="s">
        <v>2675</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5"/>
      <c r="Q42" s="1813" t="str">
        <f t="shared" si="11"/>
        <v>内部装修</v>
      </c>
      <c r="R42" s="774" t="s">
        <v>17</v>
      </c>
      <c r="S42" s="775">
        <f t="shared" si="12"/>
        <v>100</v>
      </c>
      <c r="T42" s="774" t="s">
        <v>17</v>
      </c>
      <c r="U42" s="775">
        <f t="shared" si="13"/>
        <v>100</v>
      </c>
      <c r="V42" s="774" t="s">
        <v>17</v>
      </c>
      <c r="W42" s="775">
        <f t="shared" si="14"/>
        <v>100</v>
      </c>
      <c r="X42" s="1816"/>
      <c r="Y42" s="3207"/>
      <c r="Z42" s="1817" t="str">
        <f t="shared" si="15"/>
        <v>内部装修</v>
      </c>
      <c r="AA42" s="1814">
        <f t="shared" si="3"/>
        <v>1</v>
      </c>
      <c r="AB42" s="1814">
        <f t="shared" si="4"/>
        <v>1</v>
      </c>
      <c r="AC42" s="1814">
        <f t="shared" si="5"/>
        <v>1</v>
      </c>
    </row>
    <row r="43" spans="1:29" ht="15">
      <c r="A43" s="472"/>
      <c r="B43" s="422" t="s">
        <v>2583</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5"/>
      <c r="Q43" s="1813" t="str">
        <f t="shared" si="11"/>
        <v>内部装修维护情况</v>
      </c>
      <c r="R43" s="774" t="s">
        <v>17</v>
      </c>
      <c r="S43" s="775">
        <f t="shared" si="12"/>
        <v>100</v>
      </c>
      <c r="T43" s="774" t="s">
        <v>17</v>
      </c>
      <c r="U43" s="775">
        <f t="shared" si="13"/>
        <v>100</v>
      </c>
      <c r="V43" s="774" t="s">
        <v>17</v>
      </c>
      <c r="W43" s="775">
        <f t="shared" si="14"/>
        <v>100</v>
      </c>
      <c r="X43" s="1816"/>
      <c r="Y43" s="32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8">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3">
        <f t="shared" si="11"/>
        <v>111</v>
      </c>
      <c r="R45" s="774" t="s">
        <v>17</v>
      </c>
      <c r="S45" s="775">
        <f t="shared" si="12"/>
        <v>100</v>
      </c>
      <c r="T45" s="774" t="s">
        <v>17</v>
      </c>
      <c r="U45" s="775">
        <f t="shared" si="13"/>
        <v>100</v>
      </c>
      <c r="V45" s="774" t="s">
        <v>17</v>
      </c>
      <c r="W45" s="775">
        <f t="shared" si="14"/>
        <v>100</v>
      </c>
      <c r="X45" s="1816"/>
      <c r="Y45" s="320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1814">
        <f t="shared" si="5"/>
        <v>1</v>
      </c>
    </row>
    <row r="47" spans="1:29" ht="15">
      <c r="A47" s="479" t="s">
        <v>2584</v>
      </c>
      <c r="B47" s="480"/>
      <c r="C47" s="1410" t="s">
        <v>1</v>
      </c>
      <c r="D47" s="1411"/>
      <c r="E47" s="1412"/>
      <c r="F47" s="1413"/>
      <c r="G47" s="1414"/>
      <c r="H47" s="1415"/>
      <c r="I47" s="1412"/>
      <c r="J47" s="1415"/>
      <c r="K47" s="783"/>
      <c r="L47" s="1146"/>
      <c r="M47" s="1147"/>
      <c r="N47" s="1134"/>
      <c r="O47" s="1147"/>
      <c r="P47" s="3200" t="str">
        <f>A47</f>
        <v>成交单价（元/平方米）</v>
      </c>
      <c r="Q47" s="3200"/>
      <c r="R47" s="3195">
        <f>E47</f>
        <v>0</v>
      </c>
      <c r="S47" s="3195"/>
      <c r="T47" s="3195">
        <f>G47</f>
        <v>0</v>
      </c>
      <c r="U47" s="3195"/>
      <c r="V47" s="3195">
        <f>I47</f>
        <v>0</v>
      </c>
      <c r="W47" s="3195"/>
      <c r="X47" s="759"/>
      <c r="Y47" s="781"/>
      <c r="Z47" s="759"/>
      <c r="AA47" s="759"/>
      <c r="AB47" s="759"/>
      <c r="AC47" s="759"/>
    </row>
    <row r="48" spans="1:29" ht="15.75" thickBot="1">
      <c r="A48" s="486" t="s">
        <v>2676</v>
      </c>
      <c r="B48" s="487"/>
      <c r="C48" s="1416" t="e">
        <f>R49</f>
        <v>#DIV/0!</v>
      </c>
      <c r="D48" s="1417"/>
      <c r="E48" s="1418" t="e">
        <f>R48</f>
        <v>#DIV/0!</v>
      </c>
      <c r="F48" s="1418"/>
      <c r="G48" s="1416" t="e">
        <f>T48</f>
        <v>#DIV/0!</v>
      </c>
      <c r="H48" s="1417"/>
      <c r="I48" s="1418" t="e">
        <f>V48</f>
        <v>#DIV/0!</v>
      </c>
      <c r="J48" s="1417"/>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2677</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2681</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2555</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2557</v>
      </c>
      <c r="B61" s="510"/>
      <c r="C61" s="522" t="s">
        <v>2659</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2662</v>
      </c>
      <c r="C82" s="660" t="s">
        <v>2682</v>
      </c>
      <c r="D82" s="660" t="s">
        <v>2683</v>
      </c>
      <c r="E82" s="660" t="s">
        <v>2684</v>
      </c>
      <c r="F82" s="660" t="s">
        <v>2685</v>
      </c>
      <c r="G82" s="660" t="s">
        <v>2686</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2570</v>
      </c>
      <c r="B100" s="528" t="s">
        <v>2688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2620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2623</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2625</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2689</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2690</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2691</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2692</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P15" sqref="P15:P3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2693</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IF(C2="——",ROUND(C50*D3/10000,0),ROUND(C50*D3/10000,0)-D2)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2651</v>
      </c>
      <c r="D3" s="399">
        <f>IF(D1="",'数据-汇总表'!E3,SUMIF('数据-汇总表'!$C19:$C33,D1,'数据-汇总表'!$E19:$E33))</f>
        <v>0</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217" t="s">
        <v>2658</v>
      </c>
      <c r="Q4" s="3218"/>
      <c r="R4" s="3212" t="s">
        <v>2654</v>
      </c>
      <c r="S4" s="3213"/>
      <c r="T4" s="3212" t="s">
        <v>2655</v>
      </c>
      <c r="U4" s="3213"/>
      <c r="V4" s="3221" t="s">
        <v>2656</v>
      </c>
      <c r="W4" s="3221"/>
      <c r="X4" s="2677"/>
      <c r="Y4" s="3212" t="s">
        <v>2658</v>
      </c>
      <c r="Z4" s="3213"/>
      <c r="AA4" s="3211" t="s">
        <v>2654</v>
      </c>
      <c r="AB4" s="3211" t="s">
        <v>2655</v>
      </c>
      <c r="AC4" s="3214" t="s">
        <v>2656</v>
      </c>
    </row>
    <row r="5" spans="1:29" ht="15">
      <c r="A5" s="404"/>
      <c r="B5" s="405"/>
      <c r="C5" s="3176" t="s">
        <v>2549</v>
      </c>
      <c r="D5" s="3177"/>
      <c r="E5" s="3174" t="s">
        <v>2550</v>
      </c>
      <c r="F5" s="3175"/>
      <c r="G5" s="3176" t="s">
        <v>2551</v>
      </c>
      <c r="H5" s="3177"/>
      <c r="I5" s="3176" t="s">
        <v>2552</v>
      </c>
      <c r="J5" s="3177"/>
      <c r="K5" s="610"/>
      <c r="L5" s="1133"/>
      <c r="M5" s="1134"/>
      <c r="N5" s="1134"/>
      <c r="O5" s="1134"/>
      <c r="P5" s="3219"/>
      <c r="Q5" s="3190"/>
      <c r="R5" s="3172"/>
      <c r="S5" s="3173"/>
      <c r="T5" s="3172"/>
      <c r="U5" s="3173"/>
      <c r="V5" s="3195"/>
      <c r="W5" s="3195"/>
      <c r="X5" s="1816"/>
      <c r="Y5" s="3172"/>
      <c r="Z5" s="3173"/>
      <c r="AA5" s="3166"/>
      <c r="AB5" s="3166"/>
      <c r="AC5" s="3215"/>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220"/>
      <c r="Q6" s="3192"/>
      <c r="R6" s="3172"/>
      <c r="S6" s="3173"/>
      <c r="T6" s="3193"/>
      <c r="U6" s="3194"/>
      <c r="V6" s="3195"/>
      <c r="W6" s="3195"/>
      <c r="X6" s="1816"/>
      <c r="Y6" s="3193"/>
      <c r="Z6" s="3194"/>
      <c r="AA6" s="3167"/>
      <c r="AB6" s="3167"/>
      <c r="AC6" s="3216"/>
    </row>
    <row r="7" spans="1:29" s="117" customFormat="1" ht="15.75" thickBot="1">
      <c r="A7" s="408" t="s">
        <v>2555</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2"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2678" t="e">
        <f>D7/J7</f>
        <v>#DIV/0!</v>
      </c>
    </row>
    <row r="8" spans="1:29" s="117" customFormat="1" ht="15.75" thickBot="1">
      <c r="A8" s="408" t="s">
        <v>2557</v>
      </c>
      <c r="B8" s="409"/>
      <c r="C8" s="414" t="s">
        <v>2659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2" t="s">
        <v>2559</v>
      </c>
      <c r="Q8" s="3169"/>
      <c r="R8" s="770" t="s">
        <v>17</v>
      </c>
      <c r="S8" s="771">
        <f t="shared" si="0"/>
        <v>0</v>
      </c>
      <c r="T8" s="770" t="s">
        <v>17</v>
      </c>
      <c r="U8" s="771">
        <f t="shared" si="1"/>
        <v>0</v>
      </c>
      <c r="V8" s="770" t="s">
        <v>17</v>
      </c>
      <c r="W8" s="771">
        <f t="shared" si="2"/>
        <v>0</v>
      </c>
      <c r="X8" s="772"/>
      <c r="Y8" s="3168" t="s">
        <v>2559</v>
      </c>
      <c r="Z8" s="3169"/>
      <c r="AA8" s="773" t="e">
        <f t="shared" ref="AA8:AA47" si="3">D8/F8</f>
        <v>#DIV/0!</v>
      </c>
      <c r="AB8" s="773" t="e">
        <f t="shared" ref="AB8:AB47" si="4">D8/H8</f>
        <v>#DIV/0!</v>
      </c>
      <c r="AC8" s="2678" t="e">
        <f t="shared" ref="AC8:AC47" si="5">D8/J8</f>
        <v>#DIV/0!</v>
      </c>
    </row>
    <row r="9" spans="1:29" s="117" customFormat="1">
      <c r="A9" s="415" t="s">
        <v>2560</v>
      </c>
      <c r="B9" s="71" t="s">
        <v>2561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2678">
        <f t="shared" si="5"/>
        <v>1</v>
      </c>
    </row>
    <row r="10" spans="1:29" s="427" customFormat="1" ht="27">
      <c r="A10" s="421"/>
      <c r="B10" s="422" t="s">
        <v>2564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8">
        <f t="shared" si="5"/>
        <v>1</v>
      </c>
    </row>
    <row r="11" spans="1:29" ht="15">
      <c r="A11" s="428"/>
      <c r="B11" s="422" t="s">
        <v>2565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8">
        <f t="shared" si="5"/>
        <v>1</v>
      </c>
    </row>
    <row r="15" spans="1:29" ht="71.25">
      <c r="A15" s="440" t="s">
        <v>2566</v>
      </c>
      <c r="B15" s="629" t="s">
        <v>2694</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2567</v>
      </c>
      <c r="Q15" s="1813" t="str">
        <f t="shared" si="6"/>
        <v>办公集聚程度</v>
      </c>
      <c r="R15" s="774" t="s">
        <v>17</v>
      </c>
      <c r="S15" s="775">
        <f t="shared" si="0"/>
        <v>100</v>
      </c>
      <c r="T15" s="774" t="s">
        <v>17</v>
      </c>
      <c r="U15" s="775">
        <f t="shared" si="1"/>
        <v>100</v>
      </c>
      <c r="V15" s="774" t="s">
        <v>17</v>
      </c>
      <c r="W15" s="775">
        <f t="shared" si="2"/>
        <v>100</v>
      </c>
      <c r="X15" s="1816"/>
      <c r="Y15" s="3202" t="s">
        <v>2567</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10"/>
      <c r="Q18" s="1813"/>
      <c r="R18" s="774"/>
      <c r="S18" s="775"/>
      <c r="T18" s="774"/>
      <c r="U18" s="775"/>
      <c r="V18" s="774"/>
      <c r="W18" s="775"/>
      <c r="X18" s="1816"/>
      <c r="Y18" s="3203"/>
      <c r="Z18" s="1817"/>
      <c r="AA18" s="1814">
        <v>1</v>
      </c>
      <c r="AB18" s="1814">
        <v>1</v>
      </c>
      <c r="AC18" s="2681">
        <v>1</v>
      </c>
    </row>
    <row r="19" spans="1:29" ht="42.75">
      <c r="A19" s="428"/>
      <c r="B19" s="631" t="s">
        <v>2695</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10"/>
      <c r="Q20" s="1813"/>
      <c r="R20" s="774"/>
      <c r="S20" s="775"/>
      <c r="T20" s="774"/>
      <c r="U20" s="775"/>
      <c r="V20" s="774"/>
      <c r="W20" s="775"/>
      <c r="X20" s="1816"/>
      <c r="Y20" s="3203"/>
      <c r="Z20" s="1817"/>
      <c r="AA20" s="1814">
        <v>1</v>
      </c>
      <c r="AB20" s="1814">
        <v>1</v>
      </c>
      <c r="AC20" s="2681">
        <v>1</v>
      </c>
    </row>
    <row r="21" spans="1:29" ht="28.5">
      <c r="A21" s="428"/>
      <c r="B21" s="633" t="s">
        <v>2696</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10"/>
      <c r="Q22" s="1813"/>
      <c r="R22" s="774"/>
      <c r="S22" s="775"/>
      <c r="T22" s="774"/>
      <c r="U22" s="775"/>
      <c r="V22" s="774"/>
      <c r="W22" s="775"/>
      <c r="X22" s="1816"/>
      <c r="Y22" s="3203"/>
      <c r="Z22" s="1817"/>
      <c r="AA22" s="1814">
        <v>1</v>
      </c>
      <c r="AB22" s="1814">
        <v>1</v>
      </c>
      <c r="AC22" s="2681">
        <v>1</v>
      </c>
    </row>
    <row r="23" spans="1:29" ht="42.75">
      <c r="A23" s="428"/>
      <c r="B23" s="631" t="s">
        <v>2697</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10"/>
      <c r="Q24" s="1813"/>
      <c r="R24" s="774"/>
      <c r="S24" s="775"/>
      <c r="T24" s="774"/>
      <c r="U24" s="775"/>
      <c r="V24" s="774"/>
      <c r="W24" s="775"/>
      <c r="X24" s="1816"/>
      <c r="Y24" s="3203"/>
      <c r="Z24" s="1817"/>
      <c r="AA24" s="1814">
        <v>1</v>
      </c>
      <c r="AB24" s="1814">
        <v>1</v>
      </c>
      <c r="AC24" s="2681">
        <v>1</v>
      </c>
    </row>
    <row r="25" spans="1:29" ht="27">
      <c r="A25" s="404"/>
      <c r="B25" s="631" t="s">
        <v>2698</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10"/>
      <c r="Q25" s="1813" t="str">
        <f>B25</f>
        <v>毗邻道路的类型与等级</v>
      </c>
      <c r="R25" s="774" t="s">
        <v>17</v>
      </c>
      <c r="S25" s="775">
        <f>F25</f>
        <v>100</v>
      </c>
      <c r="T25" s="774" t="s">
        <v>17</v>
      </c>
      <c r="U25" s="775">
        <f>H25</f>
        <v>100</v>
      </c>
      <c r="V25" s="774" t="s">
        <v>17</v>
      </c>
      <c r="W25" s="775">
        <f>J25</f>
        <v>100</v>
      </c>
      <c r="X25" s="1816"/>
      <c r="Y25" s="320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10"/>
      <c r="Q26" s="1813"/>
      <c r="R26" s="774"/>
      <c r="S26" s="775"/>
      <c r="T26" s="774"/>
      <c r="U26" s="775"/>
      <c r="V26" s="774"/>
      <c r="W26" s="775"/>
      <c r="X26" s="1816"/>
      <c r="Y26" s="3203"/>
      <c r="Z26" s="1817"/>
      <c r="AA26" s="1814">
        <v>1</v>
      </c>
      <c r="AB26" s="1814">
        <v>1</v>
      </c>
      <c r="AC26" s="2681">
        <v>1</v>
      </c>
    </row>
    <row r="27" spans="1:29" ht="15">
      <c r="A27" s="428"/>
      <c r="B27" s="632" t="s">
        <v>2666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3" t="str">
        <f t="shared" ref="Q27:Q47" si="11">B27</f>
        <v>楼层</v>
      </c>
      <c r="R27" s="774" t="s">
        <v>17</v>
      </c>
      <c r="S27" s="775">
        <f>F27</f>
        <v>100</v>
      </c>
      <c r="T27" s="774" t="s">
        <v>17</v>
      </c>
      <c r="U27" s="775">
        <f>H27</f>
        <v>100</v>
      </c>
      <c r="V27" s="774" t="s">
        <v>17</v>
      </c>
      <c r="W27" s="775">
        <f>J27</f>
        <v>100</v>
      </c>
      <c r="X27" s="1816"/>
      <c r="Y27" s="3203"/>
      <c r="Z27" s="1817" t="str">
        <f>Q27</f>
        <v>楼层</v>
      </c>
      <c r="AA27" s="1814">
        <f t="shared" si="3"/>
        <v>1</v>
      </c>
      <c r="AB27" s="1814">
        <f t="shared" si="4"/>
        <v>1</v>
      </c>
      <c r="AC27" s="2681">
        <f t="shared" si="5"/>
        <v>1</v>
      </c>
    </row>
    <row r="28" spans="1:29" s="117" customFormat="1" ht="15">
      <c r="A28" s="431"/>
      <c r="B28" s="631" t="s">
        <v>2699</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0"/>
      <c r="Q28" s="1798" t="str">
        <f t="shared" si="11"/>
        <v>朝向</v>
      </c>
      <c r="R28" s="770" t="s">
        <v>17</v>
      </c>
      <c r="S28" s="771">
        <f>F28</f>
        <v>100</v>
      </c>
      <c r="T28" s="770" t="s">
        <v>17</v>
      </c>
      <c r="U28" s="771">
        <f>H28</f>
        <v>100</v>
      </c>
      <c r="V28" s="770" t="s">
        <v>17</v>
      </c>
      <c r="W28" s="771">
        <f>J28</f>
        <v>100</v>
      </c>
      <c r="X28" s="772"/>
      <c r="Y28" s="320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0"/>
      <c r="Q29" s="1813">
        <f t="shared" si="11"/>
        <v>111</v>
      </c>
      <c r="R29" s="774" t="s">
        <v>17</v>
      </c>
      <c r="S29" s="775">
        <f t="shared" ref="S29:S47" si="12">F29</f>
        <v>100</v>
      </c>
      <c r="T29" s="774" t="s">
        <v>17</v>
      </c>
      <c r="U29" s="775">
        <f t="shared" ref="U29:U47" si="13">H29</f>
        <v>100</v>
      </c>
      <c r="V29" s="774" t="s">
        <v>17</v>
      </c>
      <c r="W29" s="775">
        <f t="shared" ref="W29:W47" si="14">J29</f>
        <v>100</v>
      </c>
      <c r="X29" s="1816"/>
      <c r="Y29" s="320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0"/>
      <c r="Q32" s="1813">
        <f t="shared" si="11"/>
        <v>111</v>
      </c>
      <c r="R32" s="774" t="s">
        <v>17</v>
      </c>
      <c r="S32" s="775">
        <f t="shared" si="12"/>
        <v>100</v>
      </c>
      <c r="T32" s="774" t="s">
        <v>17</v>
      </c>
      <c r="U32" s="775">
        <f t="shared" si="13"/>
        <v>100</v>
      </c>
      <c r="V32" s="774" t="s">
        <v>17</v>
      </c>
      <c r="W32" s="775">
        <f t="shared" si="14"/>
        <v>100</v>
      </c>
      <c r="X32" s="1816"/>
      <c r="Y32" s="3203"/>
      <c r="Z32" s="1817">
        <f t="shared" si="15"/>
        <v>111</v>
      </c>
      <c r="AA32" s="1814">
        <f t="shared" si="3"/>
        <v>1</v>
      </c>
      <c r="AB32" s="1814">
        <f t="shared" si="4"/>
        <v>1</v>
      </c>
      <c r="AC32" s="2681">
        <f t="shared" si="5"/>
        <v>1</v>
      </c>
    </row>
    <row r="33" spans="1:29" ht="15">
      <c r="A33" s="440" t="s">
        <v>2570</v>
      </c>
      <c r="B33" s="71" t="s">
        <v>2700</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4" t="s">
        <v>2572</v>
      </c>
      <c r="Q33" s="1813" t="str">
        <f t="shared" si="11"/>
        <v>建筑类型</v>
      </c>
      <c r="R33" s="774" t="s">
        <v>17</v>
      </c>
      <c r="S33" s="775">
        <f t="shared" si="12"/>
        <v>100</v>
      </c>
      <c r="T33" s="774" t="s">
        <v>17</v>
      </c>
      <c r="U33" s="775">
        <f t="shared" si="13"/>
        <v>100</v>
      </c>
      <c r="V33" s="774" t="s">
        <v>17</v>
      </c>
      <c r="W33" s="775">
        <f t="shared" si="14"/>
        <v>100</v>
      </c>
      <c r="X33" s="1816"/>
      <c r="Y33" s="3207" t="s">
        <v>2572</v>
      </c>
      <c r="Z33" s="1817" t="str">
        <f t="shared" si="15"/>
        <v>建筑类型</v>
      </c>
      <c r="AA33" s="1814">
        <f t="shared" si="3"/>
        <v>1</v>
      </c>
      <c r="AB33" s="1814">
        <f t="shared" si="4"/>
        <v>1</v>
      </c>
      <c r="AC33" s="2681">
        <f t="shared" si="5"/>
        <v>1</v>
      </c>
    </row>
    <row r="34" spans="1:29" s="471" customFormat="1" ht="15">
      <c r="A34" s="468"/>
      <c r="B34" s="422" t="s">
        <v>2573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4" t="e">
        <f t="shared" si="3"/>
        <v>#N/A</v>
      </c>
      <c r="AB34" s="1814" t="e">
        <f t="shared" si="4"/>
        <v>#N/A</v>
      </c>
      <c r="AC34" s="2681" t="e">
        <f t="shared" si="5"/>
        <v>#N/A</v>
      </c>
    </row>
    <row r="35" spans="1:29" ht="15">
      <c r="A35" s="472"/>
      <c r="B35" s="422" t="s">
        <v>2574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3" t="str">
        <f t="shared" si="11"/>
        <v>建筑结构</v>
      </c>
      <c r="R35" s="774" t="s">
        <v>17</v>
      </c>
      <c r="S35" s="775">
        <f t="shared" si="12"/>
        <v>100</v>
      </c>
      <c r="T35" s="774" t="s">
        <v>17</v>
      </c>
      <c r="U35" s="775">
        <f t="shared" si="13"/>
        <v>100</v>
      </c>
      <c r="V35" s="774" t="s">
        <v>17</v>
      </c>
      <c r="W35" s="775">
        <f t="shared" si="14"/>
        <v>100</v>
      </c>
      <c r="X35" s="1816"/>
      <c r="Y35" s="3207"/>
      <c r="Z35" s="1817" t="str">
        <f t="shared" si="15"/>
        <v>建筑结构</v>
      </c>
      <c r="AA35" s="1814">
        <f t="shared" si="3"/>
        <v>1</v>
      </c>
      <c r="AB35" s="1814">
        <f t="shared" si="4"/>
        <v>1</v>
      </c>
      <c r="AC35" s="2681">
        <f t="shared" si="5"/>
        <v>1</v>
      </c>
    </row>
    <row r="36" spans="1:29" ht="15">
      <c r="A36" s="472"/>
      <c r="B36" s="422" t="s">
        <v>2668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3" t="str">
        <f t="shared" si="11"/>
        <v>公共部分装修</v>
      </c>
      <c r="R36" s="774" t="s">
        <v>17</v>
      </c>
      <c r="S36" s="775">
        <f t="shared" si="12"/>
        <v>100</v>
      </c>
      <c r="T36" s="774" t="s">
        <v>17</v>
      </c>
      <c r="U36" s="775">
        <f t="shared" si="13"/>
        <v>100</v>
      </c>
      <c r="V36" s="774" t="s">
        <v>17</v>
      </c>
      <c r="W36" s="775">
        <f t="shared" si="14"/>
        <v>100</v>
      </c>
      <c r="X36" s="1816"/>
      <c r="Y36" s="3207"/>
      <c r="Z36" s="1817" t="str">
        <f t="shared" si="15"/>
        <v>公共部分装修</v>
      </c>
      <c r="AA36" s="1814">
        <f t="shared" si="3"/>
        <v>1</v>
      </c>
      <c r="AB36" s="1814">
        <f t="shared" si="4"/>
        <v>1</v>
      </c>
      <c r="AC36" s="2681">
        <f t="shared" si="5"/>
        <v>1</v>
      </c>
    </row>
    <row r="37" spans="1:29" ht="15">
      <c r="A37" s="472"/>
      <c r="B37" s="422" t="s">
        <v>2669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3" t="str">
        <f t="shared" si="11"/>
        <v>成新度</v>
      </c>
      <c r="R37" s="774" t="s">
        <v>17</v>
      </c>
      <c r="S37" s="775" t="e">
        <f t="shared" si="12"/>
        <v>#N/A</v>
      </c>
      <c r="T37" s="774" t="s">
        <v>17</v>
      </c>
      <c r="U37" s="775" t="e">
        <f t="shared" si="13"/>
        <v>#N/A</v>
      </c>
      <c r="V37" s="774" t="s">
        <v>17</v>
      </c>
      <c r="W37" s="775" t="e">
        <f t="shared" si="14"/>
        <v>#N/A</v>
      </c>
      <c r="X37" s="1816"/>
      <c r="Y37" s="3207"/>
      <c r="Z37" s="1817" t="str">
        <f t="shared" si="15"/>
        <v>成新度</v>
      </c>
      <c r="AA37" s="1814" t="e">
        <f t="shared" si="3"/>
        <v>#N/A</v>
      </c>
      <c r="AB37" s="1814" t="e">
        <f t="shared" si="4"/>
        <v>#N/A</v>
      </c>
      <c r="AC37" s="2681" t="e">
        <f t="shared" si="5"/>
        <v>#N/A</v>
      </c>
    </row>
    <row r="38" spans="1:29" s="117" customFormat="1" ht="15">
      <c r="A38" s="473"/>
      <c r="B38" s="422" t="s">
        <v>2701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8"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8">
        <f t="shared" si="5"/>
        <v>1</v>
      </c>
    </row>
    <row r="39" spans="1:29" ht="15">
      <c r="A39" s="472"/>
      <c r="B39" s="422" t="s">
        <v>2702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2572</v>
      </c>
      <c r="Q39" s="1813" t="str">
        <f t="shared" si="11"/>
        <v>物业管理</v>
      </c>
      <c r="R39" s="774" t="s">
        <v>17</v>
      </c>
      <c r="S39" s="775">
        <f t="shared" si="12"/>
        <v>100</v>
      </c>
      <c r="T39" s="774" t="s">
        <v>17</v>
      </c>
      <c r="U39" s="775">
        <f t="shared" si="13"/>
        <v>100</v>
      </c>
      <c r="V39" s="774" t="s">
        <v>17</v>
      </c>
      <c r="W39" s="775">
        <f t="shared" si="14"/>
        <v>100</v>
      </c>
      <c r="X39" s="1816"/>
      <c r="Y39" s="3207" t="s">
        <v>2572</v>
      </c>
      <c r="Z39" s="1817" t="str">
        <f t="shared" si="15"/>
        <v>物业管理</v>
      </c>
      <c r="AA39" s="1814">
        <f t="shared" si="3"/>
        <v>1</v>
      </c>
      <c r="AB39" s="1814">
        <f t="shared" si="4"/>
        <v>1</v>
      </c>
      <c r="AC39" s="2681">
        <f t="shared" si="5"/>
        <v>1</v>
      </c>
    </row>
    <row r="40" spans="1:29" ht="15">
      <c r="A40" s="472"/>
      <c r="B40" s="422" t="s">
        <v>2670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3" t="str">
        <f t="shared" si="11"/>
        <v>市政基础设施</v>
      </c>
      <c r="R40" s="774" t="s">
        <v>17</v>
      </c>
      <c r="S40" s="775">
        <f t="shared" si="12"/>
        <v>100</v>
      </c>
      <c r="T40" s="774" t="s">
        <v>17</v>
      </c>
      <c r="U40" s="775">
        <f t="shared" si="13"/>
        <v>100</v>
      </c>
      <c r="V40" s="774" t="s">
        <v>17</v>
      </c>
      <c r="W40" s="775">
        <f t="shared" si="14"/>
        <v>100</v>
      </c>
      <c r="X40" s="1816"/>
      <c r="Y40" s="3207"/>
      <c r="Z40" s="1817" t="str">
        <f t="shared" si="15"/>
        <v>市政基础设施</v>
      </c>
      <c r="AA40" s="1814">
        <f t="shared" si="3"/>
        <v>1</v>
      </c>
      <c r="AB40" s="1814">
        <f t="shared" si="4"/>
        <v>1</v>
      </c>
      <c r="AC40" s="2681">
        <f t="shared" si="5"/>
        <v>1</v>
      </c>
    </row>
    <row r="41" spans="1:29" ht="15">
      <c r="A41" s="472"/>
      <c r="B41" s="422" t="s">
        <v>2672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3" t="str">
        <f t="shared" si="11"/>
        <v>层高</v>
      </c>
      <c r="R41" s="774" t="s">
        <v>17</v>
      </c>
      <c r="S41" s="775">
        <f t="shared" si="12"/>
        <v>100</v>
      </c>
      <c r="T41" s="774" t="s">
        <v>17</v>
      </c>
      <c r="U41" s="775">
        <f t="shared" si="13"/>
        <v>100</v>
      </c>
      <c r="V41" s="774" t="s">
        <v>17</v>
      </c>
      <c r="W41" s="775">
        <f t="shared" si="14"/>
        <v>100</v>
      </c>
      <c r="X41" s="1816"/>
      <c r="Y41" s="3207"/>
      <c r="Z41" s="1817" t="str">
        <f t="shared" si="15"/>
        <v>层高</v>
      </c>
      <c r="AA41" s="1814">
        <f t="shared" si="3"/>
        <v>1</v>
      </c>
      <c r="AB41" s="1814">
        <f t="shared" si="4"/>
        <v>1</v>
      </c>
      <c r="AC41" s="2681">
        <f t="shared" si="5"/>
        <v>1</v>
      </c>
    </row>
    <row r="42" spans="1:29" s="471" customFormat="1" ht="15">
      <c r="A42" s="468"/>
      <c r="B42" s="1815" t="s">
        <v>2703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4">
        <f t="shared" si="3"/>
        <v>1</v>
      </c>
      <c r="AB42" s="1814">
        <f t="shared" si="4"/>
        <v>1</v>
      </c>
      <c r="AC42" s="2681">
        <f t="shared" si="5"/>
        <v>1</v>
      </c>
    </row>
    <row r="43" spans="1:29" ht="15">
      <c r="A43" s="472"/>
      <c r="B43" s="422" t="s">
        <v>2675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3" t="str">
        <f t="shared" si="11"/>
        <v>内部装修</v>
      </c>
      <c r="R43" s="774" t="s">
        <v>17</v>
      </c>
      <c r="S43" s="775">
        <f t="shared" si="12"/>
        <v>100</v>
      </c>
      <c r="T43" s="774" t="s">
        <v>17</v>
      </c>
      <c r="U43" s="775">
        <f t="shared" si="13"/>
        <v>100</v>
      </c>
      <c r="V43" s="774" t="s">
        <v>17</v>
      </c>
      <c r="W43" s="775">
        <f t="shared" si="14"/>
        <v>100</v>
      </c>
      <c r="X43" s="1816"/>
      <c r="Y43" s="3207"/>
      <c r="Z43" s="1817" t="str">
        <f t="shared" si="15"/>
        <v>内部装修</v>
      </c>
      <c r="AA43" s="1814">
        <f t="shared" si="3"/>
        <v>1</v>
      </c>
      <c r="AB43" s="1814">
        <f t="shared" si="4"/>
        <v>1</v>
      </c>
      <c r="AC43" s="2681">
        <f t="shared" si="5"/>
        <v>1</v>
      </c>
    </row>
    <row r="44" spans="1:29" ht="15">
      <c r="A44" s="472"/>
      <c r="B44" s="422" t="s">
        <v>2583</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5"/>
      <c r="Q44" s="1813" t="str">
        <f t="shared" si="11"/>
        <v>内部装修维护情况</v>
      </c>
      <c r="R44" s="774" t="s">
        <v>17</v>
      </c>
      <c r="S44" s="775">
        <f t="shared" si="12"/>
        <v>100</v>
      </c>
      <c r="T44" s="774" t="s">
        <v>17</v>
      </c>
      <c r="U44" s="775">
        <f t="shared" si="13"/>
        <v>100</v>
      </c>
      <c r="V44" s="774" t="s">
        <v>17</v>
      </c>
      <c r="W44" s="775">
        <f t="shared" si="14"/>
        <v>100</v>
      </c>
      <c r="X44" s="1816"/>
      <c r="Y44" s="320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8">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3">
        <f t="shared" si="11"/>
        <v>111</v>
      </c>
      <c r="R47" s="774" t="s">
        <v>17</v>
      </c>
      <c r="S47" s="775">
        <f t="shared" si="12"/>
        <v>100</v>
      </c>
      <c r="T47" s="774" t="s">
        <v>17</v>
      </c>
      <c r="U47" s="775">
        <f t="shared" si="13"/>
        <v>100</v>
      </c>
      <c r="V47" s="774" t="s">
        <v>17</v>
      </c>
      <c r="W47" s="775">
        <f t="shared" si="14"/>
        <v>100</v>
      </c>
      <c r="X47" s="1816"/>
      <c r="Y47" s="3208"/>
      <c r="Z47" s="1817">
        <f t="shared" si="15"/>
        <v>111</v>
      </c>
      <c r="AA47" s="1814">
        <f t="shared" si="3"/>
        <v>1</v>
      </c>
      <c r="AB47" s="1814">
        <f t="shared" si="4"/>
        <v>1</v>
      </c>
      <c r="AC47" s="2681">
        <f t="shared" si="5"/>
        <v>1</v>
      </c>
    </row>
    <row r="48" spans="1:29" ht="15">
      <c r="A48" s="479" t="s">
        <v>2584</v>
      </c>
      <c r="B48" s="480"/>
      <c r="C48" s="1410" t="s">
        <v>1</v>
      </c>
      <c r="D48" s="1411"/>
      <c r="E48" s="1412"/>
      <c r="F48" s="1413"/>
      <c r="G48" s="1414"/>
      <c r="H48" s="1415"/>
      <c r="I48" s="1412"/>
      <c r="J48" s="485"/>
      <c r="K48" s="783"/>
      <c r="L48" s="1146"/>
      <c r="M48" s="1134"/>
      <c r="N48" s="1134"/>
      <c r="O48" s="1134"/>
      <c r="P48" s="3182"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2676</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2677</v>
      </c>
      <c r="B50" s="493"/>
      <c r="C50" s="1420" t="e">
        <f>R50</f>
        <v>#DIV/0!</v>
      </c>
      <c r="D50" s="1420"/>
      <c r="E50" s="1420"/>
      <c r="F50" s="1420"/>
      <c r="G50" s="1420"/>
      <c r="H50" s="1420"/>
      <c r="I50" s="1420"/>
      <c r="J50" s="494"/>
      <c r="K50" s="785"/>
      <c r="L50" s="1146"/>
      <c r="M50" s="1134"/>
      <c r="N50" s="1134"/>
      <c r="O50" s="1134"/>
      <c r="P50" s="3223" t="str">
        <f>A50</f>
        <v>估价对象XX用房的比较价值（楼面单价，元/平方米）</v>
      </c>
      <c r="Q50" s="3224"/>
      <c r="R50" s="3225" t="e">
        <f>IF(F1="售价",ROUND(AVERAGE(R49:V49),0),ROUND(AVERAGE(R49:V49),1))</f>
        <v>#DIV/0!</v>
      </c>
      <c r="S50" s="3225"/>
      <c r="T50" s="3225"/>
      <c r="U50" s="3225"/>
      <c r="V50" s="3225"/>
      <c r="W50" s="322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2680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2681</v>
      </c>
      <c r="B58" s="759"/>
      <c r="C58" s="764"/>
      <c r="D58" s="764"/>
      <c r="E58" s="764"/>
      <c r="F58" s="765"/>
      <c r="G58" s="765"/>
      <c r="H58" s="764"/>
      <c r="I58" s="764"/>
      <c r="J58" s="764"/>
      <c r="K58" s="766"/>
      <c r="L58" s="1164"/>
      <c r="M58" s="1162"/>
      <c r="N58" s="1162"/>
      <c r="O58" s="1162"/>
      <c r="P58" s="2688"/>
      <c r="Q58" s="504"/>
    </row>
    <row r="59" spans="1:29" s="508" customFormat="1" ht="15">
      <c r="A59" s="505" t="s">
        <v>2555</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2592</v>
      </c>
      <c r="B61" s="516"/>
      <c r="C61" s="517"/>
      <c r="D61" s="518"/>
      <c r="E61" s="518"/>
      <c r="F61" s="518"/>
      <c r="G61" s="518"/>
      <c r="H61" s="518"/>
      <c r="I61" s="518"/>
      <c r="J61" s="518"/>
      <c r="K61" s="518"/>
      <c r="L61" s="518"/>
      <c r="M61" s="519"/>
      <c r="N61" s="518"/>
      <c r="O61" s="519"/>
      <c r="P61" s="2689"/>
      <c r="Q61" s="504"/>
    </row>
    <row r="62" spans="1:29" s="117" customFormat="1" ht="15">
      <c r="A62" s="521" t="s">
        <v>2557</v>
      </c>
      <c r="B62" s="510"/>
      <c r="C62" s="522" t="s">
        <v>2659</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2595</v>
      </c>
      <c r="B64" s="528" t="s">
        <v>2561</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2564</v>
      </c>
      <c r="C66" s="539" t="s">
        <v>2596</v>
      </c>
      <c r="D66" s="539" t="s">
        <v>2597</v>
      </c>
      <c r="E66" s="539" t="s">
        <v>2598</v>
      </c>
      <c r="F66" s="539" t="s">
        <v>2599</v>
      </c>
      <c r="G66" s="539" t="s">
        <v>2600</v>
      </c>
      <c r="H66" s="539" t="s">
        <v>2601</v>
      </c>
      <c r="I66" s="539" t="s">
        <v>2602</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2566</v>
      </c>
      <c r="B77" s="528" t="s">
        <v>2704</v>
      </c>
      <c r="C77" s="573" t="s">
        <v>2604</v>
      </c>
      <c r="D77" s="573" t="s">
        <v>2605</v>
      </c>
      <c r="E77" s="573" t="s">
        <v>2606</v>
      </c>
      <c r="F77" s="573" t="s">
        <v>2607</v>
      </c>
      <c r="G77" s="573" t="s">
        <v>2608</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2609</v>
      </c>
      <c r="C79" s="578" t="s">
        <v>2604</v>
      </c>
      <c r="D79" s="578" t="s">
        <v>2605</v>
      </c>
      <c r="E79" s="578" t="s">
        <v>2606</v>
      </c>
      <c r="F79" s="578" t="s">
        <v>2607</v>
      </c>
      <c r="G79" s="578" t="s">
        <v>2608</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2610</v>
      </c>
      <c r="C81" s="578" t="s">
        <v>2604</v>
      </c>
      <c r="D81" s="578" t="s">
        <v>2605</v>
      </c>
      <c r="E81" s="578" t="s">
        <v>2606</v>
      </c>
      <c r="F81" s="578" t="s">
        <v>2607</v>
      </c>
      <c r="G81" s="578" t="s">
        <v>2608</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2696</v>
      </c>
      <c r="C83" s="660" t="s">
        <v>2682</v>
      </c>
      <c r="D83" s="660" t="s">
        <v>2683</v>
      </c>
      <c r="E83" s="660" t="s">
        <v>2684</v>
      </c>
      <c r="F83" s="660" t="s">
        <v>2685</v>
      </c>
      <c r="G83" s="660" t="s">
        <v>2686</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2705</v>
      </c>
      <c r="C85" s="578" t="s">
        <v>2604</v>
      </c>
      <c r="D85" s="578" t="s">
        <v>2605</v>
      </c>
      <c r="E85" s="578" t="s">
        <v>2606</v>
      </c>
      <c r="F85" s="578" t="s">
        <v>2607</v>
      </c>
      <c r="G85" s="578" t="s">
        <v>2608</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2706</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2570</v>
      </c>
      <c r="B101" s="528" t="s">
        <v>2619</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2620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2621</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2623</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2624</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2625</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2691</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2627</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2628</v>
      </c>
      <c r="C125" s="578" t="s">
        <v>2604</v>
      </c>
      <c r="D125" s="578" t="s">
        <v>2605</v>
      </c>
      <c r="E125" s="578" t="s">
        <v>2606</v>
      </c>
      <c r="F125" s="578" t="s">
        <v>2607</v>
      </c>
      <c r="G125" s="578" t="s">
        <v>2608</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2709</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IF(C2="——",ROUND(C43*D3/10000,0),ROUND(C43*D3/10000,0)-D2)</f>
        <v>#DIV/0!</v>
      </c>
      <c r="C2" s="2593"/>
      <c r="D2" s="1127"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2651</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43307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2558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0" si="3">D8/F8</f>
        <v>#DIV/0!</v>
      </c>
      <c r="AB8" s="773" t="e">
        <f t="shared" ref="AB8:AB40" si="4">D8/H8</f>
        <v>#DIV/0!</v>
      </c>
      <c r="AC8" s="773" t="e">
        <f t="shared" ref="AC8:AC40" si="5">D8/J8</f>
        <v>#DIV/0!</v>
      </c>
    </row>
    <row r="9" spans="1:29" s="117" customFormat="1">
      <c r="A9" s="415" t="s">
        <v>2560</v>
      </c>
      <c r="B9" s="71" t="s">
        <v>2561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2566</v>
      </c>
      <c r="B15" s="69" t="s">
        <v>2710</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2567</v>
      </c>
      <c r="Q15" s="1813" t="str">
        <f t="shared" si="6"/>
        <v>产业集聚程度</v>
      </c>
      <c r="R15" s="774" t="s">
        <v>17</v>
      </c>
      <c r="S15" s="775">
        <f t="shared" si="0"/>
        <v>100</v>
      </c>
      <c r="T15" s="774" t="s">
        <v>17</v>
      </c>
      <c r="U15" s="775">
        <f t="shared" si="1"/>
        <v>100</v>
      </c>
      <c r="V15" s="774" t="s">
        <v>17</v>
      </c>
      <c r="W15" s="775">
        <f t="shared" si="2"/>
        <v>100</v>
      </c>
      <c r="X15" s="1816"/>
      <c r="Y15" s="3202" t="s">
        <v>2567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3"/>
      <c r="Q18" s="1813"/>
      <c r="R18" s="774"/>
      <c r="S18" s="775"/>
      <c r="T18" s="774"/>
      <c r="U18" s="775"/>
      <c r="V18" s="774"/>
      <c r="W18" s="775"/>
      <c r="X18" s="1816"/>
      <c r="Y18" s="3203"/>
      <c r="Z18" s="1817"/>
      <c r="AA18" s="1814">
        <v>1</v>
      </c>
      <c r="AB18" s="1814">
        <v>1</v>
      </c>
      <c r="AC18" s="1814">
        <v>1</v>
      </c>
    </row>
    <row r="19" spans="1:29" ht="42.75">
      <c r="A19" s="428"/>
      <c r="B19" s="451" t="s">
        <v>2695</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3"/>
      <c r="Q20" s="1813"/>
      <c r="R20" s="774"/>
      <c r="S20" s="775"/>
      <c r="T20" s="774"/>
      <c r="U20" s="775"/>
      <c r="V20" s="774"/>
      <c r="W20" s="775"/>
      <c r="X20" s="1816"/>
      <c r="Y20" s="3203"/>
      <c r="Z20" s="1817"/>
      <c r="AA20" s="1814">
        <v>1</v>
      </c>
      <c r="AB20" s="1814">
        <v>1</v>
      </c>
      <c r="AC20" s="1814">
        <v>1</v>
      </c>
    </row>
    <row r="21" spans="1:29" ht="28.5">
      <c r="A21" s="428"/>
      <c r="B21" s="1387" t="s">
        <v>2696</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3"/>
      <c r="Q22" s="1813"/>
      <c r="R22" s="774"/>
      <c r="S22" s="775"/>
      <c r="T22" s="774"/>
      <c r="U22" s="775"/>
      <c r="V22" s="774"/>
      <c r="W22" s="775"/>
      <c r="X22" s="1816"/>
      <c r="Y22" s="3203"/>
      <c r="Z22" s="1817"/>
      <c r="AA22" s="1814">
        <v>1</v>
      </c>
      <c r="AB22" s="1814">
        <v>1</v>
      </c>
      <c r="AC22" s="1814">
        <v>1</v>
      </c>
    </row>
    <row r="23" spans="1:29" ht="71.25">
      <c r="A23" s="428"/>
      <c r="B23" s="451" t="s">
        <v>2697</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3"/>
      <c r="Q24" s="1813"/>
      <c r="R24" s="774"/>
      <c r="S24" s="775"/>
      <c r="T24" s="774"/>
      <c r="U24" s="775"/>
      <c r="V24" s="774"/>
      <c r="W24" s="775"/>
      <c r="X24" s="1816"/>
      <c r="Y24" s="320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3">
        <f>B25</f>
        <v>111</v>
      </c>
      <c r="R25" s="774" t="s">
        <v>17</v>
      </c>
      <c r="S25" s="775">
        <f>F25</f>
        <v>100</v>
      </c>
      <c r="T25" s="774" t="s">
        <v>17</v>
      </c>
      <c r="U25" s="775">
        <f>H25</f>
        <v>100</v>
      </c>
      <c r="V25" s="774" t="s">
        <v>17</v>
      </c>
      <c r="W25" s="775">
        <f>J25</f>
        <v>100</v>
      </c>
      <c r="X25" s="1816"/>
      <c r="Y25" s="320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3">
        <f t="shared" ref="Q26:Q40" si="11">B26</f>
        <v>111</v>
      </c>
      <c r="R26" s="774" t="s">
        <v>17</v>
      </c>
      <c r="S26" s="775">
        <f>F26</f>
        <v>100</v>
      </c>
      <c r="T26" s="774" t="s">
        <v>17</v>
      </c>
      <c r="U26" s="775">
        <f>H26</f>
        <v>100</v>
      </c>
      <c r="V26" s="774" t="s">
        <v>17</v>
      </c>
      <c r="W26" s="775">
        <f>J26</f>
        <v>100</v>
      </c>
      <c r="X26" s="1816"/>
      <c r="Y26" s="320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8">
        <f t="shared" si="11"/>
        <v>111</v>
      </c>
      <c r="R27" s="770" t="s">
        <v>17</v>
      </c>
      <c r="S27" s="771">
        <f>F27</f>
        <v>100</v>
      </c>
      <c r="T27" s="770" t="s">
        <v>17</v>
      </c>
      <c r="U27" s="771">
        <f>H27</f>
        <v>100</v>
      </c>
      <c r="V27" s="770" t="s">
        <v>17</v>
      </c>
      <c r="W27" s="771">
        <f>J27</f>
        <v>100</v>
      </c>
      <c r="X27" s="772"/>
      <c r="Y27" s="320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3">
        <f t="shared" si="11"/>
        <v>111</v>
      </c>
      <c r="R28" s="774" t="s">
        <v>17</v>
      </c>
      <c r="S28" s="775">
        <f t="shared" ref="S28:S40" si="12">F28</f>
        <v>100</v>
      </c>
      <c r="T28" s="774" t="s">
        <v>17</v>
      </c>
      <c r="U28" s="775">
        <f t="shared" ref="U28:U40" si="13">H28</f>
        <v>100</v>
      </c>
      <c r="V28" s="774" t="s">
        <v>17</v>
      </c>
      <c r="W28" s="775">
        <f t="shared" ref="W28:W40" si="14">J28</f>
        <v>100</v>
      </c>
      <c r="X28" s="1816"/>
      <c r="Y28" s="3203"/>
      <c r="Z28" s="1817">
        <f t="shared" ref="Z28:Z40" si="15">Q28</f>
        <v>111</v>
      </c>
      <c r="AA28" s="1814">
        <f t="shared" si="3"/>
        <v>1</v>
      </c>
      <c r="AB28" s="1814">
        <f t="shared" si="4"/>
        <v>1</v>
      </c>
      <c r="AC28" s="1814">
        <f t="shared" si="5"/>
        <v>1</v>
      </c>
    </row>
    <row r="29" spans="1:29" ht="29.25">
      <c r="A29" s="466" t="s">
        <v>2570</v>
      </c>
      <c r="B29" s="71" t="s">
        <v>2700</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6" t="s">
        <v>2572</v>
      </c>
      <c r="Q29" s="1813" t="str">
        <f t="shared" si="11"/>
        <v>建筑类型</v>
      </c>
      <c r="R29" s="774" t="s">
        <v>17</v>
      </c>
      <c r="S29" s="775">
        <f t="shared" si="12"/>
        <v>100</v>
      </c>
      <c r="T29" s="774" t="s">
        <v>17</v>
      </c>
      <c r="U29" s="775">
        <f t="shared" si="13"/>
        <v>100</v>
      </c>
      <c r="V29" s="774" t="s">
        <v>17</v>
      </c>
      <c r="W29" s="775">
        <f t="shared" si="14"/>
        <v>100</v>
      </c>
      <c r="X29" s="1816"/>
      <c r="Y29" s="3207" t="s">
        <v>2572</v>
      </c>
      <c r="Z29" s="1817" t="str">
        <f t="shared" si="15"/>
        <v>建筑类型</v>
      </c>
      <c r="AA29" s="1814">
        <f t="shared" si="3"/>
        <v>1</v>
      </c>
      <c r="AB29" s="1814">
        <f t="shared" si="4"/>
        <v>1</v>
      </c>
      <c r="AC29" s="1814">
        <f t="shared" si="5"/>
        <v>1</v>
      </c>
    </row>
    <row r="30" spans="1:29" s="471" customFormat="1" ht="15">
      <c r="A30" s="468"/>
      <c r="B30" s="422" t="s">
        <v>2573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4" t="e">
        <f t="shared" si="3"/>
        <v>#N/A</v>
      </c>
      <c r="AB30" s="1814" t="e">
        <f t="shared" si="4"/>
        <v>#N/A</v>
      </c>
      <c r="AC30" s="1814" t="e">
        <f t="shared" si="5"/>
        <v>#N/A</v>
      </c>
    </row>
    <row r="31" spans="1:29" ht="15">
      <c r="A31" s="472"/>
      <c r="B31" s="422" t="s">
        <v>2574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3" t="str">
        <f t="shared" si="11"/>
        <v>建筑结构</v>
      </c>
      <c r="R31" s="774" t="s">
        <v>17</v>
      </c>
      <c r="S31" s="775">
        <f t="shared" si="12"/>
        <v>100</v>
      </c>
      <c r="T31" s="774" t="s">
        <v>17</v>
      </c>
      <c r="U31" s="775">
        <f t="shared" si="13"/>
        <v>100</v>
      </c>
      <c r="V31" s="774" t="s">
        <v>17</v>
      </c>
      <c r="W31" s="775">
        <f t="shared" si="14"/>
        <v>100</v>
      </c>
      <c r="X31" s="1816"/>
      <c r="Y31" s="3207"/>
      <c r="Z31" s="1817" t="str">
        <f t="shared" si="15"/>
        <v>建筑结构</v>
      </c>
      <c r="AA31" s="1814">
        <f t="shared" si="3"/>
        <v>1</v>
      </c>
      <c r="AB31" s="1814">
        <f t="shared" si="4"/>
        <v>1</v>
      </c>
      <c r="AC31" s="1814">
        <f t="shared" si="5"/>
        <v>1</v>
      </c>
    </row>
    <row r="32" spans="1:29" ht="15">
      <c r="A32" s="472"/>
      <c r="B32" s="422" t="s">
        <v>2668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3" t="str">
        <f t="shared" si="11"/>
        <v>公共部分装修</v>
      </c>
      <c r="R32" s="774" t="s">
        <v>17</v>
      </c>
      <c r="S32" s="775">
        <f t="shared" si="12"/>
        <v>100</v>
      </c>
      <c r="T32" s="774" t="s">
        <v>17</v>
      </c>
      <c r="U32" s="775">
        <f t="shared" si="13"/>
        <v>100</v>
      </c>
      <c r="V32" s="774" t="s">
        <v>17</v>
      </c>
      <c r="W32" s="775">
        <f t="shared" si="14"/>
        <v>100</v>
      </c>
      <c r="X32" s="1816"/>
      <c r="Y32" s="3207"/>
      <c r="Z32" s="1817" t="str">
        <f t="shared" si="15"/>
        <v>公共部分装修</v>
      </c>
      <c r="AA32" s="1814">
        <f t="shared" si="3"/>
        <v>1</v>
      </c>
      <c r="AB32" s="1814">
        <f t="shared" si="4"/>
        <v>1</v>
      </c>
      <c r="AC32" s="1814">
        <f t="shared" si="5"/>
        <v>1</v>
      </c>
    </row>
    <row r="33" spans="1:29" ht="15">
      <c r="A33" s="472"/>
      <c r="B33" s="422" t="s">
        <v>2669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3" t="str">
        <f t="shared" si="11"/>
        <v>成新度</v>
      </c>
      <c r="R33" s="774" t="s">
        <v>17</v>
      </c>
      <c r="S33" s="775" t="e">
        <f t="shared" si="12"/>
        <v>#N/A</v>
      </c>
      <c r="T33" s="774" t="s">
        <v>17</v>
      </c>
      <c r="U33" s="775" t="e">
        <f t="shared" si="13"/>
        <v>#N/A</v>
      </c>
      <c r="V33" s="774" t="s">
        <v>17</v>
      </c>
      <c r="W33" s="775" t="e">
        <f t="shared" si="14"/>
        <v>#N/A</v>
      </c>
      <c r="X33" s="1816"/>
      <c r="Y33" s="3207"/>
      <c r="Z33" s="1817" t="str">
        <f t="shared" si="15"/>
        <v>成新度</v>
      </c>
      <c r="AA33" s="1814" t="e">
        <f t="shared" si="3"/>
        <v>#N/A</v>
      </c>
      <c r="AB33" s="1814" t="e">
        <f t="shared" si="4"/>
        <v>#N/A</v>
      </c>
      <c r="AC33" s="1814" t="e">
        <f t="shared" si="5"/>
        <v>#N/A</v>
      </c>
    </row>
    <row r="34" spans="1:29" s="117" customFormat="1" ht="15">
      <c r="A34" s="473"/>
      <c r="B34" s="422" t="s">
        <v>2702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8"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2670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2572</v>
      </c>
      <c r="Q35" s="1813" t="str">
        <f t="shared" si="11"/>
        <v>市政基础设施</v>
      </c>
      <c r="R35" s="774" t="s">
        <v>17</v>
      </c>
      <c r="S35" s="775">
        <f t="shared" si="12"/>
        <v>100</v>
      </c>
      <c r="T35" s="774" t="s">
        <v>17</v>
      </c>
      <c r="U35" s="775">
        <f t="shared" si="13"/>
        <v>100</v>
      </c>
      <c r="V35" s="774" t="s">
        <v>17</v>
      </c>
      <c r="W35" s="775">
        <f t="shared" si="14"/>
        <v>100</v>
      </c>
      <c r="X35" s="1816"/>
      <c r="Y35" s="3207" t="s">
        <v>2572</v>
      </c>
      <c r="Z35" s="1817" t="str">
        <f t="shared" si="15"/>
        <v>市政基础设施</v>
      </c>
      <c r="AA35" s="1814">
        <f t="shared" si="3"/>
        <v>1</v>
      </c>
      <c r="AB35" s="1814">
        <f t="shared" si="4"/>
        <v>1</v>
      </c>
      <c r="AC35" s="1814">
        <f t="shared" si="5"/>
        <v>1</v>
      </c>
    </row>
    <row r="36" spans="1:29" ht="15">
      <c r="A36" s="472"/>
      <c r="B36" s="422" t="s">
        <v>2675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3" t="str">
        <f t="shared" si="11"/>
        <v>内部装修</v>
      </c>
      <c r="R36" s="774" t="s">
        <v>17</v>
      </c>
      <c r="S36" s="775">
        <f t="shared" si="12"/>
        <v>100</v>
      </c>
      <c r="T36" s="774" t="s">
        <v>17</v>
      </c>
      <c r="U36" s="775">
        <f t="shared" si="13"/>
        <v>100</v>
      </c>
      <c r="V36" s="774" t="s">
        <v>17</v>
      </c>
      <c r="W36" s="775">
        <f t="shared" si="14"/>
        <v>100</v>
      </c>
      <c r="X36" s="1816"/>
      <c r="Y36" s="3207"/>
      <c r="Z36" s="1817" t="str">
        <f t="shared" si="15"/>
        <v>内部装修</v>
      </c>
      <c r="AA36" s="1814">
        <f t="shared" si="3"/>
        <v>1</v>
      </c>
      <c r="AB36" s="1814">
        <f t="shared" si="4"/>
        <v>1</v>
      </c>
      <c r="AC36" s="1814">
        <f t="shared" si="5"/>
        <v>1</v>
      </c>
    </row>
    <row r="37" spans="1:29" ht="15">
      <c r="A37" s="472"/>
      <c r="B37" s="422" t="s">
        <v>2711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3" t="str">
        <f t="shared" si="11"/>
        <v>内部装修状况</v>
      </c>
      <c r="R37" s="774" t="s">
        <v>17</v>
      </c>
      <c r="S37" s="775">
        <f t="shared" si="12"/>
        <v>100</v>
      </c>
      <c r="T37" s="774" t="s">
        <v>17</v>
      </c>
      <c r="U37" s="775">
        <f t="shared" si="13"/>
        <v>100</v>
      </c>
      <c r="V37" s="774" t="s">
        <v>17</v>
      </c>
      <c r="W37" s="775">
        <f t="shared" si="14"/>
        <v>100</v>
      </c>
      <c r="X37" s="1816"/>
      <c r="Y37" s="32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3">
        <f t="shared" si="11"/>
        <v>111</v>
      </c>
      <c r="R39" s="774" t="s">
        <v>17</v>
      </c>
      <c r="S39" s="775">
        <f t="shared" si="12"/>
        <v>100</v>
      </c>
      <c r="T39" s="774" t="s">
        <v>17</v>
      </c>
      <c r="U39" s="775">
        <f t="shared" si="13"/>
        <v>100</v>
      </c>
      <c r="V39" s="774" t="s">
        <v>17</v>
      </c>
      <c r="W39" s="775">
        <f t="shared" si="14"/>
        <v>100</v>
      </c>
      <c r="X39" s="1816"/>
      <c r="Y39" s="320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3">
        <f t="shared" si="11"/>
        <v>111</v>
      </c>
      <c r="R40" s="774" t="s">
        <v>17</v>
      </c>
      <c r="S40" s="775">
        <f t="shared" si="12"/>
        <v>100</v>
      </c>
      <c r="T40" s="774" t="s">
        <v>17</v>
      </c>
      <c r="U40" s="775">
        <f t="shared" si="13"/>
        <v>100</v>
      </c>
      <c r="V40" s="774" t="s">
        <v>17</v>
      </c>
      <c r="W40" s="775">
        <f t="shared" si="14"/>
        <v>100</v>
      </c>
      <c r="X40" s="1816"/>
      <c r="Y40" s="3208"/>
      <c r="Z40" s="1817">
        <f t="shared" si="15"/>
        <v>111</v>
      </c>
      <c r="AA40" s="1814">
        <f t="shared" si="3"/>
        <v>1</v>
      </c>
      <c r="AB40" s="1814">
        <f t="shared" si="4"/>
        <v>1</v>
      </c>
      <c r="AC40" s="1814">
        <f t="shared" si="5"/>
        <v>1</v>
      </c>
    </row>
    <row r="41" spans="1:29" ht="15">
      <c r="A41" s="479" t="s">
        <v>2584</v>
      </c>
      <c r="B41" s="480"/>
      <c r="C41" s="1410" t="s">
        <v>1</v>
      </c>
      <c r="D41" s="1411"/>
      <c r="E41" s="1412"/>
      <c r="F41" s="1413"/>
      <c r="G41" s="1414"/>
      <c r="H41" s="1415"/>
      <c r="I41" s="1412"/>
      <c r="J41" s="1415"/>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2676</v>
      </c>
      <c r="B42" s="487"/>
      <c r="C42" s="1416" t="e">
        <f>R43</f>
        <v>#DIV/0!</v>
      </c>
      <c r="D42" s="1417"/>
      <c r="E42" s="1418" t="e">
        <f>R42</f>
        <v>#DIV/0!</v>
      </c>
      <c r="F42" s="1418"/>
      <c r="G42" s="1416" t="e">
        <f>T42</f>
        <v>#DIV/0!</v>
      </c>
      <c r="H42" s="1417"/>
      <c r="I42" s="1418" t="e">
        <f>V42</f>
        <v>#DIV/0!</v>
      </c>
      <c r="J42" s="1417"/>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2677</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2681</v>
      </c>
      <c r="B51" s="759"/>
      <c r="C51" s="764"/>
      <c r="D51" s="764"/>
      <c r="E51" s="764"/>
      <c r="F51" s="765"/>
      <c r="G51" s="765"/>
      <c r="H51" s="764"/>
      <c r="I51" s="764"/>
      <c r="J51" s="764"/>
      <c r="K51" s="1163"/>
      <c r="L51" s="1164"/>
      <c r="M51" s="1162"/>
      <c r="N51" s="1162"/>
      <c r="O51" s="1162"/>
      <c r="P51" s="503"/>
      <c r="Q51" s="504"/>
    </row>
    <row r="52" spans="1:17" s="508" customFormat="1" ht="15">
      <c r="A52" s="505" t="s">
        <v>2555</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2592</v>
      </c>
      <c r="B54" s="516"/>
      <c r="C54" s="517"/>
      <c r="D54" s="518"/>
      <c r="E54" s="518"/>
      <c r="F54" s="518"/>
      <c r="G54" s="518"/>
      <c r="H54" s="518"/>
      <c r="I54" s="518"/>
      <c r="J54" s="518"/>
      <c r="K54" s="518"/>
      <c r="L54" s="518"/>
      <c r="M54" s="519"/>
      <c r="N54" s="518"/>
      <c r="O54" s="520"/>
      <c r="P54" s="504"/>
      <c r="Q54" s="504"/>
    </row>
    <row r="55" spans="1:17" s="117" customFormat="1" ht="15">
      <c r="A55" s="521" t="s">
        <v>2557</v>
      </c>
      <c r="B55" s="510"/>
      <c r="C55" s="522" t="s">
        <v>2659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2595</v>
      </c>
      <c r="B57" s="528" t="s">
        <v>2561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2564</v>
      </c>
      <c r="C59" s="539" t="s">
        <v>2596</v>
      </c>
      <c r="D59" s="539" t="s">
        <v>2597</v>
      </c>
      <c r="E59" s="539" t="s">
        <v>2598</v>
      </c>
      <c r="F59" s="539" t="s">
        <v>2599</v>
      </c>
      <c r="G59" s="539" t="s">
        <v>2600</v>
      </c>
      <c r="H59" s="539" t="s">
        <v>2601</v>
      </c>
      <c r="I59" s="539" t="s">
        <v>2602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2566</v>
      </c>
      <c r="B70" s="528" t="s">
        <v>2712</v>
      </c>
      <c r="C70" s="573" t="s">
        <v>2604</v>
      </c>
      <c r="D70" s="573" t="s">
        <v>2605</v>
      </c>
      <c r="E70" s="573" t="s">
        <v>2606</v>
      </c>
      <c r="F70" s="573" t="s">
        <v>2607</v>
      </c>
      <c r="G70" s="573" t="s">
        <v>2608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2609</v>
      </c>
      <c r="C72" s="578" t="s">
        <v>2604</v>
      </c>
      <c r="D72" s="578" t="s">
        <v>2605</v>
      </c>
      <c r="E72" s="578" t="s">
        <v>2606</v>
      </c>
      <c r="F72" s="578" t="s">
        <v>2607</v>
      </c>
      <c r="G72" s="578" t="s">
        <v>2608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2610</v>
      </c>
      <c r="C74" s="578" t="s">
        <v>2604</v>
      </c>
      <c r="D74" s="578" t="s">
        <v>2605</v>
      </c>
      <c r="E74" s="578" t="s">
        <v>2606</v>
      </c>
      <c r="F74" s="578" t="s">
        <v>2607</v>
      </c>
      <c r="G74" s="578" t="s">
        <v>2608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2696</v>
      </c>
      <c r="C76" s="660" t="s">
        <v>2682</v>
      </c>
      <c r="D76" s="660" t="s">
        <v>2683</v>
      </c>
      <c r="E76" s="660" t="s">
        <v>2684</v>
      </c>
      <c r="F76" s="660" t="s">
        <v>2685</v>
      </c>
      <c r="G76" s="660" t="s">
        <v>2686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2705</v>
      </c>
      <c r="C78" s="578" t="s">
        <v>2604</v>
      </c>
      <c r="D78" s="578" t="s">
        <v>2605</v>
      </c>
      <c r="E78" s="578" t="s">
        <v>2606</v>
      </c>
      <c r="F78" s="578" t="s">
        <v>2607</v>
      </c>
      <c r="G78" s="578" t="s">
        <v>2608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2570</v>
      </c>
      <c r="B88" s="528" t="s">
        <v>2619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2620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2713</v>
      </c>
      <c r="C106" s="578" t="s">
        <v>2604</v>
      </c>
      <c r="D106" s="578" t="s">
        <v>2605</v>
      </c>
      <c r="E106" s="578" t="s">
        <v>2606</v>
      </c>
      <c r="F106" s="578" t="s">
        <v>2607</v>
      </c>
      <c r="G106" s="578" t="s">
        <v>2608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18">
      <c r="A7" s="195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954" t="s">
        <v>1614</v>
      </c>
    </row>
    <row r="9" spans="1:1" ht="18.75">
      <c r="A9" s="1953" t="s">
        <v>1615</v>
      </c>
    </row>
    <row r="10" spans="1:1" ht="18">
      <c r="A10" s="195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2018年7月26日</v>
      </c>
    </row>
    <row r="16" spans="1:1" ht="18.75">
      <c r="A16" s="1956" t="s">
        <v>1619</v>
      </c>
    </row>
    <row r="17" spans="1:1" ht="75">
      <c r="A17" s="1951" t="s">
        <v>1620</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25"/>
      <c r="F1" s="2591"/>
      <c r="G1" s="1626" t="s">
        <v>2650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2334</v>
      </c>
      <c r="B2" s="1421" t="e">
        <f ca="1">IF(C2="——",IF(B37="元/平方米",ROUND(C39*D3/10000,0),ROUND(F3*C39/10000,0)),IF(B37="元/平方米",ROUND(C39*D3/10000,0),ROUND(F3*C39/10000,0))-D2)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2651</v>
      </c>
      <c r="D3" s="399">
        <f>SUMIF('数据-汇总表'!$C19:$C33,D1,'数据-汇总表'!$E19:$E33)</f>
        <v>0</v>
      </c>
      <c r="E3" s="400" t="s">
        <v>2715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2556</v>
      </c>
      <c r="Q7" s="3196"/>
      <c r="R7" s="770" t="s">
        <v>17</v>
      </c>
      <c r="S7" s="771">
        <f t="shared" ref="S7:S14" si="0">F7</f>
        <v>0</v>
      </c>
      <c r="T7" s="770" t="s">
        <v>17</v>
      </c>
      <c r="U7" s="771">
        <f t="shared" ref="U7:U14" si="1">H7</f>
        <v>0</v>
      </c>
      <c r="V7" s="770" t="s">
        <v>17</v>
      </c>
      <c r="W7" s="771">
        <f t="shared" ref="W7:W14" si="2">J7</f>
        <v>0</v>
      </c>
      <c r="X7" s="772"/>
      <c r="Y7" s="3168" t="s">
        <v>2556</v>
      </c>
      <c r="Z7" s="3169"/>
      <c r="AA7" s="773" t="e">
        <f>D7/F7</f>
        <v>#DIV/0!</v>
      </c>
      <c r="AB7" s="773" t="e">
        <f>D7/H7</f>
        <v>#DIV/0!</v>
      </c>
      <c r="AC7" s="773" t="e">
        <f>D7/J7</f>
        <v>#DIV/0!</v>
      </c>
    </row>
    <row r="8" spans="1:29" s="117" customFormat="1" ht="15.75" thickBot="1">
      <c r="A8" s="408" t="s">
        <v>2557</v>
      </c>
      <c r="B8" s="409"/>
      <c r="C8" s="414" t="s">
        <v>2659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36" si="3">D8/F8</f>
        <v>#DIV/0!</v>
      </c>
      <c r="AB8" s="773" t="e">
        <f t="shared" ref="AB8:AB36" si="4">D8/H8</f>
        <v>#DIV/0!</v>
      </c>
      <c r="AC8" s="773" t="e">
        <f t="shared" ref="AC8:AC36" si="5">D8/J8</f>
        <v>#DIV/0!</v>
      </c>
    </row>
    <row r="9" spans="1:29" s="117" customFormat="1">
      <c r="A9" s="68" t="s">
        <v>2560</v>
      </c>
      <c r="B9" s="640" t="s">
        <v>2561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2562</v>
      </c>
      <c r="Q9" s="1798" t="str">
        <f t="shared" ref="Q9:Q14" si="6">B9</f>
        <v>用途</v>
      </c>
      <c r="R9" s="770" t="s">
        <v>17</v>
      </c>
      <c r="S9" s="771">
        <f t="shared" si="0"/>
        <v>100</v>
      </c>
      <c r="T9" s="770" t="s">
        <v>17</v>
      </c>
      <c r="U9" s="771">
        <f t="shared" si="1"/>
        <v>100</v>
      </c>
      <c r="V9" s="770" t="s">
        <v>17</v>
      </c>
      <c r="W9" s="771">
        <f t="shared" si="2"/>
        <v>100</v>
      </c>
      <c r="X9" s="772"/>
      <c r="Y9" s="3015" t="s">
        <v>2563</v>
      </c>
      <c r="Z9" s="55" t="str">
        <f t="shared" ref="Z9:Z14" si="7">Q9</f>
        <v>用途</v>
      </c>
      <c r="AA9" s="773">
        <f t="shared" si="3"/>
        <v>1</v>
      </c>
      <c r="AB9" s="773">
        <f t="shared" si="4"/>
        <v>1</v>
      </c>
      <c r="AC9" s="773">
        <f t="shared" si="5"/>
        <v>1</v>
      </c>
    </row>
    <row r="10" spans="1:29" s="427" customFormat="1" ht="27">
      <c r="A10" s="641"/>
      <c r="B10" s="642" t="s">
        <v>2564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2566</v>
      </c>
      <c r="B14" s="629" t="s">
        <v>2716</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2567</v>
      </c>
      <c r="Q14" s="1813" t="str">
        <f t="shared" si="6"/>
        <v>交通便捷度</v>
      </c>
      <c r="R14" s="774" t="s">
        <v>17</v>
      </c>
      <c r="S14" s="775">
        <f t="shared" si="0"/>
        <v>100</v>
      </c>
      <c r="T14" s="774" t="s">
        <v>17</v>
      </c>
      <c r="U14" s="775">
        <f t="shared" si="1"/>
        <v>100</v>
      </c>
      <c r="V14" s="774" t="s">
        <v>17</v>
      </c>
      <c r="W14" s="775">
        <f t="shared" si="2"/>
        <v>100</v>
      </c>
      <c r="X14" s="1816"/>
      <c r="Y14" s="3202" t="s">
        <v>2567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3"/>
      <c r="Q15" s="1813"/>
      <c r="R15" s="774"/>
      <c r="S15" s="775"/>
      <c r="T15" s="774"/>
      <c r="U15" s="775"/>
      <c r="V15" s="774"/>
      <c r="W15" s="775"/>
      <c r="X15" s="1816"/>
      <c r="Y15" s="3203"/>
      <c r="Z15" s="1817"/>
      <c r="AA15" s="1814">
        <v>1</v>
      </c>
      <c r="AB15" s="1814">
        <v>1</v>
      </c>
      <c r="AC15" s="1814">
        <v>1</v>
      </c>
    </row>
    <row r="16" spans="1:29" ht="42.75">
      <c r="A16" s="404"/>
      <c r="B16" s="631" t="s">
        <v>2695</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3"/>
      <c r="Q17" s="1813"/>
      <c r="R17" s="774"/>
      <c r="S17" s="775"/>
      <c r="T17" s="774"/>
      <c r="U17" s="775"/>
      <c r="V17" s="774"/>
      <c r="W17" s="775"/>
      <c r="X17" s="1816"/>
      <c r="Y17" s="3203"/>
      <c r="Z17" s="1817"/>
      <c r="AA17" s="1814">
        <v>1</v>
      </c>
      <c r="AB17" s="1814">
        <v>1</v>
      </c>
      <c r="AC17" s="1814">
        <v>1</v>
      </c>
    </row>
    <row r="18" spans="1:29" ht="28.5">
      <c r="A18" s="404"/>
      <c r="B18" s="633" t="s">
        <v>2696</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3"/>
      <c r="Q19" s="1813"/>
      <c r="R19" s="774"/>
      <c r="S19" s="775"/>
      <c r="T19" s="774"/>
      <c r="U19" s="775"/>
      <c r="V19" s="774"/>
      <c r="W19" s="775"/>
      <c r="X19" s="1816"/>
      <c r="Y19" s="3203"/>
      <c r="Z19" s="1817"/>
      <c r="AA19" s="1814">
        <v>1</v>
      </c>
      <c r="AB19" s="1814">
        <v>1</v>
      </c>
      <c r="AC19" s="1814">
        <v>1</v>
      </c>
    </row>
    <row r="20" spans="1:29" ht="57">
      <c r="A20" s="404"/>
      <c r="B20" s="631" t="s">
        <v>2717</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3"/>
      <c r="Q21" s="1813"/>
      <c r="R21" s="774"/>
      <c r="S21" s="775"/>
      <c r="T21" s="774"/>
      <c r="U21" s="775"/>
      <c r="V21" s="774"/>
      <c r="W21" s="775"/>
      <c r="X21" s="1816"/>
      <c r="Y21" s="3203"/>
      <c r="Z21" s="1817"/>
      <c r="AA21" s="1814">
        <v>1</v>
      </c>
      <c r="AB21" s="1814">
        <v>1</v>
      </c>
      <c r="AC21" s="1814">
        <v>1</v>
      </c>
    </row>
    <row r="22" spans="1:29" ht="15">
      <c r="A22" s="404"/>
      <c r="B22" s="631" t="s">
        <v>2718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3">
        <f t="shared" ref="Q24:Q36"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29.25">
      <c r="A26" s="652" t="s">
        <v>2570</v>
      </c>
      <c r="B26" s="70" t="s">
        <v>2719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2572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7" t="s">
        <v>2572</v>
      </c>
      <c r="Z26" s="1817" t="str">
        <f t="shared" ref="Z26:Z36" si="15">Q26</f>
        <v>配套类型</v>
      </c>
      <c r="AA26" s="1814">
        <f t="shared" si="3"/>
        <v>1</v>
      </c>
      <c r="AB26" s="1814">
        <f t="shared" si="4"/>
        <v>1</v>
      </c>
      <c r="AC26" s="1814">
        <f t="shared" si="5"/>
        <v>1</v>
      </c>
    </row>
    <row r="27" spans="1:29" s="471" customFormat="1" ht="15">
      <c r="A27" s="653"/>
      <c r="B27" s="654" t="s">
        <v>2720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4">
        <f t="shared" si="3"/>
        <v>1</v>
      </c>
      <c r="AB27" s="1814">
        <f t="shared" si="4"/>
        <v>1</v>
      </c>
      <c r="AC27" s="1814">
        <f t="shared" si="5"/>
        <v>1</v>
      </c>
    </row>
    <row r="28" spans="1:29" ht="15">
      <c r="A28" s="656"/>
      <c r="B28" s="654" t="s">
        <v>2721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3" t="str">
        <f t="shared" si="11"/>
        <v>公共部分装修</v>
      </c>
      <c r="R28" s="774" t="s">
        <v>17</v>
      </c>
      <c r="S28" s="775">
        <f t="shared" si="12"/>
        <v>100</v>
      </c>
      <c r="T28" s="774" t="s">
        <v>17</v>
      </c>
      <c r="U28" s="775">
        <f t="shared" si="13"/>
        <v>100</v>
      </c>
      <c r="V28" s="774" t="s">
        <v>17</v>
      </c>
      <c r="W28" s="775">
        <f t="shared" si="14"/>
        <v>100</v>
      </c>
      <c r="X28" s="1816"/>
      <c r="Y28" s="3207"/>
      <c r="Z28" s="1817" t="str">
        <f t="shared" si="15"/>
        <v>公共部分装修</v>
      </c>
      <c r="AA28" s="1814">
        <f t="shared" si="3"/>
        <v>1</v>
      </c>
      <c r="AB28" s="1814">
        <f t="shared" si="4"/>
        <v>1</v>
      </c>
      <c r="AC28" s="1814">
        <f t="shared" si="5"/>
        <v>1</v>
      </c>
    </row>
    <row r="29" spans="1:29" ht="15">
      <c r="A29" s="656"/>
      <c r="B29" s="654" t="s">
        <v>2722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3" t="str">
        <f t="shared" si="11"/>
        <v>成新率</v>
      </c>
      <c r="R29" s="774" t="s">
        <v>17</v>
      </c>
      <c r="S29" s="775" t="e">
        <f t="shared" si="12"/>
        <v>#N/A</v>
      </c>
      <c r="T29" s="774" t="s">
        <v>17</v>
      </c>
      <c r="U29" s="775" t="e">
        <f t="shared" si="13"/>
        <v>#N/A</v>
      </c>
      <c r="V29" s="774" t="s">
        <v>17</v>
      </c>
      <c r="W29" s="775" t="e">
        <f t="shared" si="14"/>
        <v>#N/A</v>
      </c>
      <c r="X29" s="1816"/>
      <c r="Y29" s="3207"/>
      <c r="Z29" s="1817" t="str">
        <f t="shared" si="15"/>
        <v>成新率</v>
      </c>
      <c r="AA29" s="1814" t="e">
        <f t="shared" si="3"/>
        <v>#N/A</v>
      </c>
      <c r="AB29" s="1814" t="e">
        <f t="shared" si="4"/>
        <v>#N/A</v>
      </c>
      <c r="AC29" s="1814" t="e">
        <f t="shared" si="5"/>
        <v>#N/A</v>
      </c>
    </row>
    <row r="30" spans="1:29" ht="15">
      <c r="A30" s="656"/>
      <c r="B30" s="654" t="s">
        <v>2723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3" t="str">
        <f t="shared" si="11"/>
        <v>物业等级</v>
      </c>
      <c r="R30" s="774" t="s">
        <v>17</v>
      </c>
      <c r="S30" s="775">
        <f t="shared" si="12"/>
        <v>100</v>
      </c>
      <c r="T30" s="774" t="s">
        <v>17</v>
      </c>
      <c r="U30" s="775">
        <f t="shared" si="13"/>
        <v>100</v>
      </c>
      <c r="V30" s="774" t="s">
        <v>17</v>
      </c>
      <c r="W30" s="775">
        <f t="shared" si="14"/>
        <v>100</v>
      </c>
      <c r="X30" s="1816"/>
      <c r="Y30" s="3207"/>
      <c r="Z30" s="1817" t="str">
        <f t="shared" si="15"/>
        <v>物业等级</v>
      </c>
      <c r="AA30" s="1814">
        <f t="shared" si="3"/>
        <v>1</v>
      </c>
      <c r="AB30" s="1814">
        <f t="shared" si="4"/>
        <v>1</v>
      </c>
      <c r="AC30" s="1814">
        <f t="shared" si="5"/>
        <v>1</v>
      </c>
    </row>
    <row r="31" spans="1:29" s="117" customFormat="1" ht="15">
      <c r="A31" s="658"/>
      <c r="B31" s="654" t="s">
        <v>2724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8"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2725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2572</v>
      </c>
      <c r="Q32" s="1813" t="str">
        <f t="shared" si="11"/>
        <v>车位类型</v>
      </c>
      <c r="R32" s="774" t="s">
        <v>17</v>
      </c>
      <c r="S32" s="775">
        <f t="shared" si="12"/>
        <v>100</v>
      </c>
      <c r="T32" s="774" t="s">
        <v>17</v>
      </c>
      <c r="U32" s="775">
        <f t="shared" si="13"/>
        <v>100</v>
      </c>
      <c r="V32" s="774" t="s">
        <v>17</v>
      </c>
      <c r="W32" s="775">
        <f t="shared" si="14"/>
        <v>100</v>
      </c>
      <c r="X32" s="1816"/>
      <c r="Y32" s="3207" t="s">
        <v>2572</v>
      </c>
      <c r="Z32" s="1817" t="str">
        <f t="shared" si="15"/>
        <v>车位类型</v>
      </c>
      <c r="AA32" s="1814">
        <f t="shared" si="3"/>
        <v>1</v>
      </c>
      <c r="AB32" s="1814">
        <f t="shared" si="4"/>
        <v>1</v>
      </c>
      <c r="AC32" s="1814">
        <f t="shared" si="5"/>
        <v>1</v>
      </c>
    </row>
    <row r="33" spans="1:29" ht="15">
      <c r="A33" s="656"/>
      <c r="B33" s="654" t="s">
        <v>2726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3" t="str">
        <f t="shared" si="11"/>
        <v>是否直接入户</v>
      </c>
      <c r="R33" s="774" t="s">
        <v>17</v>
      </c>
      <c r="S33" s="775">
        <f t="shared" si="12"/>
        <v>100</v>
      </c>
      <c r="T33" s="774" t="s">
        <v>17</v>
      </c>
      <c r="U33" s="775">
        <f t="shared" si="13"/>
        <v>100</v>
      </c>
      <c r="V33" s="774" t="s">
        <v>17</v>
      </c>
      <c r="W33" s="775">
        <f t="shared" si="14"/>
        <v>100</v>
      </c>
      <c r="X33" s="1816"/>
      <c r="Y33" s="32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3">
        <f t="shared" si="11"/>
        <v>111</v>
      </c>
      <c r="R36" s="774" t="s">
        <v>17</v>
      </c>
      <c r="S36" s="775">
        <f t="shared" si="12"/>
        <v>100</v>
      </c>
      <c r="T36" s="774" t="s">
        <v>17</v>
      </c>
      <c r="U36" s="775">
        <f t="shared" si="13"/>
        <v>100</v>
      </c>
      <c r="V36" s="774" t="s">
        <v>17</v>
      </c>
      <c r="W36" s="775">
        <f t="shared" si="14"/>
        <v>100</v>
      </c>
      <c r="X36" s="1816"/>
      <c r="Y36" s="3207"/>
      <c r="Z36" s="1817">
        <f t="shared" si="15"/>
        <v>111</v>
      </c>
      <c r="AA36" s="1814">
        <f t="shared" si="3"/>
        <v>1</v>
      </c>
      <c r="AB36" s="1814">
        <f t="shared" si="4"/>
        <v>1</v>
      </c>
      <c r="AC36" s="1814">
        <f t="shared" si="5"/>
        <v>1</v>
      </c>
    </row>
    <row r="37" spans="1:29" ht="15">
      <c r="A37" s="479" t="s">
        <v>2727</v>
      </c>
      <c r="B37" s="2702" t="s">
        <v>2728</v>
      </c>
      <c r="C37" s="1410" t="s">
        <v>1</v>
      </c>
      <c r="D37" s="1411"/>
      <c r="E37" s="1412"/>
      <c r="F37" s="1413"/>
      <c r="G37" s="1414"/>
      <c r="H37" s="1415"/>
      <c r="I37" s="1412"/>
      <c r="J37" s="1415"/>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2729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2730</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2735</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2557</v>
      </c>
      <c r="B51" s="510"/>
      <c r="C51" s="522" t="s">
        <v>2659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2595</v>
      </c>
      <c r="B53" s="528" t="s">
        <v>2561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2564</v>
      </c>
      <c r="C55" s="539" t="s">
        <v>2596</v>
      </c>
      <c r="D55" s="539" t="s">
        <v>2597</v>
      </c>
      <c r="E55" s="539" t="s">
        <v>2598</v>
      </c>
      <c r="F55" s="539" t="s">
        <v>2599</v>
      </c>
      <c r="G55" s="539" t="s">
        <v>2600</v>
      </c>
      <c r="H55" s="539" t="s">
        <v>2601</v>
      </c>
      <c r="I55" s="539" t="s">
        <v>2602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2566</v>
      </c>
      <c r="B63" s="528" t="s">
        <v>2609</v>
      </c>
      <c r="C63" s="573" t="s">
        <v>2604</v>
      </c>
      <c r="D63" s="573" t="s">
        <v>2605</v>
      </c>
      <c r="E63" s="573" t="s">
        <v>2606</v>
      </c>
      <c r="F63" s="573" t="s">
        <v>2607</v>
      </c>
      <c r="G63" s="573" t="s">
        <v>2608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2610</v>
      </c>
      <c r="C65" s="578" t="s">
        <v>2604</v>
      </c>
      <c r="D65" s="578" t="s">
        <v>2605</v>
      </c>
      <c r="E65" s="578" t="s">
        <v>2606</v>
      </c>
      <c r="F65" s="578" t="s">
        <v>2607</v>
      </c>
      <c r="G65" s="578" t="s">
        <v>2608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2696</v>
      </c>
      <c r="C67" s="660" t="s">
        <v>2682</v>
      </c>
      <c r="D67" s="660" t="s">
        <v>2683</v>
      </c>
      <c r="E67" s="660" t="s">
        <v>2684</v>
      </c>
      <c r="F67" s="660" t="s">
        <v>2685</v>
      </c>
      <c r="G67" s="660" t="s">
        <v>2686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2616</v>
      </c>
      <c r="C69" s="578" t="s">
        <v>2604</v>
      </c>
      <c r="D69" s="578" t="s">
        <v>2605</v>
      </c>
      <c r="E69" s="578" t="s">
        <v>2606</v>
      </c>
      <c r="F69" s="578" t="s">
        <v>2607</v>
      </c>
      <c r="G69" s="578" t="s">
        <v>2608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2570</v>
      </c>
      <c r="B79" s="528" t="s">
        <v>2737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2740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IF(C2="——",ROUND(C37*D3/10000,0),ROUND(C37*D3/10000,0)-D2)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2651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43307</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68" t="s">
        <v>2556</v>
      </c>
      <c r="Q7" s="3196"/>
      <c r="R7" s="770" t="s">
        <v>17</v>
      </c>
      <c r="S7" s="771">
        <f t="shared" ref="S7:S14" si="0">F7</f>
        <v>0</v>
      </c>
      <c r="T7" s="770" t="s">
        <v>17</v>
      </c>
      <c r="U7" s="771">
        <f t="shared" ref="U7:U14" si="1">H7</f>
        <v>0</v>
      </c>
      <c r="V7" s="770" t="s">
        <v>17</v>
      </c>
      <c r="W7" s="771">
        <f t="shared" ref="W7:W14" si="2">J7</f>
        <v>0</v>
      </c>
      <c r="X7" s="772"/>
      <c r="Y7" s="3168" t="s">
        <v>2556</v>
      </c>
      <c r="Z7" s="3169"/>
      <c r="AA7" s="773" t="e">
        <f>D7/F7</f>
        <v>#DIV/0!</v>
      </c>
      <c r="AB7" s="773" t="e">
        <f>D7/H7</f>
        <v>#DIV/0!</v>
      </c>
      <c r="AC7" s="773" t="e">
        <f>D7/J7</f>
        <v>#DIV/0!</v>
      </c>
    </row>
    <row r="8" spans="1:29" s="117" customFormat="1" ht="15.75" thickBot="1">
      <c r="A8" s="408" t="s">
        <v>2557</v>
      </c>
      <c r="B8" s="409"/>
      <c r="C8" s="414" t="s">
        <v>2659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34" si="3">D8/F8</f>
        <v>#DIV/0!</v>
      </c>
      <c r="AB8" s="773" t="e">
        <f t="shared" ref="AB8:AB34" si="4">D8/H8</f>
        <v>#DIV/0!</v>
      </c>
      <c r="AC8" s="773" t="e">
        <f t="shared" ref="AC8:AC34" si="5">D8/J8</f>
        <v>#DIV/0!</v>
      </c>
    </row>
    <row r="9" spans="1:29" s="117" customFormat="1">
      <c r="A9" s="415" t="s">
        <v>2560</v>
      </c>
      <c r="B9" s="71" t="s">
        <v>2561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2562</v>
      </c>
      <c r="Q9" s="1798" t="str">
        <f t="shared" ref="Q9:Q14" si="6">B9</f>
        <v>用途</v>
      </c>
      <c r="R9" s="770" t="s">
        <v>17</v>
      </c>
      <c r="S9" s="771">
        <f t="shared" si="0"/>
        <v>100</v>
      </c>
      <c r="T9" s="770" t="s">
        <v>17</v>
      </c>
      <c r="U9" s="771">
        <f t="shared" si="1"/>
        <v>100</v>
      </c>
      <c r="V9" s="770" t="s">
        <v>17</v>
      </c>
      <c r="W9" s="771">
        <f t="shared" si="2"/>
        <v>100</v>
      </c>
      <c r="X9" s="772"/>
      <c r="Y9" s="3015" t="s">
        <v>2563</v>
      </c>
      <c r="Z9" s="55" t="str">
        <f t="shared" ref="Z9:Z14" si="7">Q9</f>
        <v>用途</v>
      </c>
      <c r="AA9" s="773">
        <f t="shared" si="3"/>
        <v>1</v>
      </c>
      <c r="AB9" s="773">
        <f t="shared" si="4"/>
        <v>1</v>
      </c>
      <c r="AC9" s="773">
        <f t="shared" si="5"/>
        <v>1</v>
      </c>
    </row>
    <row r="10" spans="1:29" s="427" customFormat="1" ht="27">
      <c r="A10" s="421"/>
      <c r="B10" s="422" t="s">
        <v>2564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2566</v>
      </c>
      <c r="B14" s="69" t="s">
        <v>2716</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2567</v>
      </c>
      <c r="Q14" s="1813" t="str">
        <f t="shared" si="6"/>
        <v>交通便捷度</v>
      </c>
      <c r="R14" s="774" t="s">
        <v>17</v>
      </c>
      <c r="S14" s="775">
        <f t="shared" si="0"/>
        <v>100</v>
      </c>
      <c r="T14" s="774" t="s">
        <v>17</v>
      </c>
      <c r="U14" s="775">
        <f t="shared" si="1"/>
        <v>100</v>
      </c>
      <c r="V14" s="774" t="s">
        <v>17</v>
      </c>
      <c r="W14" s="775">
        <f t="shared" si="2"/>
        <v>100</v>
      </c>
      <c r="X14" s="1816"/>
      <c r="Y14" s="3202" t="s">
        <v>2567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3"/>
      <c r="Q15" s="1813"/>
      <c r="R15" s="774"/>
      <c r="S15" s="775"/>
      <c r="T15" s="774"/>
      <c r="U15" s="775"/>
      <c r="V15" s="774"/>
      <c r="W15" s="775"/>
      <c r="X15" s="1816"/>
      <c r="Y15" s="3203"/>
      <c r="Z15" s="1817"/>
      <c r="AA15" s="1814">
        <v>1</v>
      </c>
      <c r="AB15" s="1814">
        <v>1</v>
      </c>
      <c r="AC15" s="1814">
        <v>1</v>
      </c>
    </row>
    <row r="16" spans="1:29" ht="42.75">
      <c r="A16" s="428"/>
      <c r="B16" s="451" t="s">
        <v>2695</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3"/>
      <c r="Q17" s="1813"/>
      <c r="R17" s="774"/>
      <c r="S17" s="775"/>
      <c r="T17" s="774"/>
      <c r="U17" s="775"/>
      <c r="V17" s="774"/>
      <c r="W17" s="775"/>
      <c r="X17" s="1816"/>
      <c r="Y17" s="3203"/>
      <c r="Z17" s="1817"/>
      <c r="AA17" s="1814">
        <v>1</v>
      </c>
      <c r="AB17" s="1814">
        <v>1</v>
      </c>
      <c r="AC17" s="1814">
        <v>1</v>
      </c>
    </row>
    <row r="18" spans="1:29" ht="28.5">
      <c r="A18" s="428"/>
      <c r="B18" s="1387" t="s">
        <v>2696</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3"/>
      <c r="Q19" s="1813"/>
      <c r="R19" s="774"/>
      <c r="S19" s="775"/>
      <c r="T19" s="774"/>
      <c r="U19" s="775"/>
      <c r="V19" s="774"/>
      <c r="W19" s="775"/>
      <c r="X19" s="1816"/>
      <c r="Y19" s="3203"/>
      <c r="Z19" s="1817"/>
      <c r="AA19" s="1814">
        <v>1</v>
      </c>
      <c r="AB19" s="1814">
        <v>1</v>
      </c>
      <c r="AC19" s="1814">
        <v>1</v>
      </c>
    </row>
    <row r="20" spans="1:29" ht="57">
      <c r="A20" s="428"/>
      <c r="B20" s="451" t="s">
        <v>2717</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3"/>
      <c r="Q21" s="1813"/>
      <c r="R21" s="774"/>
      <c r="S21" s="775"/>
      <c r="T21" s="774"/>
      <c r="U21" s="775"/>
      <c r="V21" s="774"/>
      <c r="W21" s="775"/>
      <c r="X21" s="1816"/>
      <c r="Y21" s="3203"/>
      <c r="Z21" s="1817"/>
      <c r="AA21" s="1814">
        <v>1</v>
      </c>
      <c r="AB21" s="1814">
        <v>1</v>
      </c>
      <c r="AC21" s="1814">
        <v>1</v>
      </c>
    </row>
    <row r="22" spans="1:29" ht="15">
      <c r="A22" s="428"/>
      <c r="B22" s="451" t="s">
        <v>2718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3">
        <f t="shared" ref="Q24:Q34"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29.25">
      <c r="A26" s="466" t="s">
        <v>2570</v>
      </c>
      <c r="B26" s="71" t="s">
        <v>2721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6" t="s">
        <v>2572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7" t="s">
        <v>2572</v>
      </c>
      <c r="Z26" s="1817" t="str">
        <f t="shared" ref="Z26:Z34" si="15">Q26</f>
        <v>公共部分装修</v>
      </c>
      <c r="AA26" s="1814">
        <f t="shared" si="3"/>
        <v>1</v>
      </c>
      <c r="AB26" s="1814">
        <f t="shared" si="4"/>
        <v>1</v>
      </c>
      <c r="AC26" s="1814">
        <f t="shared" si="5"/>
        <v>1</v>
      </c>
    </row>
    <row r="27" spans="1:29" s="471" customFormat="1" ht="15">
      <c r="A27" s="468"/>
      <c r="B27" s="422" t="s">
        <v>2722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4" t="e">
        <f t="shared" si="3"/>
        <v>#N/A</v>
      </c>
      <c r="AB27" s="1814" t="e">
        <f t="shared" si="4"/>
        <v>#N/A</v>
      </c>
      <c r="AC27" s="1814" t="e">
        <f t="shared" si="5"/>
        <v>#N/A</v>
      </c>
    </row>
    <row r="28" spans="1:29" ht="15">
      <c r="A28" s="472"/>
      <c r="B28" s="422" t="s">
        <v>2723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3" t="str">
        <f t="shared" si="11"/>
        <v>物业等级</v>
      </c>
      <c r="R28" s="774" t="s">
        <v>17</v>
      </c>
      <c r="S28" s="775">
        <f t="shared" si="12"/>
        <v>100</v>
      </c>
      <c r="T28" s="774" t="s">
        <v>17</v>
      </c>
      <c r="U28" s="775">
        <f t="shared" si="13"/>
        <v>100</v>
      </c>
      <c r="V28" s="774" t="s">
        <v>17</v>
      </c>
      <c r="W28" s="775">
        <f t="shared" si="14"/>
        <v>100</v>
      </c>
      <c r="X28" s="1816"/>
      <c r="Y28" s="3207"/>
      <c r="Z28" s="1817" t="str">
        <f t="shared" si="15"/>
        <v>物业等级</v>
      </c>
      <c r="AA28" s="1814">
        <f t="shared" si="3"/>
        <v>1</v>
      </c>
      <c r="AB28" s="1814">
        <f t="shared" si="4"/>
        <v>1</v>
      </c>
      <c r="AC28" s="1814">
        <f t="shared" si="5"/>
        <v>1</v>
      </c>
    </row>
    <row r="29" spans="1:29" ht="15">
      <c r="A29" s="472"/>
      <c r="B29" s="422" t="s">
        <v>2744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3" t="str">
        <f t="shared" si="11"/>
        <v>有无电梯</v>
      </c>
      <c r="R29" s="774" t="s">
        <v>17</v>
      </c>
      <c r="S29" s="775">
        <f t="shared" si="12"/>
        <v>100</v>
      </c>
      <c r="T29" s="774" t="s">
        <v>17</v>
      </c>
      <c r="U29" s="775">
        <f t="shared" si="13"/>
        <v>100</v>
      </c>
      <c r="V29" s="774" t="s">
        <v>17</v>
      </c>
      <c r="W29" s="775">
        <f t="shared" si="14"/>
        <v>100</v>
      </c>
      <c r="X29" s="1816"/>
      <c r="Y29" s="3207"/>
      <c r="Z29" s="1817" t="str">
        <f t="shared" si="15"/>
        <v>有无电梯</v>
      </c>
      <c r="AA29" s="1814">
        <f t="shared" si="3"/>
        <v>1</v>
      </c>
      <c r="AB29" s="1814">
        <f t="shared" si="4"/>
        <v>1</v>
      </c>
      <c r="AC29" s="1814">
        <f t="shared" si="5"/>
        <v>1</v>
      </c>
    </row>
    <row r="30" spans="1:29" ht="15">
      <c r="A30" s="472"/>
      <c r="B30" s="422" t="s">
        <v>2745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3" t="str">
        <f t="shared" si="11"/>
        <v>建筑面积</v>
      </c>
      <c r="R30" s="774" t="s">
        <v>17</v>
      </c>
      <c r="S30" s="775" t="e">
        <f t="shared" si="12"/>
        <v>#N/A</v>
      </c>
      <c r="T30" s="774" t="s">
        <v>17</v>
      </c>
      <c r="U30" s="775" t="e">
        <f t="shared" si="13"/>
        <v>#N/A</v>
      </c>
      <c r="V30" s="774" t="s">
        <v>17</v>
      </c>
      <c r="W30" s="775" t="e">
        <f t="shared" si="14"/>
        <v>#N/A</v>
      </c>
      <c r="X30" s="1816"/>
      <c r="Y30" s="3207"/>
      <c r="Z30" s="1817" t="str">
        <f t="shared" si="15"/>
        <v>建筑面积</v>
      </c>
      <c r="AA30" s="1814" t="e">
        <f t="shared" si="3"/>
        <v>#N/A</v>
      </c>
      <c r="AB30" s="1814" t="e">
        <f t="shared" si="4"/>
        <v>#N/A</v>
      </c>
      <c r="AC30" s="1814" t="e">
        <f t="shared" si="5"/>
        <v>#N/A</v>
      </c>
    </row>
    <row r="31" spans="1:29" s="117" customFormat="1" ht="15">
      <c r="A31" s="473"/>
      <c r="B31" s="422" t="s">
        <v>2746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8"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2572</v>
      </c>
      <c r="Q32" s="1813">
        <f t="shared" si="11"/>
        <v>111</v>
      </c>
      <c r="R32" s="774" t="s">
        <v>17</v>
      </c>
      <c r="S32" s="775">
        <f t="shared" si="12"/>
        <v>100</v>
      </c>
      <c r="T32" s="774" t="s">
        <v>17</v>
      </c>
      <c r="U32" s="775">
        <f t="shared" si="13"/>
        <v>100</v>
      </c>
      <c r="V32" s="774" t="s">
        <v>17</v>
      </c>
      <c r="W32" s="775">
        <f t="shared" si="14"/>
        <v>100</v>
      </c>
      <c r="X32" s="1816"/>
      <c r="Y32" s="3207" t="s">
        <v>2572</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3">
        <f t="shared" si="11"/>
        <v>111</v>
      </c>
      <c r="R33" s="774" t="s">
        <v>17</v>
      </c>
      <c r="S33" s="775">
        <f t="shared" si="12"/>
        <v>100</v>
      </c>
      <c r="T33" s="774" t="s">
        <v>17</v>
      </c>
      <c r="U33" s="775">
        <f t="shared" si="13"/>
        <v>100</v>
      </c>
      <c r="V33" s="774" t="s">
        <v>17</v>
      </c>
      <c r="W33" s="775">
        <f t="shared" si="14"/>
        <v>100</v>
      </c>
      <c r="X33" s="1816"/>
      <c r="Y33" s="320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ht="15">
      <c r="A35" s="479" t="s">
        <v>2584</v>
      </c>
      <c r="B35" s="480"/>
      <c r="C35" s="1410" t="s">
        <v>1</v>
      </c>
      <c r="D35" s="1411"/>
      <c r="E35" s="1412"/>
      <c r="F35" s="1413"/>
      <c r="G35" s="1414"/>
      <c r="H35" s="1415"/>
      <c r="I35" s="1412"/>
      <c r="J35" s="1415"/>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2676</v>
      </c>
      <c r="B36" s="487"/>
      <c r="C36" s="1416" t="e">
        <f>R37</f>
        <v>#DIV/0!</v>
      </c>
      <c r="D36" s="1417"/>
      <c r="E36" s="1418" t="e">
        <f>R36</f>
        <v>#DIV/0!</v>
      </c>
      <c r="F36" s="1418"/>
      <c r="G36" s="1416" t="e">
        <f>T36</f>
        <v>#DIV/0!</v>
      </c>
      <c r="H36" s="1417"/>
      <c r="I36" s="1418" t="e">
        <f>V36</f>
        <v>#DIV/0!</v>
      </c>
      <c r="J36" s="1417"/>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2677</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2680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2681</v>
      </c>
      <c r="B45" s="759"/>
      <c r="C45" s="764"/>
      <c r="D45" s="764"/>
      <c r="E45" s="764"/>
      <c r="F45" s="765"/>
      <c r="G45" s="765"/>
      <c r="H45" s="764"/>
      <c r="I45" s="764"/>
      <c r="J45" s="764"/>
      <c r="K45" s="766"/>
      <c r="L45" s="767"/>
      <c r="M45" s="764"/>
      <c r="N45" s="764"/>
      <c r="O45" s="764"/>
      <c r="P45" s="503"/>
      <c r="Q45" s="504"/>
    </row>
    <row r="46" spans="1:29" s="508" customFormat="1" ht="15">
      <c r="A46" s="505" t="s">
        <v>2555</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2592</v>
      </c>
      <c r="B48" s="516"/>
      <c r="C48" s="517"/>
      <c r="D48" s="518"/>
      <c r="E48" s="518"/>
      <c r="F48" s="518"/>
      <c r="G48" s="518"/>
      <c r="H48" s="518"/>
      <c r="I48" s="518"/>
      <c r="J48" s="518"/>
      <c r="K48" s="518"/>
      <c r="L48" s="518"/>
      <c r="M48" s="519"/>
      <c r="N48" s="518"/>
      <c r="O48" s="520"/>
      <c r="P48" s="504"/>
      <c r="Q48" s="504"/>
    </row>
    <row r="49" spans="1:17" s="117" customFormat="1" ht="15">
      <c r="A49" s="521" t="s">
        <v>2557</v>
      </c>
      <c r="B49" s="510"/>
      <c r="C49" s="522" t="s">
        <v>2659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2595</v>
      </c>
      <c r="B51" s="528" t="s">
        <v>2561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2564</v>
      </c>
      <c r="C53" s="539" t="s">
        <v>2596</v>
      </c>
      <c r="D53" s="539" t="s">
        <v>2597</v>
      </c>
      <c r="E53" s="539" t="s">
        <v>2598</v>
      </c>
      <c r="F53" s="539" t="s">
        <v>2599</v>
      </c>
      <c r="G53" s="539" t="s">
        <v>2600</v>
      </c>
      <c r="H53" s="539" t="s">
        <v>2601</v>
      </c>
      <c r="I53" s="539" t="s">
        <v>2602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2566</v>
      </c>
      <c r="B61" s="528" t="s">
        <v>2609</v>
      </c>
      <c r="C61" s="573" t="s">
        <v>2604</v>
      </c>
      <c r="D61" s="573" t="s">
        <v>2605</v>
      </c>
      <c r="E61" s="573" t="s">
        <v>2606</v>
      </c>
      <c r="F61" s="573" t="s">
        <v>2607</v>
      </c>
      <c r="G61" s="573" t="s">
        <v>2608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2747</v>
      </c>
      <c r="C63" s="578" t="s">
        <v>2604</v>
      </c>
      <c r="D63" s="578" t="s">
        <v>2605</v>
      </c>
      <c r="E63" s="578" t="s">
        <v>2606</v>
      </c>
      <c r="F63" s="578" t="s">
        <v>2607</v>
      </c>
      <c r="G63" s="578" t="s">
        <v>2608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2696</v>
      </c>
      <c r="C65" s="660" t="s">
        <v>2682</v>
      </c>
      <c r="D65" s="660" t="s">
        <v>2683</v>
      </c>
      <c r="E65" s="660" t="s">
        <v>2684</v>
      </c>
      <c r="F65" s="660" t="s">
        <v>2685</v>
      </c>
      <c r="G65" s="660" t="s">
        <v>2686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2616</v>
      </c>
      <c r="C67" s="578" t="s">
        <v>2604</v>
      </c>
      <c r="D67" s="578" t="s">
        <v>2605</v>
      </c>
      <c r="E67" s="578" t="s">
        <v>2606</v>
      </c>
      <c r="F67" s="578" t="s">
        <v>2607</v>
      </c>
      <c r="G67" s="578" t="s">
        <v>2608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2570</v>
      </c>
      <c r="B77" s="528" t="s">
        <v>2623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2740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2750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2751</v>
      </c>
      <c r="B1" s="395"/>
      <c r="C1" s="396" t="s">
        <v>2752</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30"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30" ht="15.75" thickBot="1">
      <c r="A6" s="406"/>
      <c r="B6" s="407"/>
      <c r="C6" s="3178" t="s">
        <v>2553</v>
      </c>
      <c r="D6" s="3179"/>
      <c r="E6" s="3180" t="s">
        <v>2553</v>
      </c>
      <c r="F6" s="3181"/>
      <c r="G6" s="3178" t="s">
        <v>2553</v>
      </c>
      <c r="H6" s="3179"/>
      <c r="I6" s="3178" t="s">
        <v>2553</v>
      </c>
      <c r="J6" s="3179"/>
      <c r="K6" s="610" t="s">
        <v>2554</v>
      </c>
      <c r="L6" s="1133"/>
      <c r="M6" s="1134"/>
      <c r="N6" s="1134"/>
      <c r="O6" s="1134"/>
      <c r="P6" s="3191"/>
      <c r="Q6" s="3192"/>
      <c r="R6" s="3172"/>
      <c r="S6" s="3173"/>
      <c r="T6" s="3193"/>
      <c r="U6" s="3194"/>
      <c r="V6" s="3195"/>
      <c r="W6" s="3195"/>
      <c r="X6" s="1816"/>
      <c r="Y6" s="3193"/>
      <c r="Z6" s="3194"/>
      <c r="AA6" s="3167"/>
      <c r="AB6" s="3167"/>
      <c r="AC6" s="3167"/>
    </row>
    <row r="7" spans="1:30" s="117" customFormat="1" ht="15.75" thickBot="1">
      <c r="A7" s="408" t="s">
        <v>2555</v>
      </c>
      <c r="B7" s="409"/>
      <c r="C7" s="410">
        <f>'数据-取费表'!B2</f>
        <v>43307</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30" s="117" customFormat="1" ht="15.75" thickBot="1">
      <c r="A8" s="408" t="s">
        <v>2557</v>
      </c>
      <c r="B8" s="409"/>
      <c r="C8" s="414" t="s">
        <v>2558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5" si="3">D8/F8</f>
        <v>#DIV/0!</v>
      </c>
      <c r="AB8" s="773" t="e">
        <f t="shared" ref="AB8:AB45" si="4">D8/H8</f>
        <v>#DIV/0!</v>
      </c>
      <c r="AC8" s="773" t="e">
        <f t="shared" ref="AC8:AC45" si="5">D8/J8</f>
        <v>#DIV/0!</v>
      </c>
    </row>
    <row r="9" spans="1:30" s="117" customFormat="1">
      <c r="A9" s="415" t="s">
        <v>2560</v>
      </c>
      <c r="B9" s="71" t="s">
        <v>2561</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00"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30" s="427" customFormat="1" ht="27">
      <c r="A10" s="421"/>
      <c r="B10" s="422" t="s">
        <v>2564</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200"/>
      <c r="Q10" s="1798" t="str">
        <f t="shared" si="6"/>
        <v>土地使用年限（年）</v>
      </c>
      <c r="R10" s="770" t="s">
        <v>17</v>
      </c>
      <c r="S10" s="771" t="e">
        <f t="shared" si="0"/>
        <v>#DIV/0!</v>
      </c>
      <c r="T10" s="770" t="s">
        <v>17</v>
      </c>
      <c r="U10" s="771" t="e">
        <f t="shared" si="1"/>
        <v>#DIV/0!</v>
      </c>
      <c r="V10" s="770" t="s">
        <v>17</v>
      </c>
      <c r="W10" s="771" t="e">
        <f t="shared" si="2"/>
        <v>#DIV/0!</v>
      </c>
      <c r="X10" s="772"/>
      <c r="Y10" s="3015"/>
      <c r="Z10" s="55" t="str">
        <f t="shared" si="7"/>
        <v>土地使用年限（年）</v>
      </c>
      <c r="AA10" s="773" t="e">
        <f t="shared" si="3"/>
        <v>#DIV/0!</v>
      </c>
      <c r="AB10" s="773" t="e">
        <f t="shared" si="4"/>
        <v>#DIV/0!</v>
      </c>
      <c r="AC10" s="773" t="e">
        <f t="shared" si="5"/>
        <v>#DIV/0!</v>
      </c>
    </row>
    <row r="11" spans="1:30" ht="15">
      <c r="A11" s="428"/>
      <c r="B11" s="422" t="s">
        <v>2565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7" t="s">
        <v>2754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2566</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2567</v>
      </c>
      <c r="Q15" s="1813" t="str">
        <f t="shared" si="6"/>
        <v>居住社区成熟度</v>
      </c>
      <c r="R15" s="774" t="s">
        <v>17</v>
      </c>
      <c r="S15" s="775">
        <f t="shared" si="0"/>
        <v>100</v>
      </c>
      <c r="T15" s="774" t="s">
        <v>17</v>
      </c>
      <c r="U15" s="775">
        <f t="shared" si="1"/>
        <v>100</v>
      </c>
      <c r="V15" s="774" t="s">
        <v>17</v>
      </c>
      <c r="W15" s="775">
        <f t="shared" si="2"/>
        <v>100</v>
      </c>
      <c r="X15" s="1816"/>
      <c r="Y15" s="3202" t="s">
        <v>2567</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71.25">
      <c r="A17" s="428"/>
      <c r="B17" s="451" t="s">
        <v>2660</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3" t="str">
        <f>B17</f>
        <v>商业繁华度</v>
      </c>
      <c r="R17" s="774" t="s">
        <v>17</v>
      </c>
      <c r="S17" s="775">
        <f>F17</f>
        <v>100</v>
      </c>
      <c r="T17" s="774" t="s">
        <v>17</v>
      </c>
      <c r="U17" s="775">
        <f>H17</f>
        <v>100</v>
      </c>
      <c r="V17" s="774" t="s">
        <v>17</v>
      </c>
      <c r="W17" s="775">
        <f>J17</f>
        <v>100</v>
      </c>
      <c r="X17" s="1816"/>
      <c r="Y17" s="320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71.25">
      <c r="A19" s="428"/>
      <c r="B19" s="451" t="s">
        <v>2694</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3" t="str">
        <f>B19</f>
        <v>办公集聚程度</v>
      </c>
      <c r="R19" s="774" t="s">
        <v>17</v>
      </c>
      <c r="S19" s="775">
        <f>F19</f>
        <v>100</v>
      </c>
      <c r="T19" s="774" t="s">
        <v>17</v>
      </c>
      <c r="U19" s="775">
        <f>H19</f>
        <v>100</v>
      </c>
      <c r="V19" s="774" t="s">
        <v>17</v>
      </c>
      <c r="W19" s="775">
        <f>J19</f>
        <v>100</v>
      </c>
      <c r="X19" s="1816"/>
      <c r="Y19" s="320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3"/>
      <c r="Q20" s="1813"/>
      <c r="R20" s="774"/>
      <c r="S20" s="775"/>
      <c r="T20" s="774"/>
      <c r="U20" s="775"/>
      <c r="V20" s="774"/>
      <c r="W20" s="775"/>
      <c r="X20" s="1816"/>
      <c r="Y20" s="3203"/>
      <c r="Z20" s="1817"/>
      <c r="AA20" s="1814">
        <v>1</v>
      </c>
      <c r="AB20" s="1814">
        <v>1</v>
      </c>
      <c r="AC20" s="1814">
        <v>1</v>
      </c>
    </row>
    <row r="21" spans="1:29" ht="85.5">
      <c r="A21" s="428"/>
      <c r="B21" s="451" t="s">
        <v>2716</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3" t="str">
        <f>B21</f>
        <v>交通便捷度</v>
      </c>
      <c r="R21" s="774" t="s">
        <v>17</v>
      </c>
      <c r="S21" s="775">
        <f>F21</f>
        <v>100</v>
      </c>
      <c r="T21" s="774" t="s">
        <v>17</v>
      </c>
      <c r="U21" s="775">
        <f>H21</f>
        <v>100</v>
      </c>
      <c r="V21" s="774" t="s">
        <v>17</v>
      </c>
      <c r="W21" s="775">
        <f>J21</f>
        <v>100</v>
      </c>
      <c r="X21" s="1816"/>
      <c r="Y21" s="320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ht="15">
      <c r="A23" s="404"/>
      <c r="B23" s="451" t="s">
        <v>2755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3" t="str">
        <f t="shared" ref="Q23:Q37" si="8">B23</f>
        <v>区域土地利用方向</v>
      </c>
      <c r="R23" s="774" t="s">
        <v>17</v>
      </c>
      <c r="S23" s="775">
        <f>F23</f>
        <v>100</v>
      </c>
      <c r="T23" s="774" t="s">
        <v>17</v>
      </c>
      <c r="U23" s="775">
        <f>H23</f>
        <v>100</v>
      </c>
      <c r="V23" s="774" t="s">
        <v>17</v>
      </c>
      <c r="W23" s="775">
        <f>J23</f>
        <v>100</v>
      </c>
      <c r="X23" s="1816"/>
      <c r="Y23" s="320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3"/>
      <c r="Q24" s="1813"/>
      <c r="R24" s="774"/>
      <c r="S24" s="775"/>
      <c r="T24" s="774"/>
      <c r="U24" s="775"/>
      <c r="V24" s="774"/>
      <c r="W24" s="775"/>
      <c r="X24" s="1816"/>
      <c r="Y24" s="3203"/>
      <c r="Z24" s="1817"/>
      <c r="AA24" s="1814"/>
      <c r="AB24" s="1814"/>
      <c r="AC24" s="1814"/>
    </row>
    <row r="25" spans="1:29" ht="57">
      <c r="A25" s="404"/>
      <c r="B25" s="1387" t="s">
        <v>2756</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3" t="str">
        <f t="shared" si="8"/>
        <v>自然及人文环境状况</v>
      </c>
      <c r="R25" s="774" t="s">
        <v>17</v>
      </c>
      <c r="S25" s="775">
        <f>F25</f>
        <v>100</v>
      </c>
      <c r="T25" s="774" t="s">
        <v>17</v>
      </c>
      <c r="U25" s="775">
        <f>H25</f>
        <v>100</v>
      </c>
      <c r="V25" s="774" t="s">
        <v>17</v>
      </c>
      <c r="W25" s="775">
        <f>J25</f>
        <v>100</v>
      </c>
      <c r="X25" s="1816"/>
      <c r="Y25" s="320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3"/>
      <c r="Q26" s="1813"/>
      <c r="R26" s="774"/>
      <c r="S26" s="775"/>
      <c r="T26" s="774"/>
      <c r="U26" s="775"/>
      <c r="V26" s="774"/>
      <c r="W26" s="775"/>
      <c r="X26" s="1816"/>
      <c r="Y26" s="3203"/>
      <c r="Z26" s="1817"/>
      <c r="AA26" s="1814">
        <v>1</v>
      </c>
      <c r="AB26" s="1814">
        <v>1</v>
      </c>
      <c r="AC26" s="1814">
        <v>1</v>
      </c>
    </row>
    <row r="27" spans="1:29" s="117" customFormat="1" ht="42.75">
      <c r="A27" s="649"/>
      <c r="B27" s="1387" t="s">
        <v>2661</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8" t="str">
        <f t="shared" si="8"/>
        <v>公共配套设施</v>
      </c>
      <c r="R27" s="770" t="s">
        <v>17</v>
      </c>
      <c r="S27" s="771">
        <f>F27</f>
        <v>100</v>
      </c>
      <c r="T27" s="770" t="s">
        <v>17</v>
      </c>
      <c r="U27" s="771">
        <f>H27</f>
        <v>100</v>
      </c>
      <c r="V27" s="770" t="s">
        <v>17</v>
      </c>
      <c r="W27" s="771">
        <f>J27</f>
        <v>100</v>
      </c>
      <c r="X27" s="772"/>
      <c r="Y27" s="320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03"/>
      <c r="Q28" s="1798"/>
      <c r="R28" s="770"/>
      <c r="S28" s="771"/>
      <c r="T28" s="770"/>
      <c r="U28" s="771"/>
      <c r="V28" s="770"/>
      <c r="W28" s="771"/>
      <c r="X28" s="772"/>
      <c r="Y28" s="3203"/>
      <c r="Z28" s="55"/>
      <c r="AA28" s="1814">
        <v>1</v>
      </c>
      <c r="AB28" s="1814">
        <v>1</v>
      </c>
      <c r="AC28" s="1814">
        <v>1</v>
      </c>
    </row>
    <row r="29" spans="1:29" s="117" customFormat="1" ht="28.5">
      <c r="A29" s="649"/>
      <c r="B29" s="1387" t="s">
        <v>2662</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8"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03"/>
      <c r="Q30" s="1798"/>
      <c r="R30" s="770"/>
      <c r="S30" s="771"/>
      <c r="T30" s="770"/>
      <c r="U30" s="771"/>
      <c r="V30" s="770"/>
      <c r="W30" s="771"/>
      <c r="X30" s="772"/>
      <c r="Y30" s="3203"/>
      <c r="Z30" s="55"/>
      <c r="AA30" s="1814">
        <v>1</v>
      </c>
      <c r="AB30" s="1814">
        <v>1</v>
      </c>
      <c r="AC30" s="1814">
        <v>1</v>
      </c>
    </row>
    <row r="31" spans="1:29" ht="15">
      <c r="A31" s="428"/>
      <c r="B31" s="456" t="s">
        <v>2663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3"/>
      <c r="Z31" s="1817" t="str">
        <f t="shared" ref="Z31:Z45" si="13">Q31</f>
        <v>临街状况</v>
      </c>
      <c r="AA31" s="1814">
        <f t="shared" si="3"/>
        <v>1</v>
      </c>
      <c r="AB31" s="1814">
        <f t="shared" si="4"/>
        <v>1</v>
      </c>
      <c r="AC31" s="1814">
        <f t="shared" si="5"/>
        <v>1</v>
      </c>
    </row>
    <row r="32" spans="1:29" ht="27">
      <c r="A32" s="428"/>
      <c r="B32" s="1387" t="s">
        <v>2698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3" t="str">
        <f t="shared" si="8"/>
        <v>毗邻道路的类型与等级</v>
      </c>
      <c r="R32" s="774" t="s">
        <v>17</v>
      </c>
      <c r="S32" s="775">
        <f t="shared" si="10"/>
        <v>100</v>
      </c>
      <c r="T32" s="774" t="s">
        <v>17</v>
      </c>
      <c r="U32" s="775">
        <f t="shared" si="11"/>
        <v>100</v>
      </c>
      <c r="V32" s="774" t="s">
        <v>17</v>
      </c>
      <c r="W32" s="775">
        <f t="shared" si="12"/>
        <v>100</v>
      </c>
      <c r="X32" s="1816"/>
      <c r="Y32" s="320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3"/>
      <c r="Q33" s="1813"/>
      <c r="R33" s="774"/>
      <c r="S33" s="775"/>
      <c r="T33" s="774"/>
      <c r="U33" s="775"/>
      <c r="V33" s="774"/>
      <c r="W33" s="775"/>
      <c r="X33" s="1816"/>
      <c r="Y33" s="3203"/>
      <c r="Z33" s="1817"/>
      <c r="AA33" s="1814">
        <v>1</v>
      </c>
      <c r="AB33" s="1814">
        <v>1</v>
      </c>
      <c r="AC33" s="1814">
        <v>1</v>
      </c>
    </row>
    <row r="34" spans="1:29" ht="15">
      <c r="A34" s="428"/>
      <c r="B34" s="422" t="s">
        <v>2757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3" t="str">
        <f t="shared" si="8"/>
        <v>土地级别</v>
      </c>
      <c r="R34" s="774" t="s">
        <v>17</v>
      </c>
      <c r="S34" s="775">
        <f t="shared" si="10"/>
        <v>100</v>
      </c>
      <c r="T34" s="774" t="s">
        <v>17</v>
      </c>
      <c r="U34" s="775">
        <f t="shared" si="11"/>
        <v>100</v>
      </c>
      <c r="V34" s="774" t="s">
        <v>17</v>
      </c>
      <c r="W34" s="775">
        <f t="shared" si="12"/>
        <v>100</v>
      </c>
      <c r="X34" s="1816"/>
      <c r="Y34" s="320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3">
        <f t="shared" si="8"/>
        <v>111</v>
      </c>
      <c r="R35" s="774" t="s">
        <v>17</v>
      </c>
      <c r="S35" s="775">
        <f t="shared" si="10"/>
        <v>100</v>
      </c>
      <c r="T35" s="774" t="s">
        <v>17</v>
      </c>
      <c r="U35" s="775">
        <f t="shared" si="11"/>
        <v>100</v>
      </c>
      <c r="V35" s="774" t="s">
        <v>17</v>
      </c>
      <c r="W35" s="775">
        <f t="shared" si="12"/>
        <v>100</v>
      </c>
      <c r="X35" s="1816"/>
      <c r="Y35" s="320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2572</v>
      </c>
      <c r="Q36" s="1813">
        <f t="shared" si="8"/>
        <v>111</v>
      </c>
      <c r="R36" s="774" t="s">
        <v>17</v>
      </c>
      <c r="S36" s="775">
        <f t="shared" si="10"/>
        <v>100</v>
      </c>
      <c r="T36" s="774" t="s">
        <v>17</v>
      </c>
      <c r="U36" s="775">
        <f t="shared" si="11"/>
        <v>100</v>
      </c>
      <c r="V36" s="774" t="s">
        <v>17</v>
      </c>
      <c r="W36" s="775">
        <f t="shared" si="12"/>
        <v>100</v>
      </c>
      <c r="X36" s="1816"/>
      <c r="Y36" s="3207" t="s">
        <v>2572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3">
        <f t="shared" si="8"/>
        <v>111</v>
      </c>
      <c r="R37" s="777" t="s">
        <v>17</v>
      </c>
      <c r="S37" s="778">
        <f t="shared" si="10"/>
        <v>100</v>
      </c>
      <c r="T37" s="777" t="s">
        <v>17</v>
      </c>
      <c r="U37" s="778">
        <f t="shared" si="11"/>
        <v>100</v>
      </c>
      <c r="V37" s="777" t="s">
        <v>17</v>
      </c>
      <c r="W37" s="778">
        <f t="shared" si="12"/>
        <v>100</v>
      </c>
      <c r="X37" s="779"/>
      <c r="Y37" s="3207"/>
      <c r="Z37" s="780">
        <f t="shared" si="13"/>
        <v>111</v>
      </c>
      <c r="AA37" s="1814">
        <f t="shared" si="3"/>
        <v>1</v>
      </c>
      <c r="AB37" s="1814">
        <f t="shared" si="4"/>
        <v>1</v>
      </c>
      <c r="AC37" s="1814">
        <f t="shared" si="5"/>
        <v>1</v>
      </c>
    </row>
    <row r="38" spans="1:29" ht="15">
      <c r="A38" s="472" t="s">
        <v>2570</v>
      </c>
      <c r="B38" s="456" t="s">
        <v>2758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3" t="str">
        <f>B38</f>
        <v>宗地面积</v>
      </c>
      <c r="R38" s="774" t="s">
        <v>17</v>
      </c>
      <c r="S38" s="775" t="e">
        <f t="shared" si="10"/>
        <v>#N/A</v>
      </c>
      <c r="T38" s="774" t="s">
        <v>17</v>
      </c>
      <c r="U38" s="775" t="e">
        <f t="shared" si="11"/>
        <v>#N/A</v>
      </c>
      <c r="V38" s="774" t="s">
        <v>17</v>
      </c>
      <c r="W38" s="775" t="e">
        <f t="shared" si="12"/>
        <v>#N/A</v>
      </c>
      <c r="X38" s="1816"/>
      <c r="Y38" s="3207"/>
      <c r="Z38" s="1817" t="str">
        <f t="shared" si="13"/>
        <v>宗地面积</v>
      </c>
      <c r="AA38" s="1814" t="e">
        <f t="shared" si="3"/>
        <v>#N/A</v>
      </c>
      <c r="AB38" s="1814" t="e">
        <f t="shared" si="4"/>
        <v>#N/A</v>
      </c>
      <c r="AC38" s="1814" t="e">
        <f t="shared" si="5"/>
        <v>#N/A</v>
      </c>
    </row>
    <row r="39" spans="1:29" ht="15">
      <c r="A39" s="472"/>
      <c r="B39" s="422" t="s">
        <v>2759</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7"/>
      <c r="Q39" s="1813" t="str">
        <f t="shared" ref="Q39:Q45" si="14">B39</f>
        <v>宗地形状</v>
      </c>
      <c r="R39" s="774" t="s">
        <v>17</v>
      </c>
      <c r="S39" s="775">
        <f t="shared" si="10"/>
        <v>100</v>
      </c>
      <c r="T39" s="774" t="s">
        <v>17</v>
      </c>
      <c r="U39" s="775">
        <f t="shared" si="11"/>
        <v>100</v>
      </c>
      <c r="V39" s="774" t="s">
        <v>17</v>
      </c>
      <c r="W39" s="775">
        <f t="shared" si="12"/>
        <v>100</v>
      </c>
      <c r="X39" s="1816"/>
      <c r="Y39" s="3207"/>
      <c r="Z39" s="1817" t="str">
        <f t="shared" si="13"/>
        <v>宗地形状</v>
      </c>
      <c r="AA39" s="1814">
        <f t="shared" si="3"/>
        <v>1</v>
      </c>
      <c r="AB39" s="1814">
        <f t="shared" si="4"/>
        <v>1</v>
      </c>
      <c r="AC39" s="1814">
        <f t="shared" si="5"/>
        <v>1</v>
      </c>
    </row>
    <row r="40" spans="1:29" ht="15">
      <c r="A40" s="472"/>
      <c r="B40" s="422" t="s">
        <v>2760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7"/>
      <c r="Q40" s="1813" t="str">
        <f t="shared" si="14"/>
        <v>临街宽度及深度</v>
      </c>
      <c r="R40" s="774" t="s">
        <v>17</v>
      </c>
      <c r="S40" s="775">
        <f t="shared" si="10"/>
        <v>100</v>
      </c>
      <c r="T40" s="774" t="s">
        <v>17</v>
      </c>
      <c r="U40" s="775">
        <f t="shared" si="11"/>
        <v>100</v>
      </c>
      <c r="V40" s="774" t="s">
        <v>17</v>
      </c>
      <c r="W40" s="775">
        <f t="shared" si="12"/>
        <v>100</v>
      </c>
      <c r="X40" s="1816"/>
      <c r="Y40" s="3207"/>
      <c r="Z40" s="1817" t="str">
        <f t="shared" si="13"/>
        <v>临街宽度及深度</v>
      </c>
      <c r="AA40" s="1814">
        <f t="shared" si="3"/>
        <v>1</v>
      </c>
      <c r="AB40" s="1814">
        <f t="shared" si="4"/>
        <v>1</v>
      </c>
      <c r="AC40" s="1814">
        <f t="shared" si="5"/>
        <v>1</v>
      </c>
    </row>
    <row r="41" spans="1:29" s="117" customFormat="1" ht="15">
      <c r="A41" s="473"/>
      <c r="B41" s="422" t="s">
        <v>2761</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7"/>
      <c r="Q41" s="1813"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2762</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7" t="s">
        <v>2572</v>
      </c>
      <c r="Q42" s="1813" t="str">
        <f t="shared" si="14"/>
        <v>工程地质条件</v>
      </c>
      <c r="R42" s="774" t="s">
        <v>17</v>
      </c>
      <c r="S42" s="775">
        <f t="shared" si="10"/>
        <v>100</v>
      </c>
      <c r="T42" s="774" t="s">
        <v>17</v>
      </c>
      <c r="U42" s="775">
        <f t="shared" si="11"/>
        <v>100</v>
      </c>
      <c r="V42" s="774" t="s">
        <v>17</v>
      </c>
      <c r="W42" s="775">
        <f t="shared" si="12"/>
        <v>100</v>
      </c>
      <c r="X42" s="1816"/>
      <c r="Y42" s="3207" t="s">
        <v>2572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3">
        <f t="shared" si="14"/>
        <v>111</v>
      </c>
      <c r="R43" s="774" t="s">
        <v>17</v>
      </c>
      <c r="S43" s="775">
        <f t="shared" si="10"/>
        <v>100</v>
      </c>
      <c r="T43" s="774" t="s">
        <v>17</v>
      </c>
      <c r="U43" s="775">
        <f t="shared" si="11"/>
        <v>100</v>
      </c>
      <c r="V43" s="774" t="s">
        <v>17</v>
      </c>
      <c r="W43" s="775">
        <f t="shared" si="12"/>
        <v>100</v>
      </c>
      <c r="X43" s="1816"/>
      <c r="Y43" s="320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3">
        <f t="shared" si="14"/>
        <v>111</v>
      </c>
      <c r="R44" s="774" t="s">
        <v>17</v>
      </c>
      <c r="S44" s="775">
        <f t="shared" si="10"/>
        <v>100</v>
      </c>
      <c r="T44" s="774" t="s">
        <v>17</v>
      </c>
      <c r="U44" s="775">
        <f t="shared" si="11"/>
        <v>100</v>
      </c>
      <c r="V44" s="774" t="s">
        <v>17</v>
      </c>
      <c r="W44" s="775">
        <f t="shared" si="12"/>
        <v>100</v>
      </c>
      <c r="X44" s="1816"/>
      <c r="Y44" s="320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3">
        <f t="shared" si="14"/>
        <v>111</v>
      </c>
      <c r="R45" s="777" t="s">
        <v>17</v>
      </c>
      <c r="S45" s="778">
        <f t="shared" si="10"/>
        <v>100</v>
      </c>
      <c r="T45" s="777" t="s">
        <v>17</v>
      </c>
      <c r="U45" s="778">
        <f t="shared" si="11"/>
        <v>100</v>
      </c>
      <c r="V45" s="777" t="s">
        <v>17</v>
      </c>
      <c r="W45" s="778">
        <f t="shared" si="12"/>
        <v>100</v>
      </c>
      <c r="X45" s="779"/>
      <c r="Y45" s="3207"/>
      <c r="Z45" s="780">
        <f t="shared" si="13"/>
        <v>111</v>
      </c>
      <c r="AA45" s="1814">
        <f t="shared" si="3"/>
        <v>1</v>
      </c>
      <c r="AB45" s="1814">
        <f t="shared" si="4"/>
        <v>1</v>
      </c>
      <c r="AC45" s="1814">
        <f t="shared" si="5"/>
        <v>1</v>
      </c>
    </row>
    <row r="46" spans="1:29" ht="15">
      <c r="A46" s="479" t="s">
        <v>2727</v>
      </c>
      <c r="B46" s="2711" t="s">
        <v>2763</v>
      </c>
      <c r="C46" s="682" t="s">
        <v>1</v>
      </c>
      <c r="D46" s="481"/>
      <c r="E46" s="482"/>
      <c r="F46" s="483"/>
      <c r="G46" s="484"/>
      <c r="H46" s="485"/>
      <c r="I46" s="482"/>
      <c r="J46" s="485"/>
      <c r="K46" s="783"/>
      <c r="L46" s="1146"/>
      <c r="M46" s="1147"/>
      <c r="N46" s="1134"/>
      <c r="O46" s="1147"/>
      <c r="P46" s="3200" t="str">
        <f>A46</f>
        <v>成交单价</v>
      </c>
      <c r="Q46" s="3200"/>
      <c r="R46" s="3195">
        <f>E46</f>
        <v>0</v>
      </c>
      <c r="S46" s="3195"/>
      <c r="T46" s="3195">
        <f>G46</f>
        <v>0</v>
      </c>
      <c r="U46" s="3195"/>
      <c r="V46" s="3195">
        <f>I46</f>
        <v>0</v>
      </c>
      <c r="W46" s="3195"/>
      <c r="X46" s="759"/>
      <c r="Y46" s="781"/>
      <c r="Z46" s="759"/>
      <c r="AA46" s="759"/>
      <c r="AB46" s="759"/>
      <c r="AC46" s="759"/>
    </row>
    <row r="47" spans="1:29" ht="15.75" thickBot="1">
      <c r="A47" s="486" t="s">
        <v>2676</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27" t="e">
        <f>ROUND(PRODUCT(R46,AA7:AA45),0)</f>
        <v>#DIV/0!</v>
      </c>
      <c r="S47" s="3227"/>
      <c r="T47" s="3227" t="e">
        <f>ROUND(PRODUCT(T46,AB7:AB45),0)</f>
        <v>#DIV/0!</v>
      </c>
      <c r="U47" s="3227"/>
      <c r="V47" s="3227" t="e">
        <f>ROUND(PRODUCT(V46,AC7:AC45),0)</f>
        <v>#DIV/0!</v>
      </c>
      <c r="W47" s="3227"/>
      <c r="X47" s="759"/>
      <c r="Y47" s="759"/>
      <c r="Z47" s="759"/>
      <c r="AA47" s="759"/>
      <c r="AB47" s="759"/>
      <c r="AC47" s="759"/>
    </row>
    <row r="48" spans="1:29" ht="15.75" thickBot="1">
      <c r="A48" s="492" t="s">
        <v>2764</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28" t="e">
        <f>ROUND(AVERAGE(R47:V47),0)</f>
        <v>#DIV/0!</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2680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2765</v>
      </c>
      <c r="B55" s="685" t="s">
        <v>2766</v>
      </c>
      <c r="C55" s="2712" t="s">
        <v>2767</v>
      </c>
      <c r="D55" s="2713" t="s">
        <v>2768</v>
      </c>
      <c r="E55" s="686" t="s">
        <v>2769</v>
      </c>
      <c r="F55" s="1110" t="s">
        <v>2770</v>
      </c>
      <c r="G55" s="3183" t="s">
        <v>2771</v>
      </c>
      <c r="H55" s="3229"/>
      <c r="I55" s="144" t="s">
        <v>2772</v>
      </c>
      <c r="J55" s="2714">
        <f>项目基本情况!F35</f>
        <v>0</v>
      </c>
      <c r="K55" s="2715" t="s">
        <v>2773</v>
      </c>
      <c r="L55" s="1109"/>
      <c r="M55" s="1147"/>
      <c r="N55" s="1147"/>
      <c r="O55" s="1147"/>
    </row>
    <row r="56" spans="1:15" s="692" customFormat="1">
      <c r="A56" s="688" t="s">
        <v>2774</v>
      </c>
      <c r="B56" s="689" t="e">
        <f>C48</f>
        <v>#DIV/0!</v>
      </c>
      <c r="C56" s="690">
        <v>1</v>
      </c>
      <c r="D56" s="1166">
        <v>1</v>
      </c>
      <c r="E56" s="690">
        <f>'数据-汇总表'!E8+'数据-汇总表'!E9</f>
        <v>0</v>
      </c>
      <c r="F56" s="1106" t="e">
        <f t="shared" ref="F56:F65" si="15">ROUND(B56*E56/10000,0)</f>
        <v>#DIV/0!</v>
      </c>
      <c r="G56" s="3182"/>
      <c r="H56" s="3200"/>
      <c r="I56" s="1111">
        <v>1</v>
      </c>
      <c r="J56" s="1114">
        <v>1</v>
      </c>
      <c r="K56" s="1148"/>
      <c r="L56" s="944"/>
      <c r="M56" s="944"/>
      <c r="N56" s="944"/>
      <c r="O56" s="944"/>
    </row>
    <row r="57" spans="1:15" s="692" customFormat="1">
      <c r="A57" s="693" t="s">
        <v>2775</v>
      </c>
      <c r="B57" s="262" t="e">
        <f>ROUND($C$48*C57*D57,0)</f>
        <v>#DIV/0!</v>
      </c>
      <c r="C57" s="200">
        <f t="shared" ref="C57:C65" si="16">IF($C$55="北京市系数",I57,J57)</f>
        <v>0.7</v>
      </c>
      <c r="D57" s="1167">
        <v>0.25</v>
      </c>
      <c r="E57" s="694"/>
      <c r="F57" s="1106" t="e">
        <f t="shared" si="15"/>
        <v>#DIV/0!</v>
      </c>
      <c r="G57" s="3230" t="s">
        <v>2776</v>
      </c>
      <c r="H57" s="1107" t="str">
        <f>项目基本情况!B37</f>
        <v>六级</v>
      </c>
      <c r="I57" s="1111">
        <f>SUMIF(修正!A45:A56,H57,修正!B45:B56)</f>
        <v>0.7</v>
      </c>
      <c r="J57" s="1115"/>
      <c r="K57" s="1147"/>
      <c r="L57" s="944"/>
      <c r="M57" s="944"/>
      <c r="N57" s="944"/>
      <c r="O57" s="944"/>
    </row>
    <row r="58" spans="1:15" s="692" customFormat="1">
      <c r="A58" s="693" t="s">
        <v>2777</v>
      </c>
      <c r="B58" s="262" t="e">
        <f t="shared" ref="B58:B65" si="17">ROUND($C$48*C58*D58,0)</f>
        <v>#DIV/0!</v>
      </c>
      <c r="C58" s="200">
        <f t="shared" si="16"/>
        <v>0.4</v>
      </c>
      <c r="D58" s="1167">
        <v>0.25</v>
      </c>
      <c r="E58" s="694"/>
      <c r="F58" s="1106" t="e">
        <f t="shared" si="15"/>
        <v>#DIV/0!</v>
      </c>
      <c r="G58" s="3230"/>
      <c r="H58" s="1107" t="str">
        <f>项目基本情况!B37</f>
        <v>六级</v>
      </c>
      <c r="I58" s="1111">
        <f>SUMIF(修正!A45:A56,H58,修正!C45:C56)</f>
        <v>0.4</v>
      </c>
      <c r="J58" s="1115"/>
      <c r="K58" s="1148"/>
      <c r="L58" s="944"/>
      <c r="M58" s="944"/>
      <c r="N58" s="944"/>
      <c r="O58" s="944"/>
    </row>
    <row r="59" spans="1:15" s="692" customFormat="1">
      <c r="A59" s="693" t="s">
        <v>2778</v>
      </c>
      <c r="B59" s="262" t="e">
        <f t="shared" si="17"/>
        <v>#DIV/0!</v>
      </c>
      <c r="C59" s="200">
        <f t="shared" si="16"/>
        <v>0.28000000000000003</v>
      </c>
      <c r="D59" s="1167">
        <v>0.25</v>
      </c>
      <c r="E59" s="694"/>
      <c r="F59" s="1106" t="e">
        <f t="shared" si="15"/>
        <v>#DIV/0!</v>
      </c>
      <c r="G59" s="3230"/>
      <c r="H59" s="1107" t="str">
        <f>项目基本情况!B37</f>
        <v>六级</v>
      </c>
      <c r="I59" s="1111">
        <f>SUMIF(修正!A45:A56,H59,修正!D45:D56)</f>
        <v>0.28000000000000003</v>
      </c>
      <c r="J59" s="1115"/>
      <c r="K59" s="1147"/>
      <c r="L59" s="944"/>
      <c r="M59" s="944"/>
      <c r="N59" s="944"/>
      <c r="O59" s="944"/>
    </row>
    <row r="60" spans="1:15" s="692" customFormat="1">
      <c r="A60" s="693" t="s">
        <v>2779</v>
      </c>
      <c r="B60" s="262" t="e">
        <f t="shared" si="17"/>
        <v>#DIV/0!</v>
      </c>
      <c r="C60" s="200">
        <f t="shared" si="16"/>
        <v>0.25</v>
      </c>
      <c r="D60" s="1167">
        <v>0.25</v>
      </c>
      <c r="E60" s="694"/>
      <c r="F60" s="1106" t="e">
        <f t="shared" si="15"/>
        <v>#DIV/0!</v>
      </c>
      <c r="G60" s="3230"/>
      <c r="H60" s="1107" t="str">
        <f>项目基本情况!B37</f>
        <v>六级</v>
      </c>
      <c r="I60" s="1111">
        <f>SUMIF(修正!A45:A56,H60,修正!E45:E56)</f>
        <v>0.25</v>
      </c>
      <c r="J60" s="1115"/>
      <c r="K60" s="1148"/>
      <c r="L60" s="944"/>
      <c r="M60" s="944"/>
      <c r="N60" s="944"/>
      <c r="O60" s="944"/>
    </row>
    <row r="61" spans="1:15" s="692" customFormat="1">
      <c r="A61" s="693" t="s">
        <v>2780</v>
      </c>
      <c r="B61" s="262" t="e">
        <f t="shared" si="17"/>
        <v>#DIV/0!</v>
      </c>
      <c r="C61" s="200">
        <f t="shared" si="16"/>
        <v>0</v>
      </c>
      <c r="D61" s="1167">
        <v>0.25</v>
      </c>
      <c r="E61" s="261">
        <f>'数据-汇总表'!E11</f>
        <v>0</v>
      </c>
      <c r="F61" s="1106" t="e">
        <f t="shared" si="15"/>
        <v>#DIV/0!</v>
      </c>
      <c r="G61" s="2716" t="s">
        <v>2781</v>
      </c>
      <c r="H61" s="1107">
        <f>项目基本情况!C37</f>
        <v>0</v>
      </c>
      <c r="I61" s="1111">
        <f>SUMIF(修正!A45:A56,H61,修正!F45:F56)</f>
        <v>0</v>
      </c>
      <c r="J61" s="1115"/>
      <c r="K61" s="1147"/>
      <c r="L61" s="944"/>
      <c r="M61" s="944"/>
      <c r="N61" s="944"/>
      <c r="O61" s="944"/>
    </row>
    <row r="62" spans="1:15" s="692" customFormat="1">
      <c r="A62" s="693" t="s">
        <v>2782</v>
      </c>
      <c r="B62" s="262" t="e">
        <f t="shared" si="17"/>
        <v>#DIV/0!</v>
      </c>
      <c r="C62" s="200">
        <f t="shared" si="16"/>
        <v>0</v>
      </c>
      <c r="D62" s="1167">
        <v>0.25</v>
      </c>
      <c r="E62" s="261">
        <f>'数据-汇总表'!E12</f>
        <v>0</v>
      </c>
      <c r="F62" s="1106" t="e">
        <f t="shared" si="15"/>
        <v>#DIV/0!</v>
      </c>
      <c r="G62" s="1112" t="s">
        <v>2783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2784</v>
      </c>
      <c r="B63" s="262" t="e">
        <f t="shared" si="17"/>
        <v>#DIV/0!</v>
      </c>
      <c r="C63" s="200">
        <f t="shared" si="16"/>
        <v>0</v>
      </c>
      <c r="D63" s="1167">
        <v>0.25</v>
      </c>
      <c r="E63" s="261">
        <f>'数据-汇总表'!E13</f>
        <v>0</v>
      </c>
      <c r="F63" s="1106" t="e">
        <f t="shared" si="15"/>
        <v>#DIV/0!</v>
      </c>
      <c r="G63" s="1112" t="s">
        <v>2785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2786</v>
      </c>
      <c r="B64" s="262" t="e">
        <f t="shared" si="17"/>
        <v>#DIV/0!</v>
      </c>
      <c r="C64" s="200">
        <f t="shared" si="16"/>
        <v>0.2</v>
      </c>
      <c r="D64" s="1167">
        <v>0.25</v>
      </c>
      <c r="E64" s="261">
        <f>'数据-汇总表'!E14</f>
        <v>0</v>
      </c>
      <c r="F64" s="1106" t="e">
        <f t="shared" si="15"/>
        <v>#DIV/0!</v>
      </c>
      <c r="G64" s="2716" t="s">
        <v>2776</v>
      </c>
      <c r="H64" s="1107" t="str">
        <f>项目基本情况!B37</f>
        <v>六级</v>
      </c>
      <c r="I64" s="1111">
        <f>SUMIF(修正!A45:A56,H64,修正!H45:H56)</f>
        <v>0.2</v>
      </c>
      <c r="J64" s="1115"/>
      <c r="K64" s="1148"/>
      <c r="L64" s="944"/>
      <c r="M64" s="944"/>
      <c r="N64" s="944"/>
      <c r="O64" s="944"/>
    </row>
    <row r="65" spans="1:17" s="692" customFormat="1" ht="15" thickBot="1">
      <c r="A65" s="693" t="s">
        <v>2787</v>
      </c>
      <c r="B65" s="262" t="e">
        <f t="shared" si="17"/>
        <v>#DIV/0!</v>
      </c>
      <c r="C65" s="200">
        <f t="shared" si="16"/>
        <v>0</v>
      </c>
      <c r="D65" s="1167">
        <v>0.25</v>
      </c>
      <c r="E65" s="261">
        <f>'数据-汇总表'!E15</f>
        <v>0</v>
      </c>
      <c r="F65" s="1106" t="e">
        <f t="shared" si="15"/>
        <v>#DIV/0!</v>
      </c>
      <c r="G65" s="2717" t="s">
        <v>2781</v>
      </c>
      <c r="H65" s="1117">
        <f>项目基本情况!C37</f>
        <v>0</v>
      </c>
      <c r="I65" s="1113">
        <f>SUMIF(修正!A45:A56,H65,修正!H45:H56)</f>
        <v>0</v>
      </c>
      <c r="J65" s="1116"/>
      <c r="K65" s="1147"/>
      <c r="L65" s="944"/>
      <c r="M65" s="944"/>
      <c r="N65" s="944"/>
      <c r="O65" s="944"/>
    </row>
    <row r="66" spans="1:17" s="692" customFormat="1" ht="13.5" thickBot="1">
      <c r="A66" s="695" t="s">
        <v>2788</v>
      </c>
      <c r="B66" s="696" t="s">
        <v>28</v>
      </c>
      <c r="C66" s="696" t="s">
        <v>29</v>
      </c>
      <c r="D66" s="696" t="s">
        <v>1029</v>
      </c>
      <c r="E66" s="696">
        <f>IF(B46="楼面地价",SUM(E56:E65),'数据-汇总表'!D3)</f>
        <v>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2681</v>
      </c>
      <c r="B69" s="759"/>
      <c r="C69" s="764"/>
      <c r="D69" s="764"/>
      <c r="E69" s="764"/>
      <c r="F69" s="765"/>
      <c r="G69" s="765"/>
      <c r="H69" s="764"/>
      <c r="I69" s="764"/>
      <c r="J69" s="1162"/>
      <c r="K69" s="1163"/>
      <c r="L69" s="1164"/>
      <c r="M69" s="1162"/>
      <c r="N69" s="1162"/>
      <c r="O69" s="1162"/>
      <c r="P69" s="503"/>
      <c r="Q69" s="504"/>
    </row>
    <row r="70" spans="1:17" s="508" customFormat="1" ht="15">
      <c r="A70" s="2718" t="s">
        <v>2789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9" t="s">
        <v>2790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2592</v>
      </c>
      <c r="B72" s="516"/>
      <c r="C72" s="517"/>
      <c r="D72" s="518"/>
      <c r="E72" s="518"/>
      <c r="F72" s="518"/>
      <c r="G72" s="518"/>
      <c r="H72" s="518"/>
      <c r="I72" s="518"/>
      <c r="J72" s="518"/>
      <c r="K72" s="518"/>
      <c r="L72" s="518"/>
      <c r="M72" s="519"/>
      <c r="N72" s="518"/>
      <c r="O72" s="1165"/>
      <c r="P72" s="504"/>
      <c r="Q72" s="504"/>
    </row>
    <row r="73" spans="1:17" s="117" customFormat="1" ht="15">
      <c r="A73" s="521" t="s">
        <v>2557</v>
      </c>
      <c r="B73" s="510"/>
      <c r="C73" s="522" t="s">
        <v>2659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2595</v>
      </c>
      <c r="B75" s="528" t="s">
        <v>2561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2566</v>
      </c>
      <c r="B88" s="528" t="s">
        <v>2603</v>
      </c>
      <c r="C88" s="573" t="s">
        <v>2604</v>
      </c>
      <c r="D88" s="573" t="s">
        <v>2605</v>
      </c>
      <c r="E88" s="573" t="s">
        <v>2606</v>
      </c>
      <c r="F88" s="573" t="s">
        <v>2607</v>
      </c>
      <c r="G88" s="573" t="s">
        <v>2608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2791</v>
      </c>
      <c r="C90" s="578" t="s">
        <v>2604</v>
      </c>
      <c r="D90" s="578" t="s">
        <v>2605</v>
      </c>
      <c r="E90" s="578" t="s">
        <v>2606</v>
      </c>
      <c r="F90" s="578" t="s">
        <v>2607</v>
      </c>
      <c r="G90" s="578" t="s">
        <v>2608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2704</v>
      </c>
      <c r="C92" s="578" t="s">
        <v>2604</v>
      </c>
      <c r="D92" s="578" t="s">
        <v>2605</v>
      </c>
      <c r="E92" s="578" t="s">
        <v>2606</v>
      </c>
      <c r="F92" s="578" t="s">
        <v>2607</v>
      </c>
      <c r="G92" s="578" t="s">
        <v>2608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2609</v>
      </c>
      <c r="C94" s="578" t="s">
        <v>2604</v>
      </c>
      <c r="D94" s="578" t="s">
        <v>2605</v>
      </c>
      <c r="E94" s="578" t="s">
        <v>2606</v>
      </c>
      <c r="F94" s="578" t="s">
        <v>2607</v>
      </c>
      <c r="G94" s="578" t="s">
        <v>2608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2792</v>
      </c>
      <c r="C96" s="578" t="s">
        <v>2604</v>
      </c>
      <c r="D96" s="578" t="s">
        <v>2605</v>
      </c>
      <c r="E96" s="578" t="s">
        <v>2606</v>
      </c>
      <c r="F96" s="578" t="s">
        <v>2607</v>
      </c>
      <c r="G96" s="578" t="s">
        <v>2608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2793</v>
      </c>
      <c r="C98" s="573" t="s">
        <v>2604</v>
      </c>
      <c r="D98" s="573" t="s">
        <v>2605</v>
      </c>
      <c r="E98" s="573" t="s">
        <v>2606</v>
      </c>
      <c r="F98" s="573" t="s">
        <v>2607</v>
      </c>
      <c r="G98" s="573" t="s">
        <v>2608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2661</v>
      </c>
      <c r="C100" s="573" t="s">
        <v>2604</v>
      </c>
      <c r="D100" s="573" t="s">
        <v>2605</v>
      </c>
      <c r="E100" s="573" t="s">
        <v>2606</v>
      </c>
      <c r="F100" s="573" t="s">
        <v>2607</v>
      </c>
      <c r="G100" s="573" t="s">
        <v>2608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2662</v>
      </c>
      <c r="C102" s="660" t="s">
        <v>2682</v>
      </c>
      <c r="D102" s="660" t="s">
        <v>2683</v>
      </c>
      <c r="E102" s="660" t="s">
        <v>2684</v>
      </c>
      <c r="F102" s="660" t="s">
        <v>2685</v>
      </c>
      <c r="G102" s="660" t="s">
        <v>2686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2794</v>
      </c>
      <c r="D104" s="539" t="s">
        <v>2795</v>
      </c>
      <c r="E104" s="539" t="s">
        <v>2796</v>
      </c>
      <c r="F104" s="539" t="s">
        <v>2797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2570</v>
      </c>
      <c r="B116" s="528" t="s">
        <v>2798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2800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2751</v>
      </c>
      <c r="B1" s="395"/>
      <c r="C1" s="396" t="s">
        <v>2803</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3" t="s">
        <v>2653</v>
      </c>
      <c r="D4" s="3184"/>
      <c r="E4" s="3185" t="s">
        <v>2654</v>
      </c>
      <c r="F4" s="3186"/>
      <c r="G4" s="3183" t="s">
        <v>2655</v>
      </c>
      <c r="H4" s="3184"/>
      <c r="I4" s="3183" t="s">
        <v>2656</v>
      </c>
      <c r="J4" s="3184"/>
      <c r="K4" s="610" t="s">
        <v>2657</v>
      </c>
      <c r="L4" s="1133"/>
      <c r="M4" s="1134"/>
      <c r="N4" s="1134"/>
      <c r="O4" s="1134"/>
      <c r="P4" s="3187" t="s">
        <v>2658</v>
      </c>
      <c r="Q4" s="3188"/>
      <c r="R4" s="3170" t="s">
        <v>2654</v>
      </c>
      <c r="S4" s="3171"/>
      <c r="T4" s="3170" t="s">
        <v>2655</v>
      </c>
      <c r="U4" s="3171"/>
      <c r="V4" s="3195" t="s">
        <v>2656</v>
      </c>
      <c r="W4" s="3195"/>
      <c r="X4" s="1816"/>
      <c r="Y4" s="3170" t="s">
        <v>2658</v>
      </c>
      <c r="Z4" s="3171"/>
      <c r="AA4" s="3165" t="s">
        <v>2654</v>
      </c>
      <c r="AB4" s="3166" t="s">
        <v>2655</v>
      </c>
      <c r="AC4" s="3165" t="s">
        <v>2656</v>
      </c>
    </row>
    <row r="5" spans="1:29" ht="15">
      <c r="A5" s="404"/>
      <c r="B5" s="405"/>
      <c r="C5" s="3176" t="s">
        <v>2549</v>
      </c>
      <c r="D5" s="3177"/>
      <c r="E5" s="3174" t="s">
        <v>2550</v>
      </c>
      <c r="F5" s="3175"/>
      <c r="G5" s="3176" t="s">
        <v>2551</v>
      </c>
      <c r="H5" s="3177"/>
      <c r="I5" s="3176" t="s">
        <v>2552</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231" t="s">
        <v>2804</v>
      </c>
      <c r="D6" s="3232"/>
      <c r="E6" s="3233" t="s">
        <v>2804</v>
      </c>
      <c r="F6" s="3234"/>
      <c r="G6" s="3231" t="s">
        <v>2804</v>
      </c>
      <c r="H6" s="3232"/>
      <c r="I6" s="3231" t="s">
        <v>2804</v>
      </c>
      <c r="J6" s="3232"/>
      <c r="K6" s="610" t="s">
        <v>2554</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2555</v>
      </c>
      <c r="B7" s="409"/>
      <c r="C7" s="410">
        <f>'数据-取费表'!B2</f>
        <v>43307</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68" t="s">
        <v>2556</v>
      </c>
      <c r="Q7" s="3196"/>
      <c r="R7" s="770" t="s">
        <v>17</v>
      </c>
      <c r="S7" s="771">
        <f t="shared" ref="S7:S15" si="0">F7</f>
        <v>0</v>
      </c>
      <c r="T7" s="770" t="s">
        <v>17</v>
      </c>
      <c r="U7" s="771">
        <f t="shared" ref="U7:U15" si="1">H7</f>
        <v>0</v>
      </c>
      <c r="V7" s="770" t="s">
        <v>17</v>
      </c>
      <c r="W7" s="771">
        <f t="shared" ref="W7:W15" si="2">J7</f>
        <v>0</v>
      </c>
      <c r="X7" s="772"/>
      <c r="Y7" s="3168" t="s">
        <v>2556</v>
      </c>
      <c r="Z7" s="3169"/>
      <c r="AA7" s="773" t="e">
        <f>D7/F7</f>
        <v>#DIV/0!</v>
      </c>
      <c r="AB7" s="773" t="e">
        <f>D7/H7</f>
        <v>#DIV/0!</v>
      </c>
      <c r="AC7" s="773" t="e">
        <f>D7/J7</f>
        <v>#DIV/0!</v>
      </c>
    </row>
    <row r="8" spans="1:29" s="117" customFormat="1" ht="15.75" thickBot="1">
      <c r="A8" s="408" t="s">
        <v>2557</v>
      </c>
      <c r="B8" s="409"/>
      <c r="C8" s="414" t="s">
        <v>2558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2559</v>
      </c>
      <c r="Q8" s="3169"/>
      <c r="R8" s="770" t="s">
        <v>17</v>
      </c>
      <c r="S8" s="771">
        <f t="shared" si="0"/>
        <v>0</v>
      </c>
      <c r="T8" s="770" t="s">
        <v>17</v>
      </c>
      <c r="U8" s="771">
        <f t="shared" si="1"/>
        <v>0</v>
      </c>
      <c r="V8" s="770" t="s">
        <v>17</v>
      </c>
      <c r="W8" s="771">
        <f t="shared" si="2"/>
        <v>0</v>
      </c>
      <c r="X8" s="772"/>
      <c r="Y8" s="3168" t="s">
        <v>2559</v>
      </c>
      <c r="Z8" s="3169"/>
      <c r="AA8" s="773" t="e">
        <f t="shared" ref="AA8:AA40" si="3">D8/F8</f>
        <v>#DIV/0!</v>
      </c>
      <c r="AB8" s="773" t="e">
        <f t="shared" ref="AB8:AB40" si="4">D8/H8</f>
        <v>#DIV/0!</v>
      </c>
      <c r="AC8" s="773" t="e">
        <f t="shared" ref="AC8:AC40" si="5">D8/J8</f>
        <v>#DIV/0!</v>
      </c>
    </row>
    <row r="9" spans="1:29" s="117" customFormat="1">
      <c r="A9" s="415" t="s">
        <v>2560</v>
      </c>
      <c r="B9" s="71" t="s">
        <v>2561</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0" t="s">
        <v>2562</v>
      </c>
      <c r="Q9" s="1798" t="str">
        <f t="shared" ref="Q9:Q15" si="6">B9</f>
        <v>用途</v>
      </c>
      <c r="R9" s="770" t="s">
        <v>17</v>
      </c>
      <c r="S9" s="771">
        <f t="shared" si="0"/>
        <v>100</v>
      </c>
      <c r="T9" s="770" t="s">
        <v>17</v>
      </c>
      <c r="U9" s="771">
        <f t="shared" si="1"/>
        <v>100</v>
      </c>
      <c r="V9" s="770" t="s">
        <v>17</v>
      </c>
      <c r="W9" s="771">
        <f t="shared" si="2"/>
        <v>100</v>
      </c>
      <c r="X9" s="772"/>
      <c r="Y9" s="3015" t="s">
        <v>2563</v>
      </c>
      <c r="Z9" s="55" t="str">
        <f t="shared" ref="Z9:Z15" si="7">Q9</f>
        <v>用途</v>
      </c>
      <c r="AA9" s="773">
        <f t="shared" si="3"/>
        <v>1</v>
      </c>
      <c r="AB9" s="773">
        <f t="shared" si="4"/>
        <v>1</v>
      </c>
      <c r="AC9" s="773">
        <f t="shared" si="5"/>
        <v>1</v>
      </c>
    </row>
    <row r="10" spans="1:29" s="427" customFormat="1" ht="27">
      <c r="A10" s="421"/>
      <c r="B10" s="422" t="s">
        <v>2564</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200"/>
      <c r="Q10" s="1798" t="str">
        <f t="shared" si="6"/>
        <v>土地使用年限（年）</v>
      </c>
      <c r="R10" s="770" t="s">
        <v>17</v>
      </c>
      <c r="S10" s="771" t="e">
        <f t="shared" si="0"/>
        <v>#DIV/0!</v>
      </c>
      <c r="T10" s="770" t="s">
        <v>17</v>
      </c>
      <c r="U10" s="771" t="e">
        <f t="shared" si="1"/>
        <v>#DIV/0!</v>
      </c>
      <c r="V10" s="770" t="s">
        <v>17</v>
      </c>
      <c r="W10" s="771" t="e">
        <f t="shared" si="2"/>
        <v>#DIV/0!</v>
      </c>
      <c r="X10" s="772"/>
      <c r="Y10" s="3015"/>
      <c r="Z10" s="55" t="str">
        <f t="shared" si="7"/>
        <v>土地使用年限（年）</v>
      </c>
      <c r="AA10" s="773" t="e">
        <f t="shared" si="3"/>
        <v>#DIV/0!</v>
      </c>
      <c r="AB10" s="773" t="e">
        <f t="shared" si="4"/>
        <v>#DIV/0!</v>
      </c>
      <c r="AC10" s="773" t="e">
        <f t="shared" si="5"/>
        <v>#DIV/0!</v>
      </c>
    </row>
    <row r="11" spans="1:29" ht="15">
      <c r="A11" s="428"/>
      <c r="B11" s="422" t="s">
        <v>2565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2566</v>
      </c>
      <c r="B15" s="629" t="s">
        <v>2805</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2567</v>
      </c>
      <c r="Q15" s="1813" t="str">
        <f t="shared" si="6"/>
        <v>产业集聚程度</v>
      </c>
      <c r="R15" s="774" t="s">
        <v>17</v>
      </c>
      <c r="S15" s="775">
        <f t="shared" si="0"/>
        <v>100</v>
      </c>
      <c r="T15" s="774" t="s">
        <v>17</v>
      </c>
      <c r="U15" s="775">
        <f t="shared" si="1"/>
        <v>100</v>
      </c>
      <c r="V15" s="774" t="s">
        <v>17</v>
      </c>
      <c r="W15" s="775">
        <f t="shared" si="2"/>
        <v>100</v>
      </c>
      <c r="X15" s="1816"/>
      <c r="Y15" s="3202" t="s">
        <v>2567</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631" t="s">
        <v>2716</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631" t="s">
        <v>2755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3" t="str">
        <f t="shared" ref="Q19:Q33" si="8">B19</f>
        <v>区域土地利用方向</v>
      </c>
      <c r="R19" s="774" t="s">
        <v>17</v>
      </c>
      <c r="S19" s="775">
        <f>F19</f>
        <v>100</v>
      </c>
      <c r="T19" s="774" t="s">
        <v>17</v>
      </c>
      <c r="U19" s="775">
        <f>H19</f>
        <v>100</v>
      </c>
      <c r="V19" s="774" t="s">
        <v>17</v>
      </c>
      <c r="W19" s="775">
        <f>J19</f>
        <v>100</v>
      </c>
      <c r="X19" s="1816"/>
      <c r="Y19" s="320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3"/>
      <c r="Q20" s="1813"/>
      <c r="R20" s="774"/>
      <c r="S20" s="775"/>
      <c r="T20" s="774"/>
      <c r="U20" s="775"/>
      <c r="V20" s="774"/>
      <c r="W20" s="775"/>
      <c r="X20" s="1816"/>
      <c r="Y20" s="3203"/>
      <c r="Z20" s="1817"/>
      <c r="AA20" s="1814"/>
      <c r="AB20" s="1814"/>
      <c r="AC20" s="1814"/>
    </row>
    <row r="21" spans="1:29" ht="71.25">
      <c r="A21" s="404"/>
      <c r="B21" s="631" t="s">
        <v>2806</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3" t="str">
        <f t="shared" si="8"/>
        <v>环境状况</v>
      </c>
      <c r="R21" s="774" t="s">
        <v>17</v>
      </c>
      <c r="S21" s="775">
        <f>F21</f>
        <v>100</v>
      </c>
      <c r="T21" s="774" t="s">
        <v>17</v>
      </c>
      <c r="U21" s="775">
        <f>H21</f>
        <v>100</v>
      </c>
      <c r="V21" s="774" t="s">
        <v>17</v>
      </c>
      <c r="W21" s="775">
        <f>J21</f>
        <v>100</v>
      </c>
      <c r="X21" s="1816"/>
      <c r="Y21" s="320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s="117" customFormat="1" ht="42.75">
      <c r="A23" s="649"/>
      <c r="B23" s="633" t="s">
        <v>2661</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8" t="str">
        <f t="shared" si="8"/>
        <v>公共配套设施</v>
      </c>
      <c r="R23" s="770" t="s">
        <v>17</v>
      </c>
      <c r="S23" s="771">
        <f>F23</f>
        <v>100</v>
      </c>
      <c r="T23" s="770" t="s">
        <v>17</v>
      </c>
      <c r="U23" s="771">
        <f>H23</f>
        <v>100</v>
      </c>
      <c r="V23" s="770" t="s">
        <v>17</v>
      </c>
      <c r="W23" s="771">
        <f>J23</f>
        <v>100</v>
      </c>
      <c r="X23" s="772"/>
      <c r="Y23" s="320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3"/>
      <c r="Q24" s="1798"/>
      <c r="R24" s="770"/>
      <c r="S24" s="771"/>
      <c r="T24" s="770"/>
      <c r="U24" s="771"/>
      <c r="V24" s="770"/>
      <c r="W24" s="771"/>
      <c r="X24" s="772"/>
      <c r="Y24" s="3203"/>
      <c r="Z24" s="55"/>
      <c r="AA24" s="773">
        <v>1</v>
      </c>
      <c r="AB24" s="773">
        <v>1</v>
      </c>
      <c r="AC24" s="773">
        <v>1</v>
      </c>
    </row>
    <row r="25" spans="1:29" s="117" customFormat="1" ht="28.5">
      <c r="A25" s="649"/>
      <c r="B25" s="633" t="s">
        <v>2662</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8"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3"/>
      <c r="Q26" s="1798"/>
      <c r="R26" s="770"/>
      <c r="S26" s="771"/>
      <c r="T26" s="770"/>
      <c r="U26" s="771"/>
      <c r="V26" s="770"/>
      <c r="W26" s="771"/>
      <c r="X26" s="772"/>
      <c r="Y26" s="3203"/>
      <c r="Z26" s="55"/>
      <c r="AA26" s="773">
        <v>1</v>
      </c>
      <c r="AB26" s="773">
        <v>1</v>
      </c>
      <c r="AC26" s="773">
        <v>1</v>
      </c>
    </row>
    <row r="27" spans="1:29" ht="15">
      <c r="A27" s="428"/>
      <c r="B27" s="632" t="s">
        <v>2663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3"/>
      <c r="Z27" s="1817" t="str">
        <f t="shared" ref="Z27:Z40" si="13">Q27</f>
        <v>临街状况</v>
      </c>
      <c r="AA27" s="1814">
        <f t="shared" si="3"/>
        <v>1</v>
      </c>
      <c r="AB27" s="1814">
        <f t="shared" si="4"/>
        <v>1</v>
      </c>
      <c r="AC27" s="1814">
        <f t="shared" si="5"/>
        <v>1</v>
      </c>
    </row>
    <row r="28" spans="1:29" ht="27">
      <c r="A28" s="428"/>
      <c r="B28" s="633" t="s">
        <v>2698</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3" t="str">
        <f t="shared" si="8"/>
        <v>毗邻道路的类型与等级</v>
      </c>
      <c r="R28" s="774" t="s">
        <v>17</v>
      </c>
      <c r="S28" s="775">
        <f t="shared" si="10"/>
        <v>100</v>
      </c>
      <c r="T28" s="774" t="s">
        <v>17</v>
      </c>
      <c r="U28" s="775">
        <f t="shared" si="11"/>
        <v>100</v>
      </c>
      <c r="V28" s="774" t="s">
        <v>17</v>
      </c>
      <c r="W28" s="775">
        <f t="shared" si="12"/>
        <v>100</v>
      </c>
      <c r="X28" s="1816"/>
      <c r="Y28" s="320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3"/>
      <c r="Q29" s="1813"/>
      <c r="R29" s="774"/>
      <c r="S29" s="775"/>
      <c r="T29" s="774"/>
      <c r="U29" s="775"/>
      <c r="V29" s="774"/>
      <c r="W29" s="775"/>
      <c r="X29" s="1816"/>
      <c r="Y29" s="3203"/>
      <c r="Z29" s="1817"/>
      <c r="AA29" s="1814">
        <v>1</v>
      </c>
      <c r="AB29" s="1814">
        <v>1</v>
      </c>
      <c r="AC29" s="1814">
        <v>1</v>
      </c>
    </row>
    <row r="30" spans="1:29" ht="15">
      <c r="A30" s="428"/>
      <c r="B30" s="654" t="s">
        <v>2757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3" t="str">
        <f t="shared" si="8"/>
        <v>土地级别</v>
      </c>
      <c r="R30" s="774" t="s">
        <v>17</v>
      </c>
      <c r="S30" s="775">
        <f t="shared" si="10"/>
        <v>100</v>
      </c>
      <c r="T30" s="774" t="s">
        <v>17</v>
      </c>
      <c r="U30" s="775">
        <f t="shared" si="11"/>
        <v>100</v>
      </c>
      <c r="V30" s="774" t="s">
        <v>17</v>
      </c>
      <c r="W30" s="775">
        <f t="shared" si="12"/>
        <v>100</v>
      </c>
      <c r="X30" s="1816"/>
      <c r="Y30" s="320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3">
        <f t="shared" si="8"/>
        <v>111</v>
      </c>
      <c r="R31" s="774" t="s">
        <v>17</v>
      </c>
      <c r="S31" s="775">
        <f t="shared" si="10"/>
        <v>100</v>
      </c>
      <c r="T31" s="774" t="s">
        <v>17</v>
      </c>
      <c r="U31" s="775">
        <f t="shared" si="11"/>
        <v>100</v>
      </c>
      <c r="V31" s="774" t="s">
        <v>17</v>
      </c>
      <c r="W31" s="775">
        <f t="shared" si="12"/>
        <v>100</v>
      </c>
      <c r="X31" s="1816"/>
      <c r="Y31" s="320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2572</v>
      </c>
      <c r="Q32" s="1813">
        <f t="shared" si="8"/>
        <v>111</v>
      </c>
      <c r="R32" s="774" t="s">
        <v>17</v>
      </c>
      <c r="S32" s="775">
        <f t="shared" si="10"/>
        <v>100</v>
      </c>
      <c r="T32" s="774" t="s">
        <v>17</v>
      </c>
      <c r="U32" s="775">
        <f t="shared" si="11"/>
        <v>100</v>
      </c>
      <c r="V32" s="774" t="s">
        <v>17</v>
      </c>
      <c r="W32" s="775">
        <f t="shared" si="12"/>
        <v>100</v>
      </c>
      <c r="X32" s="1816"/>
      <c r="Y32" s="3207" t="s">
        <v>2572</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3">
        <f t="shared" si="8"/>
        <v>111</v>
      </c>
      <c r="R33" s="777" t="s">
        <v>17</v>
      </c>
      <c r="S33" s="778">
        <f t="shared" si="10"/>
        <v>100</v>
      </c>
      <c r="T33" s="777" t="s">
        <v>17</v>
      </c>
      <c r="U33" s="778">
        <f t="shared" si="11"/>
        <v>100</v>
      </c>
      <c r="V33" s="777" t="s">
        <v>17</v>
      </c>
      <c r="W33" s="778">
        <f t="shared" si="12"/>
        <v>100</v>
      </c>
      <c r="X33" s="779"/>
      <c r="Y33" s="3207"/>
      <c r="Z33" s="780">
        <f t="shared" si="13"/>
        <v>111</v>
      </c>
      <c r="AA33" s="1814">
        <f t="shared" si="3"/>
        <v>1</v>
      </c>
      <c r="AB33" s="1814">
        <f t="shared" si="4"/>
        <v>1</v>
      </c>
      <c r="AC33" s="1814">
        <f t="shared" si="5"/>
        <v>1</v>
      </c>
    </row>
    <row r="34" spans="1:29" ht="15">
      <c r="A34" s="440" t="s">
        <v>2570</v>
      </c>
      <c r="B34" s="456" t="s">
        <v>2758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3" t="str">
        <f>B34</f>
        <v>宗地面积</v>
      </c>
      <c r="R34" s="774" t="s">
        <v>17</v>
      </c>
      <c r="S34" s="775" t="e">
        <f t="shared" si="10"/>
        <v>#N/A</v>
      </c>
      <c r="T34" s="774" t="s">
        <v>17</v>
      </c>
      <c r="U34" s="775" t="e">
        <f t="shared" si="11"/>
        <v>#N/A</v>
      </c>
      <c r="V34" s="774" t="s">
        <v>17</v>
      </c>
      <c r="W34" s="775" t="e">
        <f t="shared" si="12"/>
        <v>#N/A</v>
      </c>
      <c r="X34" s="1816"/>
      <c r="Y34" s="3207"/>
      <c r="Z34" s="1817" t="str">
        <f t="shared" si="13"/>
        <v>宗地面积</v>
      </c>
      <c r="AA34" s="1814" t="e">
        <f t="shared" si="3"/>
        <v>#N/A</v>
      </c>
      <c r="AB34" s="1814" t="e">
        <f t="shared" si="4"/>
        <v>#N/A</v>
      </c>
      <c r="AC34" s="1814" t="e">
        <f t="shared" si="5"/>
        <v>#N/A</v>
      </c>
    </row>
    <row r="35" spans="1:29" ht="15">
      <c r="A35" s="472"/>
      <c r="B35" s="422" t="s">
        <v>2759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7"/>
      <c r="Q35" s="1813" t="str">
        <f t="shared" ref="Q35:Q40" si="14">B35</f>
        <v>宗地形状</v>
      </c>
      <c r="R35" s="774" t="s">
        <v>17</v>
      </c>
      <c r="S35" s="775">
        <f t="shared" si="10"/>
        <v>100</v>
      </c>
      <c r="T35" s="774" t="s">
        <v>17</v>
      </c>
      <c r="U35" s="775">
        <f t="shared" si="11"/>
        <v>100</v>
      </c>
      <c r="V35" s="774" t="s">
        <v>17</v>
      </c>
      <c r="W35" s="775">
        <f t="shared" si="12"/>
        <v>100</v>
      </c>
      <c r="X35" s="1816"/>
      <c r="Y35" s="3207"/>
      <c r="Z35" s="1817" t="str">
        <f t="shared" si="13"/>
        <v>宗地形状</v>
      </c>
      <c r="AA35" s="1814">
        <f t="shared" si="3"/>
        <v>1</v>
      </c>
      <c r="AB35" s="1814">
        <f t="shared" si="4"/>
        <v>1</v>
      </c>
      <c r="AC35" s="1814">
        <f t="shared" si="5"/>
        <v>1</v>
      </c>
    </row>
    <row r="36" spans="1:29" s="117" customFormat="1" ht="15">
      <c r="A36" s="473"/>
      <c r="B36" s="422" t="s">
        <v>2761</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7"/>
      <c r="Q36" s="1813"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2762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7" t="s">
        <v>2572</v>
      </c>
      <c r="Q37" s="1813" t="str">
        <f t="shared" si="14"/>
        <v>工程地质条件</v>
      </c>
      <c r="R37" s="774" t="s">
        <v>17</v>
      </c>
      <c r="S37" s="775">
        <f t="shared" si="10"/>
        <v>100</v>
      </c>
      <c r="T37" s="774" t="s">
        <v>17</v>
      </c>
      <c r="U37" s="775">
        <f t="shared" si="11"/>
        <v>100</v>
      </c>
      <c r="V37" s="774" t="s">
        <v>17</v>
      </c>
      <c r="W37" s="775">
        <f t="shared" si="12"/>
        <v>100</v>
      </c>
      <c r="X37" s="1816"/>
      <c r="Y37" s="3207" t="s">
        <v>2572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3">
        <f t="shared" si="14"/>
        <v>111</v>
      </c>
      <c r="R38" s="774" t="s">
        <v>17</v>
      </c>
      <c r="S38" s="775">
        <f t="shared" si="10"/>
        <v>100</v>
      </c>
      <c r="T38" s="774" t="s">
        <v>17</v>
      </c>
      <c r="U38" s="775">
        <f t="shared" si="11"/>
        <v>100</v>
      </c>
      <c r="V38" s="774" t="s">
        <v>17</v>
      </c>
      <c r="W38" s="775">
        <f t="shared" si="12"/>
        <v>100</v>
      </c>
      <c r="X38" s="1816"/>
      <c r="Y38" s="32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3">
        <f t="shared" si="14"/>
        <v>111</v>
      </c>
      <c r="R39" s="774" t="s">
        <v>17</v>
      </c>
      <c r="S39" s="775">
        <f t="shared" si="10"/>
        <v>100</v>
      </c>
      <c r="T39" s="774" t="s">
        <v>17</v>
      </c>
      <c r="U39" s="775">
        <f t="shared" si="11"/>
        <v>100</v>
      </c>
      <c r="V39" s="774" t="s">
        <v>17</v>
      </c>
      <c r="W39" s="775">
        <f t="shared" si="12"/>
        <v>100</v>
      </c>
      <c r="X39" s="1816"/>
      <c r="Y39" s="320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3">
        <f t="shared" si="14"/>
        <v>111</v>
      </c>
      <c r="R40" s="777" t="s">
        <v>17</v>
      </c>
      <c r="S40" s="778">
        <f t="shared" si="10"/>
        <v>100</v>
      </c>
      <c r="T40" s="777" t="s">
        <v>17</v>
      </c>
      <c r="U40" s="778">
        <f t="shared" si="11"/>
        <v>100</v>
      </c>
      <c r="V40" s="777" t="s">
        <v>17</v>
      </c>
      <c r="W40" s="778">
        <f t="shared" si="12"/>
        <v>100</v>
      </c>
      <c r="X40" s="779"/>
      <c r="Y40" s="3207"/>
      <c r="Z40" s="780">
        <f t="shared" si="13"/>
        <v>111</v>
      </c>
      <c r="AA40" s="1814">
        <f t="shared" si="3"/>
        <v>1</v>
      </c>
      <c r="AB40" s="1814">
        <f t="shared" si="4"/>
        <v>1</v>
      </c>
      <c r="AC40" s="1814">
        <f t="shared" si="5"/>
        <v>1</v>
      </c>
    </row>
    <row r="41" spans="1:29" ht="15">
      <c r="A41" s="479" t="s">
        <v>2727</v>
      </c>
      <c r="B41" s="2711" t="s">
        <v>2807</v>
      </c>
      <c r="C41" s="682" t="s">
        <v>1</v>
      </c>
      <c r="D41" s="481"/>
      <c r="E41" s="482"/>
      <c r="F41" s="483"/>
      <c r="G41" s="484"/>
      <c r="H41" s="485"/>
      <c r="I41" s="482"/>
      <c r="J41" s="485"/>
      <c r="K41" s="783"/>
      <c r="L41" s="1146"/>
      <c r="M41" s="1134"/>
      <c r="N41" s="1134"/>
      <c r="O41" s="1147"/>
      <c r="P41" s="3200" t="str">
        <f>A41</f>
        <v>成交单价</v>
      </c>
      <c r="Q41" s="3200"/>
      <c r="R41" s="3195">
        <f>E41</f>
        <v>0</v>
      </c>
      <c r="S41" s="3195"/>
      <c r="T41" s="3195">
        <f>G41</f>
        <v>0</v>
      </c>
      <c r="U41" s="3195"/>
      <c r="V41" s="3195">
        <f>I41</f>
        <v>0</v>
      </c>
      <c r="W41" s="3195"/>
      <c r="X41" s="759"/>
      <c r="Y41" s="781"/>
      <c r="Z41" s="759"/>
      <c r="AA41" s="759"/>
      <c r="AB41" s="759"/>
      <c r="AC41" s="759"/>
    </row>
    <row r="42" spans="1:29" ht="15.75" thickBot="1">
      <c r="A42" s="486" t="s">
        <v>2676</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75" thickBot="1">
      <c r="A43" s="492" t="s">
        <v>2677</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2765</v>
      </c>
      <c r="B50" s="685" t="s">
        <v>2766</v>
      </c>
      <c r="C50" s="2712" t="s">
        <v>2767</v>
      </c>
      <c r="D50" s="2713" t="s">
        <v>2768</v>
      </c>
      <c r="E50" s="686" t="s">
        <v>2769</v>
      </c>
      <c r="F50" s="687" t="s">
        <v>2770</v>
      </c>
      <c r="G50" s="3183" t="s">
        <v>2771</v>
      </c>
      <c r="H50" s="3229"/>
      <c r="I50" s="1817" t="s">
        <v>2808</v>
      </c>
      <c r="J50" s="1817">
        <f>项目基本情况!F35</f>
        <v>0</v>
      </c>
      <c r="K50" s="2715" t="s">
        <v>2773</v>
      </c>
      <c r="L50" s="1109"/>
      <c r="M50" s="1147"/>
      <c r="N50" s="1147"/>
      <c r="O50" s="1147"/>
    </row>
    <row r="51" spans="1:17" s="692" customFormat="1">
      <c r="A51" s="688" t="s">
        <v>2774</v>
      </c>
      <c r="B51" s="689" t="e">
        <f>C43</f>
        <v>#DIV/0!</v>
      </c>
      <c r="C51" s="690">
        <v>1</v>
      </c>
      <c r="D51" s="1166">
        <v>1</v>
      </c>
      <c r="E51" s="690">
        <f>'数据-汇总表'!E8+'数据-汇总表'!E9</f>
        <v>0</v>
      </c>
      <c r="F51" s="691" t="e">
        <f t="shared" ref="F51:F60" si="15">ROUND(B51*E51/10000,0)</f>
        <v>#DIV/0!</v>
      </c>
      <c r="G51" s="3182"/>
      <c r="H51" s="3200"/>
      <c r="I51" s="945">
        <v>1</v>
      </c>
      <c r="J51" s="945">
        <v>1</v>
      </c>
      <c r="K51" s="1148"/>
      <c r="L51" s="944"/>
      <c r="M51" s="944"/>
      <c r="N51" s="944"/>
      <c r="O51" s="944"/>
    </row>
    <row r="52" spans="1:17" s="692" customFormat="1">
      <c r="A52" s="693" t="s">
        <v>2775</v>
      </c>
      <c r="B52" s="262" t="e">
        <f>ROUND($C$43*C52*D52,0)</f>
        <v>#DIV/0!</v>
      </c>
      <c r="C52" s="200">
        <f t="shared" ref="C52:C60" si="16">IF($C$50="北京市系数",I52,J52)</f>
        <v>0.7</v>
      </c>
      <c r="D52" s="1167">
        <v>0.25</v>
      </c>
      <c r="E52" s="694"/>
      <c r="F52" s="691" t="e">
        <f t="shared" si="15"/>
        <v>#DIV/0!</v>
      </c>
      <c r="G52" s="3230" t="s">
        <v>2776</v>
      </c>
      <c r="H52" s="1107" t="str">
        <f>项目基本情况!B37</f>
        <v>六级</v>
      </c>
      <c r="I52" s="945">
        <f>SUMIF(修正!A45:A56,H52,修正!B45:B56)</f>
        <v>0.7</v>
      </c>
      <c r="J52" s="946"/>
      <c r="K52" s="1147"/>
      <c r="L52" s="944"/>
      <c r="M52" s="944"/>
      <c r="N52" s="944"/>
      <c r="O52" s="944"/>
    </row>
    <row r="53" spans="1:17" s="692" customFormat="1">
      <c r="A53" s="693" t="s">
        <v>2777</v>
      </c>
      <c r="B53" s="262" t="e">
        <f t="shared" ref="B53:B60" si="17">ROUND($C$43*C53*D53,0)</f>
        <v>#DIV/0!</v>
      </c>
      <c r="C53" s="200">
        <f t="shared" si="16"/>
        <v>0.4</v>
      </c>
      <c r="D53" s="1167">
        <v>0.25</v>
      </c>
      <c r="E53" s="694"/>
      <c r="F53" s="691" t="e">
        <f t="shared" si="15"/>
        <v>#DIV/0!</v>
      </c>
      <c r="G53" s="3230"/>
      <c r="H53" s="1107" t="str">
        <f>项目基本情况!B37</f>
        <v>六级</v>
      </c>
      <c r="I53" s="945">
        <f>SUMIF(修正!A45:A56,H53,修正!C45:C56)</f>
        <v>0.4</v>
      </c>
      <c r="J53" s="946"/>
      <c r="K53" s="1148"/>
      <c r="L53" s="944"/>
      <c r="M53" s="944"/>
      <c r="N53" s="944"/>
      <c r="O53" s="944"/>
    </row>
    <row r="54" spans="1:17" s="692" customFormat="1">
      <c r="A54" s="693" t="s">
        <v>2778</v>
      </c>
      <c r="B54" s="262" t="e">
        <f t="shared" si="17"/>
        <v>#DIV/0!</v>
      </c>
      <c r="C54" s="200">
        <f t="shared" si="16"/>
        <v>0.28000000000000003</v>
      </c>
      <c r="D54" s="1167">
        <v>0.25</v>
      </c>
      <c r="E54" s="694"/>
      <c r="F54" s="691" t="e">
        <f t="shared" si="15"/>
        <v>#DIV/0!</v>
      </c>
      <c r="G54" s="3230"/>
      <c r="H54" s="1107" t="str">
        <f>项目基本情况!B37</f>
        <v>六级</v>
      </c>
      <c r="I54" s="945">
        <f>SUMIF(修正!A45:A56,H54,修正!D45:D56)</f>
        <v>0.28000000000000003</v>
      </c>
      <c r="J54" s="946"/>
      <c r="K54" s="1147"/>
      <c r="L54" s="944"/>
      <c r="M54" s="944"/>
      <c r="N54" s="944"/>
      <c r="O54" s="944"/>
    </row>
    <row r="55" spans="1:17" s="692" customFormat="1">
      <c r="A55" s="693" t="s">
        <v>2779</v>
      </c>
      <c r="B55" s="262" t="e">
        <f t="shared" si="17"/>
        <v>#DIV/0!</v>
      </c>
      <c r="C55" s="200">
        <f t="shared" si="16"/>
        <v>0.25</v>
      </c>
      <c r="D55" s="1167">
        <v>0.25</v>
      </c>
      <c r="E55" s="694"/>
      <c r="F55" s="691" t="e">
        <f t="shared" si="15"/>
        <v>#DIV/0!</v>
      </c>
      <c r="G55" s="3230"/>
      <c r="H55" s="1107" t="str">
        <f>项目基本情况!B37</f>
        <v>六级</v>
      </c>
      <c r="I55" s="945">
        <f>SUMIF(修正!A45:A56,H55,修正!E45:E56)</f>
        <v>0.25</v>
      </c>
      <c r="J55" s="946"/>
      <c r="K55" s="1148"/>
      <c r="L55" s="944"/>
      <c r="M55" s="944"/>
      <c r="N55" s="944"/>
      <c r="O55" s="944"/>
    </row>
    <row r="56" spans="1:17" s="692" customFormat="1">
      <c r="A56" s="693" t="s">
        <v>2780</v>
      </c>
      <c r="B56" s="262" t="e">
        <f t="shared" si="17"/>
        <v>#DIV/0!</v>
      </c>
      <c r="C56" s="200">
        <f t="shared" si="16"/>
        <v>0</v>
      </c>
      <c r="D56" s="1167">
        <v>0.25</v>
      </c>
      <c r="E56" s="261">
        <f>'数据-汇总表'!E11</f>
        <v>0</v>
      </c>
      <c r="F56" s="691" t="e">
        <f t="shared" si="15"/>
        <v>#DIV/0!</v>
      </c>
      <c r="G56" s="2716" t="s">
        <v>2781</v>
      </c>
      <c r="H56" s="1107">
        <f>项目基本情况!C37</f>
        <v>0</v>
      </c>
      <c r="I56" s="945">
        <f>SUMIF(修正!A45:A56,H56,修正!F45:F56)</f>
        <v>0</v>
      </c>
      <c r="J56" s="946"/>
      <c r="K56" s="1147"/>
      <c r="L56" s="944"/>
      <c r="M56" s="944"/>
      <c r="N56" s="944"/>
      <c r="O56" s="944"/>
    </row>
    <row r="57" spans="1:17" s="692" customFormat="1">
      <c r="A57" s="693" t="s">
        <v>2782</v>
      </c>
      <c r="B57" s="262" t="e">
        <f t="shared" si="17"/>
        <v>#DIV/0!</v>
      </c>
      <c r="C57" s="200">
        <f t="shared" si="16"/>
        <v>0</v>
      </c>
      <c r="D57" s="1167">
        <v>0.25</v>
      </c>
      <c r="E57" s="261">
        <f>'数据-汇总表'!E12</f>
        <v>0</v>
      </c>
      <c r="F57" s="691" t="e">
        <f t="shared" si="15"/>
        <v>#DIV/0!</v>
      </c>
      <c r="G57" s="1112" t="s">
        <v>2783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2784</v>
      </c>
      <c r="B58" s="262" t="e">
        <f t="shared" si="17"/>
        <v>#DIV/0!</v>
      </c>
      <c r="C58" s="200">
        <f t="shared" si="16"/>
        <v>0</v>
      </c>
      <c r="D58" s="1167">
        <v>0.25</v>
      </c>
      <c r="E58" s="261">
        <f>'数据-汇总表'!E13</f>
        <v>0</v>
      </c>
      <c r="F58" s="691" t="e">
        <f t="shared" si="15"/>
        <v>#DIV/0!</v>
      </c>
      <c r="G58" s="1112" t="s">
        <v>2785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2786</v>
      </c>
      <c r="B59" s="262" t="e">
        <f t="shared" si="17"/>
        <v>#DIV/0!</v>
      </c>
      <c r="C59" s="200">
        <f t="shared" si="16"/>
        <v>0.2</v>
      </c>
      <c r="D59" s="1167">
        <v>0.25</v>
      </c>
      <c r="E59" s="261">
        <f>'数据-汇总表'!E14</f>
        <v>0</v>
      </c>
      <c r="F59" s="691" t="e">
        <f t="shared" si="15"/>
        <v>#DIV/0!</v>
      </c>
      <c r="G59" s="2716" t="s">
        <v>2776</v>
      </c>
      <c r="H59" s="1107" t="str">
        <f>项目基本情况!B37</f>
        <v>六级</v>
      </c>
      <c r="I59" s="945">
        <f>SUMIF(修正!A45:A56,H59,修正!H45:H56)</f>
        <v>0.2</v>
      </c>
      <c r="J59" s="946"/>
      <c r="K59" s="1148"/>
      <c r="L59" s="944"/>
      <c r="M59" s="944"/>
      <c r="N59" s="944"/>
      <c r="O59" s="944"/>
    </row>
    <row r="60" spans="1:17" s="692" customFormat="1" ht="15" thickBot="1">
      <c r="A60" s="693" t="s">
        <v>2787</v>
      </c>
      <c r="B60" s="262" t="e">
        <f t="shared" si="17"/>
        <v>#DIV/0!</v>
      </c>
      <c r="C60" s="200">
        <f t="shared" si="16"/>
        <v>0</v>
      </c>
      <c r="D60" s="1167">
        <v>0.25</v>
      </c>
      <c r="E60" s="261">
        <f>'数据-汇总表'!E15</f>
        <v>0</v>
      </c>
      <c r="F60" s="691" t="e">
        <f t="shared" si="15"/>
        <v>#DIV/0!</v>
      </c>
      <c r="G60" s="2717" t="s">
        <v>2781</v>
      </c>
      <c r="H60" s="1117">
        <f>项目基本情况!C37</f>
        <v>0</v>
      </c>
      <c r="I60" s="945">
        <f>SUMIF(修正!A45:A56,H60,修正!H45:H56)</f>
        <v>0</v>
      </c>
      <c r="J60" s="946"/>
      <c r="K60" s="1147"/>
      <c r="L60" s="944"/>
      <c r="M60" s="944"/>
      <c r="N60" s="944"/>
      <c r="O60" s="944"/>
    </row>
    <row r="61" spans="1:17" s="692" customFormat="1" ht="15" thickBot="1">
      <c r="A61" s="695" t="s">
        <v>2788</v>
      </c>
      <c r="B61" s="696" t="s">
        <v>28</v>
      </c>
      <c r="C61" s="696" t="s">
        <v>29</v>
      </c>
      <c r="D61" s="696" t="s">
        <v>1029</v>
      </c>
      <c r="E61" s="696" t="e">
        <f>IF(B41="楼面地价",SUM(E51:E60),'数据-汇总表'!D3)</f>
        <v>#DIV/0!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2681</v>
      </c>
      <c r="B64" s="759"/>
      <c r="C64" s="764"/>
      <c r="D64" s="764"/>
      <c r="E64" s="764"/>
      <c r="F64" s="765"/>
      <c r="G64" s="765"/>
      <c r="H64" s="764"/>
      <c r="I64" s="764"/>
      <c r="J64" s="764"/>
      <c r="K64" s="766"/>
      <c r="L64" s="767"/>
      <c r="M64" s="764"/>
      <c r="N64" s="764"/>
      <c r="O64" s="1162"/>
      <c r="P64" s="503"/>
      <c r="Q64" s="504"/>
    </row>
    <row r="65" spans="1:17" s="508" customFormat="1" ht="15">
      <c r="A65" s="2718" t="s">
        <v>2789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3" t="s">
        <v>2809</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2592</v>
      </c>
      <c r="B67" s="516"/>
      <c r="C67" s="517"/>
      <c r="D67" s="518"/>
      <c r="E67" s="518"/>
      <c r="F67" s="518"/>
      <c r="G67" s="518"/>
      <c r="H67" s="518"/>
      <c r="I67" s="518"/>
      <c r="J67" s="518"/>
      <c r="K67" s="518"/>
      <c r="L67" s="518"/>
      <c r="M67" s="519"/>
      <c r="N67" s="519"/>
      <c r="O67" s="520"/>
      <c r="P67" s="504"/>
      <c r="Q67" s="504"/>
    </row>
    <row r="68" spans="1:17" s="117" customFormat="1" ht="15">
      <c r="A68" s="521" t="s">
        <v>2557</v>
      </c>
      <c r="B68" s="510"/>
      <c r="C68" s="522" t="s">
        <v>2659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2595</v>
      </c>
      <c r="B70" s="528" t="s">
        <v>2561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2566</v>
      </c>
      <c r="B83" s="528" t="s">
        <v>2712</v>
      </c>
      <c r="C83" s="573" t="s">
        <v>2604</v>
      </c>
      <c r="D83" s="573" t="s">
        <v>2605</v>
      </c>
      <c r="E83" s="573" t="s">
        <v>2606</v>
      </c>
      <c r="F83" s="573" t="s">
        <v>2607</v>
      </c>
      <c r="G83" s="573" t="s">
        <v>2608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2609</v>
      </c>
      <c r="C85" s="578" t="s">
        <v>2604</v>
      </c>
      <c r="D85" s="578" t="s">
        <v>2605</v>
      </c>
      <c r="E85" s="578" t="s">
        <v>2606</v>
      </c>
      <c r="F85" s="578" t="s">
        <v>2607</v>
      </c>
      <c r="G85" s="578" t="s">
        <v>2608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2792</v>
      </c>
      <c r="C87" s="573" t="s">
        <v>2604</v>
      </c>
      <c r="D87" s="573" t="s">
        <v>2605</v>
      </c>
      <c r="E87" s="573" t="s">
        <v>2606</v>
      </c>
      <c r="F87" s="573" t="s">
        <v>2607</v>
      </c>
      <c r="G87" s="573" t="s">
        <v>2608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2793</v>
      </c>
      <c r="C89" s="573" t="s">
        <v>2604</v>
      </c>
      <c r="D89" s="573" t="s">
        <v>2605</v>
      </c>
      <c r="E89" s="573" t="s">
        <v>2606</v>
      </c>
      <c r="F89" s="573" t="s">
        <v>2607</v>
      </c>
      <c r="G89" s="573" t="s">
        <v>2608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2661</v>
      </c>
      <c r="C91" s="573" t="s">
        <v>2604</v>
      </c>
      <c r="D91" s="573" t="s">
        <v>2605</v>
      </c>
      <c r="E91" s="573" t="s">
        <v>2606</v>
      </c>
      <c r="F91" s="573" t="s">
        <v>2607</v>
      </c>
      <c r="G91" s="573" t="s">
        <v>2608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2810</v>
      </c>
      <c r="C93" s="660" t="s">
        <v>2682</v>
      </c>
      <c r="D93" s="660" t="s">
        <v>2683</v>
      </c>
      <c r="E93" s="660" t="s">
        <v>2684</v>
      </c>
      <c r="F93" s="660" t="s">
        <v>2685</v>
      </c>
      <c r="G93" s="660" t="s">
        <v>2686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2794</v>
      </c>
      <c r="D95" s="539" t="s">
        <v>2795</v>
      </c>
      <c r="E95" s="539" t="s">
        <v>2796</v>
      </c>
      <c r="F95" s="539" t="s">
        <v>2797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2570</v>
      </c>
      <c r="B107" s="528" t="s">
        <v>2798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13" zoomScale="80" zoomScaleNormal="80" zoomScaleSheetLayoutView="96" workbookViewId="0">
      <selection activeCell="C30" sqref="C3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2811</v>
      </c>
      <c r="B1" s="241"/>
      <c r="C1" s="245" t="s">
        <v>2812</v>
      </c>
      <c r="D1" s="388">
        <f>SUM(D29:D30,D33:D39)</f>
        <v>0</v>
      </c>
      <c r="E1" s="2724"/>
      <c r="F1" s="2724"/>
      <c r="G1" s="2724"/>
      <c r="H1" s="2724"/>
      <c r="I1" s="2724"/>
      <c r="J1" s="2724"/>
      <c r="K1" s="1373"/>
      <c r="L1" s="2725" t="s">
        <v>2813</v>
      </c>
      <c r="M1" s="1083">
        <f>SUMPRODUCT((区片价!B5:B9=I2)*(区片价!C3:F3=E2)*(区片价!C5:F9))</f>
        <v>0</v>
      </c>
      <c r="N1" s="1086">
        <f>SUMPRODUCT((因素修正幅度!B5:B9=I2)*(因素修正幅度!C3:F3=E2)*(因素修正幅度!C5:F9))</f>
        <v>0</v>
      </c>
      <c r="O1" s="2726"/>
      <c r="P1" s="2726"/>
      <c r="Q1" s="1373"/>
      <c r="R1" s="1605" t="s">
        <v>2814</v>
      </c>
      <c r="S1" s="1605" t="s">
        <v>2815</v>
      </c>
      <c r="T1" s="1605" t="s">
        <v>2816</v>
      </c>
      <c r="U1" s="1605" t="s">
        <v>2817</v>
      </c>
      <c r="V1" s="1605" t="s">
        <v>2818</v>
      </c>
      <c r="W1" s="1609"/>
      <c r="X1" s="1609"/>
      <c r="Y1" s="1609"/>
      <c r="Z1" s="1609"/>
      <c r="AA1" s="1609"/>
      <c r="AB1" s="1609"/>
      <c r="AC1" s="1610"/>
      <c r="AD1" s="1611"/>
      <c r="AE1" s="1611"/>
      <c r="AF1" s="1611"/>
      <c r="AG1" s="1611"/>
      <c r="AH1" s="1611"/>
      <c r="AI1" s="1611"/>
      <c r="AJ1" s="1612"/>
    </row>
    <row r="2" spans="1:36" ht="15.75">
      <c r="A2" s="245" t="s">
        <v>2819</v>
      </c>
      <c r="B2" s="248">
        <f ca="1">C26</f>
        <v>0</v>
      </c>
      <c r="C2" s="2728" t="s">
        <v>2820</v>
      </c>
      <c r="D2" s="2729" t="s">
        <v>2821</v>
      </c>
      <c r="E2" s="2730" t="s">
        <v>1377</v>
      </c>
      <c r="F2" s="2729" t="s">
        <v>2822</v>
      </c>
      <c r="G2" s="2731" t="str">
        <f>IF(E2="商业",项目基本情况!B37,IF(E2="办公",项目基本情况!C37,IF(E2="住宅",项目基本情况!D37,项目基本情况!E37)))</f>
        <v>六级</v>
      </c>
      <c r="H2" s="2729" t="s">
        <v>2823</v>
      </c>
      <c r="I2" s="2731" t="str">
        <f>IF(E2="商业",项目基本情况!B38,IF(E2="办公",项目基本情况!C38,IF(E2="住宅",项目基本情况!D38,项目基本情况!E38)))</f>
        <v>Ⅵ-通1</v>
      </c>
      <c r="J2" s="2732"/>
      <c r="K2" s="1373"/>
      <c r="L2" s="2733" t="s">
        <v>2824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27674</v>
      </c>
      <c r="U2" s="1606"/>
      <c r="V2" s="1605">
        <f ca="1">ROUND(T2*U2/10000,0)</f>
        <v>0</v>
      </c>
      <c r="W2" s="1609"/>
      <c r="X2" s="1609"/>
      <c r="Y2" s="1609"/>
      <c r="Z2" s="1609"/>
      <c r="AA2" s="1609"/>
      <c r="AB2" s="1609"/>
      <c r="AC2" s="1610"/>
      <c r="AD2" s="1611"/>
      <c r="AE2" s="1611"/>
      <c r="AF2" s="1611"/>
      <c r="AG2" s="1611"/>
      <c r="AH2" s="1611"/>
      <c r="AI2" s="1611"/>
      <c r="AJ2" s="1612"/>
    </row>
    <row r="3" spans="1:36" ht="25.5">
      <c r="A3" s="247" t="s">
        <v>2825</v>
      </c>
      <c r="B3" s="248" t="e">
        <f ca="1">ROUND(B2*10000/D1,0)</f>
        <v>#DIV/0!</v>
      </c>
      <c r="C3" s="2728" t="s">
        <v>2826</v>
      </c>
      <c r="D3" s="2729" t="s">
        <v>2827</v>
      </c>
      <c r="E3" s="2734" t="s">
        <v>3054</v>
      </c>
      <c r="F3" s="2735" t="s">
        <v>3055</v>
      </c>
      <c r="G3" s="916">
        <f>IF(F3="宗地容积率",'数据-汇总表'!I4,IF(F3="估价对象容积率",'数据-汇总表'!I6,'数据-汇总表'!I7))</f>
        <v>2.5</v>
      </c>
      <c r="H3" s="198" t="s">
        <v>2828</v>
      </c>
      <c r="I3" s="947"/>
      <c r="J3" s="2732" t="s">
        <v>2829</v>
      </c>
      <c r="K3" s="1373"/>
      <c r="L3" s="2733" t="s">
        <v>2830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19865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33" t="s">
        <v>2831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16026</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2832</v>
      </c>
      <c r="C5" s="917">
        <f>ROUND(IF(E2="商业",IF(F16="增加",C6*C7+C16,C6*C7-C16),IF(E2="住宅",IF(F16="增加",C6*C12+C16,C6*C12-C16),IF(F16="增加",C6+C16,C6-C16))),0)</f>
        <v>10370</v>
      </c>
      <c r="D5" s="1790">
        <f>ROUND(IF(E2="商业",IF(F16="增加",C6+C16,C6-C16)),0)</f>
        <v>10370</v>
      </c>
      <c r="E5" s="2738"/>
      <c r="F5" s="2738"/>
      <c r="G5" s="2739"/>
      <c r="H5" s="2739"/>
      <c r="I5" s="2739"/>
      <c r="J5" s="2740"/>
      <c r="K5" s="2741"/>
      <c r="L5" s="2733" t="s">
        <v>2833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12859</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2834</v>
      </c>
      <c r="B6" s="2747" t="s">
        <v>2835</v>
      </c>
      <c r="C6" s="918">
        <f>SUMIF(L1:L12,G2,M1:M12)</f>
        <v>10370</v>
      </c>
      <c r="D6" s="2748" t="s">
        <v>2836</v>
      </c>
      <c r="E6" s="2749"/>
      <c r="F6" s="2749"/>
      <c r="G6" s="2750"/>
      <c r="H6" s="2750"/>
      <c r="I6" s="2750"/>
      <c r="J6" s="2751"/>
      <c r="K6" s="1845"/>
      <c r="L6" s="2733" t="s">
        <v>2837</v>
      </c>
      <c r="M6" s="1084">
        <f>SUMPRODUCT((区片价!B110:B157=I2)*(区片价!C3:F3=E2)*(区片价!C110:F157))</f>
        <v>10370</v>
      </c>
      <c r="N6" s="1086">
        <f>SUMPRODUCT((因素修正幅度!B110:B157=I2)*(因素修正幅度!C3:F3=E2)*(因素修正幅度!C110:F157))</f>
        <v>6.8000000000000005E-2</v>
      </c>
      <c r="O6" s="1373"/>
      <c r="P6" s="1373"/>
      <c r="Q6" s="1373"/>
      <c r="R6" s="1605">
        <v>5</v>
      </c>
      <c r="S6" s="1605">
        <f>ROUND(IF(G3&gt;1,IF(R6&lt;7,SUMPRODUCT((B93:B98=R6)*(C92:N92=G2)*(C93:N98)),SUMIF(C92:N92,G2,C100:N100)),IF(R6&lt;7,SUMPRODUCT((B102:B107=R6)*(C92:N92=G2)*(C102:N107)),SUMIF(C92:N92,G2,C109:N109))),4)</f>
        <v>0.73709999999999998</v>
      </c>
      <c r="T6" s="1605">
        <f t="shared" ca="1" si="0"/>
        <v>10950</v>
      </c>
      <c r="U6" s="1606"/>
      <c r="V6" s="1605">
        <f t="shared" ca="1" si="1"/>
        <v>0</v>
      </c>
      <c r="W6" s="1609"/>
      <c r="X6" s="1609"/>
      <c r="Y6" s="1609"/>
      <c r="Z6" s="1609"/>
      <c r="AA6" s="1609"/>
      <c r="AB6" s="1609"/>
      <c r="AC6" s="2742"/>
      <c r="AD6" s="2743"/>
      <c r="AE6" s="2743"/>
      <c r="AF6" s="2743"/>
      <c r="AG6" s="2743"/>
      <c r="AH6" s="2743"/>
      <c r="AI6" s="2743"/>
      <c r="AJ6" s="2744"/>
    </row>
    <row r="7" spans="1:36" ht="24">
      <c r="A7" s="3235" t="str">
        <f>IF(E2="商业",IF(C8="不临58条商业街","",2),"")</f>
        <v/>
      </c>
      <c r="B7" s="2752" t="s">
        <v>2838</v>
      </c>
      <c r="C7" s="919">
        <f>IF(C8="不临58条商业街",1,ROUND(1+(1.6*E8+1.2*E9+0.8*E10+0.4*E11)*C9,4))</f>
        <v>1</v>
      </c>
      <c r="D7" s="2753" t="s">
        <v>2839</v>
      </c>
      <c r="E7" s="948"/>
      <c r="F7" s="2754"/>
      <c r="G7" s="2755"/>
      <c r="H7" s="2755"/>
      <c r="I7" s="2755"/>
      <c r="J7" s="2756"/>
      <c r="K7" s="1845"/>
      <c r="L7" s="2733" t="s">
        <v>2840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9629</v>
      </c>
      <c r="U7" s="1606"/>
      <c r="V7" s="1605">
        <f t="shared" ca="1" si="1"/>
        <v>0</v>
      </c>
      <c r="W7" s="1819" t="s">
        <v>2841</v>
      </c>
      <c r="X7" s="1607" t="str">
        <f>G2</f>
        <v>六级</v>
      </c>
      <c r="Y7" s="1607" t="s">
        <v>2842</v>
      </c>
      <c r="Z7" s="1608">
        <f>G3</f>
        <v>2.5</v>
      </c>
      <c r="AA7" s="1609"/>
      <c r="AB7" s="1609"/>
      <c r="AC7" s="1610"/>
      <c r="AD7" s="1611"/>
      <c r="AE7" s="1611"/>
      <c r="AF7" s="1611"/>
      <c r="AG7" s="1611"/>
      <c r="AH7" s="1611"/>
      <c r="AI7" s="1611"/>
      <c r="AJ7" s="1612"/>
    </row>
    <row r="8" spans="1:36" ht="25.5">
      <c r="A8" s="3236"/>
      <c r="B8" s="198" t="s">
        <v>2843</v>
      </c>
      <c r="C8" s="2757" t="s">
        <v>3056</v>
      </c>
      <c r="D8" s="920" t="s">
        <v>139</v>
      </c>
      <c r="E8" s="921" t="e">
        <f>ROUND(C11/E7,4)</f>
        <v>#DIV/0!</v>
      </c>
      <c r="F8" s="2758" t="s">
        <v>2844</v>
      </c>
      <c r="G8" s="2759"/>
      <c r="H8" s="2759"/>
      <c r="I8" s="2759"/>
      <c r="J8" s="2760"/>
      <c r="K8" s="1373"/>
      <c r="L8" s="2733" t="s">
        <v>2845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6" t="s">
        <v>2846</v>
      </c>
      <c r="X8" s="3247"/>
      <c r="Y8" s="1613" t="s">
        <v>2847</v>
      </c>
      <c r="Z8" s="1613" t="s">
        <v>2848</v>
      </c>
      <c r="AA8" s="1613" t="s">
        <v>2849</v>
      </c>
      <c r="AB8" s="1613" t="s">
        <v>2850</v>
      </c>
      <c r="AC8" s="1613" t="s">
        <v>2851</v>
      </c>
      <c r="AD8" s="1613" t="s">
        <v>2852</v>
      </c>
      <c r="AE8" s="1613" t="s">
        <v>2853</v>
      </c>
      <c r="AF8" s="1613" t="s">
        <v>2854</v>
      </c>
      <c r="AG8" s="1613" t="s">
        <v>2855</v>
      </c>
      <c r="AH8" s="1613" t="s">
        <v>2856</v>
      </c>
      <c r="AI8" s="1613" t="s">
        <v>2857</v>
      </c>
      <c r="AJ8" s="1613" t="s">
        <v>2858</v>
      </c>
    </row>
    <row r="9" spans="1:36" ht="15">
      <c r="A9" s="3236"/>
      <c r="B9" s="198" t="s">
        <v>2859</v>
      </c>
      <c r="C9" s="922">
        <f>SUMIF(修正!C59:C119,C8,修正!E59:E119)</f>
        <v>0</v>
      </c>
      <c r="D9" s="200" t="s">
        <v>140</v>
      </c>
      <c r="E9" s="200" t="e">
        <f>ROUND(C11/E7,4)</f>
        <v>#DIV/0!</v>
      </c>
      <c r="F9" s="2758" t="s">
        <v>2860</v>
      </c>
      <c r="G9" s="2759"/>
      <c r="H9" s="2759"/>
      <c r="I9" s="2759"/>
      <c r="J9" s="2760"/>
      <c r="K9" s="1373"/>
      <c r="L9" s="2733" t="s">
        <v>2861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8" t="s">
        <v>2862</v>
      </c>
      <c r="X9" s="1614" t="s">
        <v>2863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6"/>
      <c r="B10" s="198" t="s">
        <v>2864</v>
      </c>
      <c r="C10" s="200">
        <f>SUMIF(修正!C59:C119,C8,修正!F59:F119)</f>
        <v>0</v>
      </c>
      <c r="D10" s="200" t="s">
        <v>141</v>
      </c>
      <c r="E10" s="200" t="e">
        <f>ROUND(C11/E7,4)</f>
        <v>#DIV/0!</v>
      </c>
      <c r="F10" s="2758" t="s">
        <v>2865</v>
      </c>
      <c r="G10" s="2759"/>
      <c r="H10" s="2759"/>
      <c r="I10" s="2759"/>
      <c r="J10" s="2760"/>
      <c r="K10" s="1373"/>
      <c r="L10" s="2733" t="s">
        <v>2866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6"/>
      <c r="B11" s="2761" t="s">
        <v>2867</v>
      </c>
      <c r="C11" s="923">
        <f>C10/4</f>
        <v>0</v>
      </c>
      <c r="D11" s="923" t="s">
        <v>142</v>
      </c>
      <c r="E11" s="923" t="e">
        <f>ROUND(C11/E7,4)</f>
        <v>#DIV/0!</v>
      </c>
      <c r="F11" s="2762" t="s">
        <v>2868</v>
      </c>
      <c r="G11" s="2763"/>
      <c r="H11" s="2763"/>
      <c r="I11" s="2763"/>
      <c r="J11" s="2764"/>
      <c r="K11" s="1373"/>
      <c r="L11" s="2733" t="s">
        <v>2869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8" t="s">
        <v>2870</v>
      </c>
      <c r="X11" s="1617" t="s">
        <v>2871</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35" t="s">
        <v>2872</v>
      </c>
      <c r="B12" s="2765" t="s">
        <v>2873</v>
      </c>
      <c r="C12" s="919">
        <f>ROUND(C15*D15*E15*F15*G15*H15*I15*J15,4)</f>
        <v>1</v>
      </c>
      <c r="D12" s="2766" t="s">
        <v>2874</v>
      </c>
      <c r="E12" s="2767"/>
      <c r="F12" s="2767"/>
      <c r="G12" s="2768"/>
      <c r="H12" s="2768"/>
      <c r="I12" s="2768"/>
      <c r="J12" s="2769"/>
      <c r="K12" s="1373"/>
      <c r="L12" s="2770" t="s">
        <v>2875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8"/>
      <c r="X12" s="1619" t="s">
        <v>2876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3"/>
      <c r="B13" s="2771" t="s">
        <v>2877</v>
      </c>
      <c r="C13" s="2772" t="s">
        <v>2878</v>
      </c>
      <c r="D13" s="1811" t="s">
        <v>2879</v>
      </c>
      <c r="E13" s="1811" t="s">
        <v>2880</v>
      </c>
      <c r="F13" s="30" t="s">
        <v>2881</v>
      </c>
      <c r="G13" s="2773" t="s">
        <v>2882</v>
      </c>
      <c r="H13" s="2773" t="s">
        <v>2882</v>
      </c>
      <c r="I13" s="2773" t="s">
        <v>2882</v>
      </c>
      <c r="J13" s="2774" t="s">
        <v>2882</v>
      </c>
      <c r="K13" s="1373"/>
      <c r="L13" s="1373"/>
      <c r="M13" s="1373"/>
      <c r="N13" s="1373"/>
      <c r="O13" s="1373"/>
      <c r="P13" s="1373"/>
      <c r="Q13" s="1373"/>
      <c r="R13" s="1605">
        <v>12</v>
      </c>
      <c r="S13" s="1606"/>
      <c r="T13" s="1605">
        <f t="shared" ca="1" si="0"/>
        <v>0</v>
      </c>
      <c r="U13" s="1606"/>
      <c r="V13" s="1605">
        <f t="shared" ca="1" si="1"/>
        <v>0</v>
      </c>
      <c r="W13" s="3248"/>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53"/>
      <c r="B14" s="2775"/>
      <c r="C14" s="2776"/>
      <c r="D14" s="2777"/>
      <c r="E14" s="2777"/>
      <c r="F14" s="2778"/>
      <c r="G14" s="2779" t="s">
        <v>2883</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4"/>
      <c r="B15" s="2783" t="s">
        <v>2884</v>
      </c>
      <c r="C15" s="229">
        <f>IF(C14="有",1.1,1)</f>
        <v>1</v>
      </c>
      <c r="D15" s="229">
        <f>IF(D14="有",1.1,1)</f>
        <v>1</v>
      </c>
      <c r="E15" s="229">
        <f>IF(E14="有",1.1,1)</f>
        <v>1</v>
      </c>
      <c r="F15" s="229">
        <f>IF(F14="500米范围内",1.2,IF(F14="500-1000米",1.1,1))</f>
        <v>1</v>
      </c>
      <c r="G15" s="949">
        <v>1</v>
      </c>
      <c r="H15" s="949">
        <v>1</v>
      </c>
      <c r="I15" s="949">
        <v>1</v>
      </c>
      <c r="J15" s="950">
        <v>1</v>
      </c>
      <c r="K15" s="1373"/>
      <c r="L15" s="2784" t="s">
        <v>2821</v>
      </c>
      <c r="M15" s="920" t="s">
        <v>2885</v>
      </c>
      <c r="N15" s="920" t="s">
        <v>2886</v>
      </c>
      <c r="O15" s="920" t="s">
        <v>2887</v>
      </c>
      <c r="P15" s="2785" t="s">
        <v>2888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5" t="s">
        <v>2889</v>
      </c>
      <c r="B16" s="2752" t="s">
        <v>2890</v>
      </c>
      <c r="C16" s="1804">
        <f>ROUND(SUM(G17:J17)/C17,0)</f>
        <v>0</v>
      </c>
      <c r="D16" s="2786" t="s">
        <v>2891</v>
      </c>
      <c r="E16" s="2787"/>
      <c r="F16" s="2788"/>
      <c r="G16" s="2789"/>
      <c r="H16" s="2789"/>
      <c r="I16" s="2789"/>
      <c r="J16" s="2790"/>
      <c r="K16" s="1373"/>
      <c r="L16" s="2791" t="s">
        <v>2892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6"/>
      <c r="B17" s="2792" t="s">
        <v>2893</v>
      </c>
      <c r="C17" s="924">
        <f>SUMPRODUCT((修正!A2:A5=E2)*(修正!B1:M1=G2)*(修正!B2:M5))</f>
        <v>2.5</v>
      </c>
      <c r="D17" s="2793" t="s">
        <v>2894</v>
      </c>
      <c r="E17" s="923" t="str">
        <f>IF(OR(G2="八级",G2="九级",G2="十级",G2="十一级",G2="十二级"),"五通一平","七通一平")</f>
        <v>七通一平</v>
      </c>
      <c r="F17" s="924" t="s">
        <v>2895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2897</v>
      </c>
      <c r="C18" s="926">
        <f>SUMIF(修正!C18:C39,E3,修正!E18:E39)</f>
        <v>1.1000000000000001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2898</v>
      </c>
      <c r="C19" s="927">
        <f>ROUND(IF(H19="按公示增长率计算",SUMPRODUCT((地价!A3:A23=YEAR(G19)&amp;"-"&amp;ROUNDUP(MONTH(G19)/3,0))*(地价!X2:AB2=E2)*(地价!X3:AB23)),IF(H19="地价指数",M20/M19,(1+I19)^O19)),4)</f>
        <v>1.3023</v>
      </c>
      <c r="D19" s="2804" t="s">
        <v>2899</v>
      </c>
      <c r="E19" s="928">
        <v>41640</v>
      </c>
      <c r="F19" s="2804" t="s">
        <v>2900</v>
      </c>
      <c r="G19" s="929">
        <f>'数据-取费表'!B2</f>
        <v>43307</v>
      </c>
      <c r="H19" s="2805" t="s">
        <v>2901</v>
      </c>
      <c r="I19" s="930" t="str">
        <f>IF(H19="季度增幅（自定义）",SUMIF(N21:N24,E2,O21:O24),"")</f>
        <v/>
      </c>
      <c r="J19" s="2802"/>
      <c r="K19" s="1380"/>
      <c r="L19" s="2806" t="s">
        <v>2902</v>
      </c>
      <c r="M19" s="1737">
        <f>ROUND(SUMIF(地价!B2:F2,E2,地价!B23:F23),0)</f>
        <v>258</v>
      </c>
      <c r="N19" s="2807" t="s">
        <v>2903</v>
      </c>
      <c r="O19" s="931">
        <f>ROUNDDOWN(DATEDIF(E19,G19,"M")/3,0)</f>
        <v>18</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2904</v>
      </c>
      <c r="C20" s="932">
        <f ca="1">ROUND(POWER(1+G20,J20-I20)*(POWER(1+G20,I20)-1)/(POWER(1+G20,J20)-1),4)</f>
        <v>1</v>
      </c>
      <c r="D20" s="2813" t="s">
        <v>2905</v>
      </c>
      <c r="E20" s="1771">
        <f ca="1">存贷款利率!D4/100</f>
        <v>4.3499999999999997E-2</v>
      </c>
      <c r="F20" s="2813" t="s">
        <v>2896</v>
      </c>
      <c r="G20" s="937">
        <f ca="1">SUMIF(M15:P15,E2,M17:P17)</f>
        <v>5.3999999999999999E-2</v>
      </c>
      <c r="H20" s="2813" t="s">
        <v>2906</v>
      </c>
      <c r="I20" s="938">
        <f>SUMIF('数据-取费表'!C6:C15,E2,'数据-取费表'!F6:F15)/COUNTIF('数据-取费表'!C6:C15,E2)</f>
        <v>40</v>
      </c>
      <c r="J20" s="939">
        <f>IF(E2="住宅",70,IF(E2="商业",40,50))</f>
        <v>40</v>
      </c>
      <c r="K20" s="1380"/>
      <c r="L20" s="2814" t="s">
        <v>2907</v>
      </c>
      <c r="M20" s="1738">
        <f>ROUND(SUMPRODUCT((地价!A4:A23=YEAR(G19)&amp;"-"&amp;ROUNDUP(MONTH(G19)/3,0))*(地价!B2:F2=E2)*(地价!B4:F23)),0)</f>
        <v>336</v>
      </c>
      <c r="N20" s="2815" t="s">
        <v>2908</v>
      </c>
      <c r="O20" s="2816" t="s">
        <v>2909</v>
      </c>
      <c r="P20" s="2817" t="s">
        <v>2910</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3058</v>
      </c>
      <c r="C21" s="940">
        <f>IF(B21="容积率修正",IF(G3&lt;=10,D22,J22),C23)</f>
        <v>1</v>
      </c>
      <c r="D21" s="2820"/>
      <c r="E21" s="2820"/>
      <c r="F21" s="2820"/>
      <c r="G21" s="2820"/>
      <c r="H21" s="2820"/>
      <c r="I21" s="2820"/>
      <c r="J21" s="2821"/>
      <c r="K21" s="1380"/>
      <c r="N21" s="2822" t="s">
        <v>2911</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5" customFormat="1" ht="14.25">
      <c r="A22" s="2671" t="s">
        <v>2912</v>
      </c>
      <c r="B22" s="2823" t="s">
        <v>2913</v>
      </c>
      <c r="C22" s="1813" t="s">
        <v>2914</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2915</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1" t="s">
        <v>2916</v>
      </c>
      <c r="B23" s="2824" t="s">
        <v>2917</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2918</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2919</v>
      </c>
      <c r="C24" s="927">
        <f>SUMIF(A45:A88,E2,B45:B88)</f>
        <v>1</v>
      </c>
      <c r="D24" s="2800"/>
      <c r="E24" s="2830"/>
      <c r="F24" s="2830"/>
      <c r="G24" s="2830"/>
      <c r="H24" s="2830"/>
      <c r="I24" s="2830"/>
      <c r="J24" s="2831"/>
      <c r="K24" s="1380"/>
      <c r="N24" s="2832" t="s">
        <v>2920</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2921</v>
      </c>
      <c r="C25" s="933"/>
      <c r="D25" s="2755"/>
      <c r="E25" s="2755"/>
      <c r="F25" s="2834"/>
      <c r="G25" s="2755"/>
      <c r="H25" s="2755"/>
      <c r="I25" s="2755"/>
      <c r="J25" s="2756"/>
      <c r="K25" s="1373"/>
      <c r="N25" s="2835" t="s">
        <v>2922</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6"/>
      <c r="B26" s="2823" t="s">
        <v>2923</v>
      </c>
      <c r="C26" s="206">
        <f ca="1">E29+SUM(E33:E39)</f>
        <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2924</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2925</v>
      </c>
      <c r="C28" s="2847" t="s">
        <v>2926</v>
      </c>
      <c r="D28" s="2847" t="s">
        <v>2927</v>
      </c>
      <c r="E28" s="2848" t="s">
        <v>2928</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2929</v>
      </c>
      <c r="C29" s="206">
        <f ca="1">ROUND(C5*C18*C19*C20*C21*C24,0)</f>
        <v>14855</v>
      </c>
      <c r="D29" s="2852"/>
      <c r="E29" s="945">
        <f ca="1">ROUND(C29*D29/10000,0)</f>
        <v>0</v>
      </c>
      <c r="F29" s="2853" t="s">
        <v>2930</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2931</v>
      </c>
      <c r="C30" s="229">
        <f ca="1">ROUND(IF(E2="工业",C29*M39,C29*M38),0)</f>
        <v>3714</v>
      </c>
      <c r="D30" s="2858"/>
      <c r="E30" s="945">
        <f ca="1">ROUND(C30*D30/10000,0)</f>
        <v>0</v>
      </c>
      <c r="F30" s="2859" t="s">
        <v>2932</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2933</v>
      </c>
      <c r="C31" s="2864" t="s">
        <v>2934</v>
      </c>
      <c r="D31" s="2768"/>
      <c r="E31" s="2864"/>
      <c r="F31" s="2864"/>
      <c r="G31" s="2766" t="s">
        <v>2935</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2926</v>
      </c>
      <c r="D32" s="498" t="s">
        <v>2927</v>
      </c>
      <c r="E32" s="498" t="s">
        <v>2928</v>
      </c>
      <c r="F32" s="388" t="s">
        <v>2936</v>
      </c>
      <c r="G32" s="2867" t="s">
        <v>2926</v>
      </c>
      <c r="H32" s="2867" t="s">
        <v>2927</v>
      </c>
      <c r="I32" s="2867"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3" t="s">
        <v>2937</v>
      </c>
      <c r="B33" s="2868" t="s">
        <v>2938</v>
      </c>
      <c r="C33" s="206">
        <f ca="1">ROUND(D5*C19*C20*C24*F33,0)</f>
        <v>9453</v>
      </c>
      <c r="D33" s="2852"/>
      <c r="E33" s="200">
        <f ca="1">ROUND(C33*D33/10000,0)</f>
        <v>0</v>
      </c>
      <c r="F33" s="200">
        <f>SUMIF(修正!A45:A56,G2,修正!B45:B56)</f>
        <v>0.7</v>
      </c>
      <c r="G33" s="200">
        <f t="shared" ref="G33" ca="1" si="6">ROUND(IF(E2="工业",C33*$M$39,C33*$M$38),0)</f>
        <v>2363</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4"/>
      <c r="B34" s="2772" t="s">
        <v>2939</v>
      </c>
      <c r="C34" s="206">
        <f ca="1">ROUND(D5*C19*C20*C24*F34,0)</f>
        <v>5402</v>
      </c>
      <c r="D34" s="2852"/>
      <c r="E34" s="200">
        <f t="shared" ref="E34:E39" ca="1" si="7">ROUND(C34*D34/10000,0)</f>
        <v>0</v>
      </c>
      <c r="F34" s="200">
        <f>SUMIF(修正!A45:A56,G2,修正!C45:C56)</f>
        <v>0.4</v>
      </c>
      <c r="G34" s="200">
        <f ca="1">ROUND(IF(E2="工业",C34*$M$39,C34*$M$38),0)</f>
        <v>1351</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4"/>
      <c r="B35" s="2772" t="s">
        <v>2940</v>
      </c>
      <c r="C35" s="206">
        <f ca="1">ROUND(D5*C19*C20*C24*F35,0)</f>
        <v>3781</v>
      </c>
      <c r="D35" s="2852"/>
      <c r="E35" s="200">
        <f t="shared" ca="1" si="7"/>
        <v>0</v>
      </c>
      <c r="F35" s="200">
        <f>SUMIF(修正!A45:A56,G2,修正!D45:D56)</f>
        <v>0.28000000000000003</v>
      </c>
      <c r="G35" s="200">
        <f ca="1">ROUND(IF(E2="工业",C35*$M$39,C35*$M$38),0)</f>
        <v>945</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45"/>
      <c r="B36" s="2772" t="s">
        <v>2941</v>
      </c>
      <c r="C36" s="206">
        <f ca="1">ROUND(D5*C19*C20*C24*F36,0)</f>
        <v>3376</v>
      </c>
      <c r="D36" s="2852"/>
      <c r="E36" s="200">
        <f t="shared" ca="1" si="7"/>
        <v>0</v>
      </c>
      <c r="F36" s="200">
        <f>SUMIF(修正!A45:A56,G2,修正!E45:E56)</f>
        <v>0.25</v>
      </c>
      <c r="G36" s="200">
        <f ca="1">ROUND(IF(E2="工业",C36*$M$39,C36*$M$38),0)</f>
        <v>844</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2942</v>
      </c>
      <c r="C37" s="200">
        <f ca="1">ROUND(C5*C19*C20*C24*F37,0)</f>
        <v>3376</v>
      </c>
      <c r="D37" s="2852"/>
      <c r="E37" s="200">
        <f t="shared" ca="1" si="7"/>
        <v>0</v>
      </c>
      <c r="F37" s="206">
        <f>SUMIF(修正!A45:A56,G2,修正!F45:F56)</f>
        <v>0.25</v>
      </c>
      <c r="G37" s="200">
        <f ca="1">ROUND(IF(E2="工业",C37*$M$39,C37*$M$38),0)</f>
        <v>844</v>
      </c>
      <c r="H37" s="200">
        <f t="shared" si="8"/>
        <v>0</v>
      </c>
      <c r="I37" s="200">
        <f t="shared" ca="1" si="9"/>
        <v>0</v>
      </c>
      <c r="J37" s="2869"/>
      <c r="K37" s="1373"/>
      <c r="L37" s="2871" t="s">
        <v>2943</v>
      </c>
      <c r="M37" s="2872"/>
      <c r="N37" s="1373"/>
      <c r="O37" s="1373"/>
      <c r="P37" s="1373"/>
      <c r="Q37" s="1373"/>
      <c r="R37" s="1373"/>
      <c r="S37" s="1373"/>
      <c r="T37" s="1373"/>
      <c r="U37" s="1373"/>
      <c r="V37" s="1373"/>
      <c r="W37" s="1373"/>
      <c r="X37" s="1373"/>
      <c r="Y37" s="1373"/>
      <c r="Z37" s="1374"/>
    </row>
    <row r="38" spans="1:37">
      <c r="A38" s="2870"/>
      <c r="B38" s="2772" t="s">
        <v>2944</v>
      </c>
      <c r="C38" s="200">
        <f ca="1">ROUND(C5*C19*C20*C24*F38,0)</f>
        <v>3376</v>
      </c>
      <c r="D38" s="2852"/>
      <c r="E38" s="200">
        <f t="shared" ca="1" si="7"/>
        <v>0</v>
      </c>
      <c r="F38" s="206">
        <f>SUMIF(修正!A45:A56,G2,修正!G45:G56)</f>
        <v>0.25</v>
      </c>
      <c r="G38" s="200">
        <f ca="1">ROUND(IF(E2="工业",C38*$M$39,C38*$M$38),0)</f>
        <v>844</v>
      </c>
      <c r="H38" s="200">
        <f t="shared" si="8"/>
        <v>0</v>
      </c>
      <c r="I38" s="200">
        <f t="shared" ca="1" si="9"/>
        <v>0</v>
      </c>
      <c r="J38" s="2869"/>
      <c r="K38" s="1373"/>
      <c r="L38" s="1890" t="s">
        <v>2945</v>
      </c>
      <c r="M38" s="2873">
        <v>0.25</v>
      </c>
      <c r="N38" s="1373"/>
      <c r="O38" s="1373"/>
      <c r="P38" s="1373"/>
      <c r="Q38" s="1373"/>
      <c r="R38" s="1373"/>
      <c r="S38" s="1373"/>
      <c r="T38" s="1373"/>
      <c r="U38" s="1373"/>
      <c r="V38" s="1373"/>
      <c r="W38" s="1373"/>
      <c r="X38" s="1373"/>
      <c r="Y38" s="1373"/>
      <c r="Z38" s="1374"/>
    </row>
    <row r="39" spans="1:37" ht="13.5" thickBot="1">
      <c r="A39" s="2856"/>
      <c r="B39" s="2874" t="s">
        <v>2946</v>
      </c>
      <c r="C39" s="229">
        <f ca="1">ROUND(C5*C19*C20*C24*F39,0)</f>
        <v>2701</v>
      </c>
      <c r="D39" s="2858"/>
      <c r="E39" s="229">
        <f t="shared" ca="1" si="7"/>
        <v>0</v>
      </c>
      <c r="F39" s="935">
        <f>SUMIF(修正!A45:A56,G2,修正!H45:H56)</f>
        <v>0.2</v>
      </c>
      <c r="G39" s="229">
        <f ca="1">ROUND(IF(E2="工业",C39*$M$39,C39*$M$38),0)</f>
        <v>675</v>
      </c>
      <c r="H39" s="229">
        <f t="shared" si="8"/>
        <v>0</v>
      </c>
      <c r="I39" s="229">
        <f t="shared" ca="1" si="9"/>
        <v>0</v>
      </c>
      <c r="J39" s="2875"/>
      <c r="K39" s="1373"/>
      <c r="L39" s="2876" t="s">
        <v>2888</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2947</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2948</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2949</v>
      </c>
      <c r="B47" s="1812" t="s">
        <v>2950</v>
      </c>
      <c r="C47" s="1812" t="s">
        <v>2951</v>
      </c>
      <c r="D47" s="1812" t="s">
        <v>2952</v>
      </c>
      <c r="E47" s="819" t="s">
        <v>2953</v>
      </c>
      <c r="F47" s="2886" t="s">
        <v>2954</v>
      </c>
      <c r="G47" s="1812" t="s">
        <v>754</v>
      </c>
      <c r="H47" s="2887" t="s">
        <v>2955</v>
      </c>
      <c r="I47" s="1812" t="s">
        <v>2956</v>
      </c>
      <c r="J47" s="603" t="s">
        <v>2604</v>
      </c>
      <c r="K47" s="603" t="s">
        <v>2605</v>
      </c>
      <c r="L47" s="603" t="s">
        <v>2606</v>
      </c>
      <c r="M47" s="603" t="s">
        <v>2607</v>
      </c>
      <c r="N47" s="603" t="s">
        <v>2608</v>
      </c>
      <c r="AA47" s="1374"/>
      <c r="AB47" s="1374"/>
      <c r="AC47" s="1374"/>
      <c r="AD47" s="1374"/>
      <c r="AE47" s="1374"/>
      <c r="AF47" s="1374"/>
      <c r="AG47" s="1374"/>
      <c r="AH47" s="1374"/>
      <c r="AI47" s="1374"/>
      <c r="AJ47" s="1374"/>
      <c r="AK47" s="1374"/>
    </row>
    <row r="48" spans="1:37" s="1373" customFormat="1" ht="38.25">
      <c r="A48" s="2885" t="s">
        <v>2957</v>
      </c>
      <c r="B48" s="2888" t="str">
        <f>估价对象房地状况!C4</f>
        <v>估价对象位于XX商圈，周边商业氛围成熟，人流量大，商业繁华度好</v>
      </c>
      <c r="C48" s="2777"/>
      <c r="D48" s="1289">
        <f t="shared" ref="D48:D56" si="10">SUMIF($J$47:$N$47,C48,J48:N48)</f>
        <v>0</v>
      </c>
      <c r="E48" s="821">
        <f>ROUND(SUM(D48:D56),4)</f>
        <v>0</v>
      </c>
      <c r="F48" s="2508">
        <f>IF(E2="商业",SUMIF(L1:L12,G2,N1:N12),"——")</f>
        <v>6.8000000000000005E-2</v>
      </c>
      <c r="G48" s="1287"/>
      <c r="H48" s="1291">
        <f t="shared" ref="H48:H56" si="11">IFERROR(ROUNDDOWN($F$48*I48/2,4),"——")</f>
        <v>1.12E-2</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2958</v>
      </c>
      <c r="B49" s="2889" t="str">
        <f>估价对象房地状况!C18</f>
        <v>估价对象周边道路状况、公共交通通达情况、停车便捷程度，综合评价交通便捷度较好</v>
      </c>
      <c r="C49" s="2777"/>
      <c r="D49" s="1289">
        <f t="shared" si="10"/>
        <v>0</v>
      </c>
      <c r="E49" s="822"/>
      <c r="F49" s="2508"/>
      <c r="G49" s="1287"/>
      <c r="H49" s="1291">
        <f t="shared" si="11"/>
        <v>8.5000000000000006E-3</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2959</v>
      </c>
      <c r="B50" s="2889">
        <f>估价对象房地状况!C19</f>
        <v>0</v>
      </c>
      <c r="C50" s="2777"/>
      <c r="D50" s="1289">
        <f t="shared" si="10"/>
        <v>0</v>
      </c>
      <c r="E50" s="822"/>
      <c r="F50" s="2508"/>
      <c r="G50" s="1287"/>
      <c r="H50" s="1291">
        <f t="shared" si="11"/>
        <v>1.6999999999999999E-3</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2960</v>
      </c>
      <c r="B51" s="2890" t="s">
        <v>2961</v>
      </c>
      <c r="C51" s="2777"/>
      <c r="D51" s="1289">
        <f t="shared" si="10"/>
        <v>0</v>
      </c>
      <c r="E51" s="822"/>
      <c r="F51" s="2508"/>
      <c r="G51" s="1287"/>
      <c r="H51" s="1291">
        <f t="shared" si="11"/>
        <v>1.6999999999999999E-3</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2962</v>
      </c>
      <c r="B52" s="2889">
        <f>估价对象房地状况!C24</f>
        <v>0</v>
      </c>
      <c r="C52" s="2777"/>
      <c r="D52" s="1289">
        <f t="shared" si="10"/>
        <v>0</v>
      </c>
      <c r="E52" s="822"/>
      <c r="F52" s="2508"/>
      <c r="G52" s="1287"/>
      <c r="H52" s="1291">
        <f t="shared" si="11"/>
        <v>2.7000000000000001E-3</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2963</v>
      </c>
      <c r="B53" s="2891" t="s">
        <v>2964</v>
      </c>
      <c r="C53" s="2777"/>
      <c r="D53" s="1289">
        <f t="shared" si="10"/>
        <v>0</v>
      </c>
      <c r="E53" s="822"/>
      <c r="F53" s="2508"/>
      <c r="G53" s="1287"/>
      <c r="H53" s="1291">
        <f t="shared" si="11"/>
        <v>1E-3</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2965</v>
      </c>
      <c r="B54" s="1728" t="str">
        <f>估价对象房地状况!C21</f>
        <v>估价对象所在区域公共配套设施齐备情况</v>
      </c>
      <c r="C54" s="2777"/>
      <c r="D54" s="1289">
        <f t="shared" si="10"/>
        <v>0</v>
      </c>
      <c r="E54" s="822"/>
      <c r="F54" s="2508"/>
      <c r="G54" s="1287"/>
      <c r="H54" s="1291">
        <f t="shared" si="11"/>
        <v>1.6999999999999999E-3</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2966</v>
      </c>
      <c r="B55" s="2889" t="str">
        <f>估价对象房地状况!C22</f>
        <v>估价对象所在区域基础设施水平</v>
      </c>
      <c r="C55" s="2777"/>
      <c r="D55" s="1289">
        <f t="shared" si="10"/>
        <v>0</v>
      </c>
      <c r="E55" s="822"/>
      <c r="F55" s="2508"/>
      <c r="G55" s="1287"/>
      <c r="H55" s="1291">
        <f t="shared" si="11"/>
        <v>3.3999999999999998E-3</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2967</v>
      </c>
      <c r="B56" s="2894" t="str">
        <f>估价对象房地状况!C20</f>
        <v>区域自然环境：；人文环境；综合评价环境状况一般</v>
      </c>
      <c r="C56" s="2777"/>
      <c r="D56" s="1289">
        <f t="shared" si="10"/>
        <v>0</v>
      </c>
      <c r="E56" s="825"/>
      <c r="F56" s="2508"/>
      <c r="G56" s="1287"/>
      <c r="H56" s="1291">
        <f t="shared" si="11"/>
        <v>2E-3</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2968</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2949</v>
      </c>
      <c r="B58" s="1812"/>
      <c r="C58" s="1812" t="s">
        <v>2951</v>
      </c>
      <c r="D58" s="1812" t="s">
        <v>2952</v>
      </c>
      <c r="E58" s="819" t="s">
        <v>2953</v>
      </c>
      <c r="F58" s="2886" t="s">
        <v>2969</v>
      </c>
      <c r="G58" s="1812" t="s">
        <v>754</v>
      </c>
      <c r="H58" s="2887" t="s">
        <v>2955</v>
      </c>
      <c r="I58" s="1812" t="s">
        <v>2956</v>
      </c>
      <c r="J58" s="603" t="s">
        <v>2604</v>
      </c>
      <c r="K58" s="603" t="s">
        <v>2605</v>
      </c>
      <c r="L58" s="603" t="s">
        <v>2606</v>
      </c>
      <c r="M58" s="603" t="s">
        <v>2607</v>
      </c>
      <c r="N58" s="603" t="s">
        <v>2608</v>
      </c>
      <c r="AA58" s="1374"/>
      <c r="AB58" s="1374"/>
      <c r="AC58" s="1374"/>
      <c r="AD58" s="1374"/>
      <c r="AE58" s="1374"/>
      <c r="AF58" s="1374"/>
      <c r="AG58" s="1374"/>
      <c r="AH58" s="1374"/>
      <c r="AI58" s="1374"/>
      <c r="AJ58" s="1374"/>
      <c r="AK58" s="1374"/>
    </row>
    <row r="59" spans="1:37" s="1373" customFormat="1" ht="38.25">
      <c r="A59" s="2885" t="s">
        <v>2970</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2958</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2959</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2960</v>
      </c>
      <c r="B62" s="2890" t="s">
        <v>2961</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2962</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2963</v>
      </c>
      <c r="B64" s="2891" t="s">
        <v>2964</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2965</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2966</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2967</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2971</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2949</v>
      </c>
      <c r="B69" s="1812"/>
      <c r="C69" s="1812" t="s">
        <v>2951</v>
      </c>
      <c r="D69" s="1812" t="s">
        <v>2952</v>
      </c>
      <c r="E69" s="819" t="s">
        <v>2953</v>
      </c>
      <c r="F69" s="2886" t="s">
        <v>2969</v>
      </c>
      <c r="G69" s="1812" t="s">
        <v>754</v>
      </c>
      <c r="H69" s="2887" t="s">
        <v>2955</v>
      </c>
      <c r="I69" s="1812" t="s">
        <v>2956</v>
      </c>
      <c r="J69" s="603" t="s">
        <v>2604</v>
      </c>
      <c r="K69" s="603" t="s">
        <v>2605</v>
      </c>
      <c r="L69" s="603" t="s">
        <v>2606</v>
      </c>
      <c r="M69" s="603" t="s">
        <v>2607</v>
      </c>
      <c r="N69" s="603" t="s">
        <v>2608</v>
      </c>
      <c r="AA69" s="1374"/>
      <c r="AB69" s="1374"/>
      <c r="AC69" s="1374"/>
      <c r="AD69" s="1374"/>
      <c r="AE69" s="1374"/>
      <c r="AF69" s="1374"/>
      <c r="AG69" s="1374"/>
      <c r="AH69" s="1374"/>
      <c r="AI69" s="1374"/>
      <c r="AJ69" s="1374"/>
      <c r="AK69" s="1374"/>
    </row>
    <row r="70" spans="1:37" s="1373" customFormat="1" ht="51">
      <c r="A70" s="2885" t="s">
        <v>2972</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2958</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2959</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2973</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2965</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2966</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2963</v>
      </c>
      <c r="B76" s="2891" t="s">
        <v>2964</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2967</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2974</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2975</v>
      </c>
      <c r="B79" s="2882">
        <f>1+E81</f>
        <v>1</v>
      </c>
      <c r="C79" s="814"/>
      <c r="D79" s="814"/>
      <c r="E79" s="815"/>
      <c r="F79" s="2884"/>
      <c r="G79" s="6"/>
      <c r="H79" s="6"/>
      <c r="I79" s="6"/>
      <c r="J79" s="7"/>
      <c r="K79" s="7"/>
      <c r="L79" s="7"/>
      <c r="M79" s="7"/>
      <c r="N79" s="7"/>
      <c r="Z79" s="2727"/>
      <c r="AA79" s="2803"/>
      <c r="AG79" s="1375"/>
      <c r="AK79" s="2803"/>
    </row>
    <row r="80" spans="1:37" ht="24.75">
      <c r="A80" s="2885" t="s">
        <v>2949</v>
      </c>
      <c r="B80" s="1812"/>
      <c r="C80" s="1812" t="s">
        <v>2951</v>
      </c>
      <c r="D80" s="1812" t="s">
        <v>2952</v>
      </c>
      <c r="E80" s="819" t="s">
        <v>2953</v>
      </c>
      <c r="F80" s="2886" t="s">
        <v>2969</v>
      </c>
      <c r="G80" s="1812" t="s">
        <v>754</v>
      </c>
      <c r="H80" s="2887" t="s">
        <v>2955</v>
      </c>
      <c r="I80" s="1812" t="s">
        <v>2956</v>
      </c>
      <c r="J80" s="603" t="s">
        <v>2604</v>
      </c>
      <c r="K80" s="603" t="s">
        <v>2605</v>
      </c>
      <c r="L80" s="603" t="s">
        <v>2606</v>
      </c>
      <c r="M80" s="603" t="s">
        <v>2607</v>
      </c>
      <c r="N80" s="603" t="s">
        <v>2608</v>
      </c>
      <c r="Z80" s="2727"/>
      <c r="AA80" s="2803"/>
      <c r="AG80" s="1375"/>
      <c r="AK80" s="2803"/>
    </row>
    <row r="81" spans="1:37" ht="38.25">
      <c r="A81" s="2885" t="s">
        <v>2976</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2958</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2959</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2973</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2965</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2966</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2963</v>
      </c>
      <c r="B87" s="2891" t="s">
        <v>2977</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2978</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37" t="s">
        <v>2979</v>
      </c>
      <c r="B90" s="3237"/>
      <c r="C90" s="3237"/>
      <c r="D90" s="3237"/>
      <c r="E90" s="3237"/>
      <c r="F90" s="3237"/>
      <c r="G90" s="3237"/>
      <c r="H90" s="3237"/>
      <c r="I90" s="3237"/>
      <c r="J90" s="3237"/>
      <c r="K90" s="2899"/>
      <c r="L90" s="2899"/>
      <c r="M90" s="2899"/>
      <c r="N90" s="2899"/>
    </row>
    <row r="91" spans="1:37">
      <c r="A91" s="3239" t="s">
        <v>2980</v>
      </c>
      <c r="B91" s="3239" t="s">
        <v>2981</v>
      </c>
      <c r="C91" s="2853" t="s">
        <v>2982</v>
      </c>
      <c r="D91" s="2854"/>
      <c r="E91" s="2854"/>
      <c r="F91" s="2854"/>
      <c r="G91" s="2854"/>
      <c r="H91" s="2854"/>
      <c r="I91" s="2854"/>
      <c r="J91" s="2900"/>
      <c r="K91" s="2901"/>
      <c r="L91" s="2901"/>
      <c r="M91" s="2901"/>
      <c r="N91" s="2901"/>
    </row>
    <row r="92" spans="1:37">
      <c r="A92" s="3239"/>
      <c r="B92" s="3239"/>
      <c r="C92" s="945" t="s">
        <v>2847</v>
      </c>
      <c r="D92" s="945" t="s">
        <v>2848</v>
      </c>
      <c r="E92" s="945" t="s">
        <v>2849</v>
      </c>
      <c r="F92" s="945" t="s">
        <v>2850</v>
      </c>
      <c r="G92" s="945" t="s">
        <v>2851</v>
      </c>
      <c r="H92" s="945" t="s">
        <v>2852</v>
      </c>
      <c r="I92" s="945" t="s">
        <v>2853</v>
      </c>
      <c r="J92" s="945" t="s">
        <v>2854</v>
      </c>
      <c r="K92" s="945" t="s">
        <v>2855</v>
      </c>
      <c r="L92" s="945" t="s">
        <v>2856</v>
      </c>
      <c r="M92" s="945" t="s">
        <v>2857</v>
      </c>
      <c r="N92" s="945" t="s">
        <v>2858</v>
      </c>
    </row>
    <row r="93" spans="1:37">
      <c r="A93" s="3240" t="s">
        <v>2983</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1"/>
      <c r="B99" s="2902" t="s">
        <v>2863</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2"/>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0" t="s">
        <v>2984</v>
      </c>
      <c r="B101" s="2906" t="s">
        <v>2985</v>
      </c>
      <c r="C101" s="2907">
        <f>$G$3</f>
        <v>2.5</v>
      </c>
      <c r="D101" s="2907">
        <f t="shared" ref="D101:N101" si="31">$G$3</f>
        <v>2.5</v>
      </c>
      <c r="E101" s="2907">
        <f t="shared" si="31"/>
        <v>2.5</v>
      </c>
      <c r="F101" s="2907">
        <f t="shared" si="31"/>
        <v>2.5</v>
      </c>
      <c r="G101" s="2907">
        <f t="shared" si="31"/>
        <v>2.5</v>
      </c>
      <c r="H101" s="2907">
        <f t="shared" si="31"/>
        <v>2.5</v>
      </c>
      <c r="I101" s="2907">
        <f t="shared" si="31"/>
        <v>2.5</v>
      </c>
      <c r="J101" s="2907">
        <f t="shared" si="31"/>
        <v>2.5</v>
      </c>
      <c r="K101" s="2907">
        <f t="shared" si="31"/>
        <v>2.5</v>
      </c>
      <c r="L101" s="2907">
        <f t="shared" si="31"/>
        <v>2.5</v>
      </c>
      <c r="M101" s="2907">
        <f t="shared" si="31"/>
        <v>2.5</v>
      </c>
      <c r="N101" s="2907">
        <f t="shared" si="31"/>
        <v>2.5</v>
      </c>
    </row>
    <row r="102" spans="1:14">
      <c r="A102" s="3241"/>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241"/>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241"/>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241"/>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241"/>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241"/>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241"/>
      <c r="B108" s="3069" t="s">
        <v>2986</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2"/>
      <c r="B109" s="3070"/>
      <c r="C109" s="2905">
        <f>(-0.163*(C108^2)-0.59*C108+7617)*(10^(-4))/C101</f>
        <v>0.30468000000000001</v>
      </c>
      <c r="D109" s="2905">
        <f>(-0.163*(D108^2)-0.59*D108+7617)*(10^(-4))/D101</f>
        <v>0.30468000000000001</v>
      </c>
      <c r="E109" s="2905">
        <f>(-0.161*(E108^2)-7.509*E108+6533)*(10^(-4))/E101</f>
        <v>0.26132</v>
      </c>
      <c r="F109" s="2905">
        <f>(-0.161*(F108^2)-7.509*F108+6533)*(10^(-4))/F101</f>
        <v>0.26132</v>
      </c>
      <c r="G109" s="2905">
        <f>(-0.161*(G108^2)-7.509*G108+6533)*(10^(-4))/G101</f>
        <v>0.26132</v>
      </c>
      <c r="H109" s="2905">
        <f>(-0.161*(H108^2)-7.509*H108+6533)*(10^(-4))/H101</f>
        <v>0.26132</v>
      </c>
      <c r="I109" s="2905">
        <f>(-0.161*(I108^2)-7.509*I108+6533)*(10^(-4))/I101</f>
        <v>0.26132</v>
      </c>
      <c r="J109" s="2905">
        <f>(-0.214*(J108^2)-21.991*J108+4665)*(10^(-4))/J101</f>
        <v>0.18660000000000002</v>
      </c>
      <c r="K109" s="2905">
        <f>(-0.214*(K108^2)-21.991*K108+4665)*(10^(-4))/K101</f>
        <v>0.18660000000000002</v>
      </c>
      <c r="L109" s="2905">
        <f>(-0.214*(L108^2)-21.991*L108+4665)*(10^(-4))/L101</f>
        <v>0.18660000000000002</v>
      </c>
      <c r="M109" s="2905">
        <f>(-0.214*(M108^2)-21.991*M108+4665)*(10^(-4))/M101</f>
        <v>0.18660000000000002</v>
      </c>
      <c r="N109" s="2905">
        <f>(-0.214*(N108^2)-21.991*N108+4665)*(10^(-4))/N101</f>
        <v>0.18660000000000002</v>
      </c>
    </row>
    <row r="110" spans="1:14">
      <c r="A110" s="3238" t="s">
        <v>2987</v>
      </c>
      <c r="B110" s="3238"/>
      <c r="C110" s="3238"/>
      <c r="D110" s="3238"/>
      <c r="E110" s="3238"/>
      <c r="F110" s="3238"/>
      <c r="G110" s="3238"/>
      <c r="H110" s="3238"/>
      <c r="I110" s="3238"/>
      <c r="J110" s="3238"/>
      <c r="K110" s="2908"/>
      <c r="L110" s="2908"/>
      <c r="M110" s="2908"/>
      <c r="N110" s="2908"/>
    </row>
    <row r="112" spans="1:14" ht="13.5" thickBot="1"/>
    <row r="113" spans="1:13" ht="25.5" thickBot="1">
      <c r="A113" s="903" t="s">
        <v>2988</v>
      </c>
      <c r="B113" s="1290">
        <f>G3</f>
        <v>2.5</v>
      </c>
      <c r="C113" s="904" t="s">
        <v>2989</v>
      </c>
      <c r="D113" s="905">
        <f>SUMPRODUCT((A115:A118=F113)*(B114:M114=H113)*B115:M118)</f>
        <v>0.80589999999999995</v>
      </c>
      <c r="E113" s="2731" t="s">
        <v>2821</v>
      </c>
      <c r="F113" s="2910" t="str">
        <f>E2</f>
        <v>商业</v>
      </c>
      <c r="G113" s="2731" t="s">
        <v>2822</v>
      </c>
      <c r="H113" s="2910" t="str">
        <f>G2</f>
        <v>六级</v>
      </c>
      <c r="I113" s="2731"/>
      <c r="J113" s="2911"/>
      <c r="K113" s="2911"/>
      <c r="L113" s="2911"/>
      <c r="M113" s="2911"/>
    </row>
    <row r="114" spans="1:13">
      <c r="A114" s="908"/>
      <c r="B114" s="2912" t="s">
        <v>2990</v>
      </c>
      <c r="C114" s="2912" t="s">
        <v>2991</v>
      </c>
      <c r="D114" s="2912" t="s">
        <v>2992</v>
      </c>
      <c r="E114" s="2913" t="s">
        <v>2993</v>
      </c>
      <c r="F114" s="2913" t="s">
        <v>2994</v>
      </c>
      <c r="G114" s="2913" t="s">
        <v>2995</v>
      </c>
      <c r="H114" s="2914" t="s">
        <v>2996</v>
      </c>
      <c r="I114" s="2914" t="s">
        <v>2997</v>
      </c>
      <c r="J114" s="2915" t="s">
        <v>2998</v>
      </c>
      <c r="K114" s="2915" t="s">
        <v>2999</v>
      </c>
      <c r="L114" s="2915" t="s">
        <v>3000</v>
      </c>
      <c r="M114" s="2916" t="s">
        <v>3001</v>
      </c>
    </row>
    <row r="115" spans="1:13">
      <c r="A115" s="909" t="s">
        <v>2885</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2886</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2887</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2888</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5" t="s">
        <v>614</v>
      </c>
      <c r="C61" s="818" t="s">
        <v>615</v>
      </c>
      <c r="D61" s="818" t="s">
        <v>616</v>
      </c>
      <c r="E61" s="895">
        <v>0.5</v>
      </c>
      <c r="F61" s="882">
        <v>80</v>
      </c>
    </row>
    <row r="62" spans="1:8" s="878" customFormat="1" ht="24">
      <c r="A62" s="882">
        <v>2</v>
      </c>
      <c r="B62" s="3255"/>
      <c r="C62" s="818" t="s">
        <v>617</v>
      </c>
      <c r="D62" s="818" t="s">
        <v>618</v>
      </c>
      <c r="E62" s="895">
        <v>0.5</v>
      </c>
      <c r="F62" s="882">
        <v>80</v>
      </c>
    </row>
    <row r="63" spans="1:8" s="878" customFormat="1" ht="36">
      <c r="A63" s="882">
        <v>3</v>
      </c>
      <c r="B63" s="3255"/>
      <c r="C63" s="818" t="s">
        <v>619</v>
      </c>
      <c r="D63" s="818" t="s">
        <v>620</v>
      </c>
      <c r="E63" s="895">
        <v>0.5</v>
      </c>
      <c r="F63" s="882">
        <v>80</v>
      </c>
    </row>
    <row r="64" spans="1:8" s="878" customFormat="1" ht="36">
      <c r="A64" s="882">
        <v>4</v>
      </c>
      <c r="B64" s="3255"/>
      <c r="C64" s="818" t="s">
        <v>621</v>
      </c>
      <c r="D64" s="818" t="s">
        <v>622</v>
      </c>
      <c r="E64" s="895">
        <v>0.4</v>
      </c>
      <c r="F64" s="882">
        <v>60</v>
      </c>
    </row>
    <row r="65" spans="1:6" s="878" customFormat="1" ht="36">
      <c r="A65" s="882">
        <v>5</v>
      </c>
      <c r="B65" s="3255"/>
      <c r="C65" s="818" t="s">
        <v>623</v>
      </c>
      <c r="D65" s="818" t="s">
        <v>624</v>
      </c>
      <c r="E65" s="895">
        <v>0.2</v>
      </c>
      <c r="F65" s="882">
        <v>30</v>
      </c>
    </row>
    <row r="66" spans="1:6" s="878" customFormat="1" ht="36">
      <c r="A66" s="882">
        <v>6</v>
      </c>
      <c r="B66" s="3255"/>
      <c r="C66" s="818" t="s">
        <v>625</v>
      </c>
      <c r="D66" s="818" t="s">
        <v>626</v>
      </c>
      <c r="E66" s="895">
        <v>0.3</v>
      </c>
      <c r="F66" s="882">
        <v>50</v>
      </c>
    </row>
    <row r="67" spans="1:6" s="878" customFormat="1" ht="36">
      <c r="A67" s="882">
        <v>7</v>
      </c>
      <c r="B67" s="3255"/>
      <c r="C67" s="818" t="s">
        <v>627</v>
      </c>
      <c r="D67" s="818" t="s">
        <v>628</v>
      </c>
      <c r="E67" s="895">
        <v>0.2</v>
      </c>
      <c r="F67" s="882">
        <v>30</v>
      </c>
    </row>
    <row r="68" spans="1:6" s="878" customFormat="1" ht="36">
      <c r="A68" s="882">
        <v>8</v>
      </c>
      <c r="B68" s="3255"/>
      <c r="C68" s="818" t="s">
        <v>629</v>
      </c>
      <c r="D68" s="818" t="s">
        <v>630</v>
      </c>
      <c r="E68" s="895">
        <v>0.2</v>
      </c>
      <c r="F68" s="882">
        <v>30</v>
      </c>
    </row>
    <row r="69" spans="1:6" s="878" customFormat="1" ht="36">
      <c r="A69" s="882">
        <v>9</v>
      </c>
      <c r="B69" s="3255"/>
      <c r="C69" s="818" t="s">
        <v>631</v>
      </c>
      <c r="D69" s="818" t="s">
        <v>632</v>
      </c>
      <c r="E69" s="895">
        <v>0.2</v>
      </c>
      <c r="F69" s="882">
        <v>30</v>
      </c>
    </row>
    <row r="70" spans="1:6" s="878" customFormat="1" ht="48">
      <c r="A70" s="882">
        <v>10</v>
      </c>
      <c r="B70" s="3255"/>
      <c r="C70" s="818" t="s">
        <v>633</v>
      </c>
      <c r="D70" s="818" t="s">
        <v>634</v>
      </c>
      <c r="E70" s="895">
        <v>0.2</v>
      </c>
      <c r="F70" s="882">
        <v>30</v>
      </c>
    </row>
    <row r="71" spans="1:6" s="878" customFormat="1" ht="48">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24">
      <c r="A73" s="882">
        <v>13</v>
      </c>
      <c r="B73" s="3255"/>
      <c r="C73" s="818" t="s">
        <v>639</v>
      </c>
      <c r="D73" s="818" t="s">
        <v>640</v>
      </c>
      <c r="E73" s="895">
        <v>0.4</v>
      </c>
      <c r="F73" s="882">
        <v>60</v>
      </c>
    </row>
    <row r="74" spans="1:6" s="878" customFormat="1" ht="24">
      <c r="A74" s="882">
        <v>14</v>
      </c>
      <c r="B74" s="3255"/>
      <c r="C74" s="818" t="s">
        <v>641</v>
      </c>
      <c r="D74" s="818" t="s">
        <v>642</v>
      </c>
      <c r="E74" s="895">
        <v>0.2</v>
      </c>
      <c r="F74" s="882">
        <v>30</v>
      </c>
    </row>
    <row r="75" spans="1:6" s="878" customFormat="1" ht="24">
      <c r="A75" s="882">
        <v>15</v>
      </c>
      <c r="B75" s="3255"/>
      <c r="C75" s="818" t="s">
        <v>643</v>
      </c>
      <c r="D75" s="818" t="s">
        <v>644</v>
      </c>
      <c r="E75" s="895">
        <v>0.2</v>
      </c>
      <c r="F75" s="882">
        <v>30</v>
      </c>
    </row>
    <row r="76" spans="1:6" s="878" customFormat="1" ht="24">
      <c r="A76" s="882">
        <v>16</v>
      </c>
      <c r="B76" s="3255" t="s">
        <v>645</v>
      </c>
      <c r="C76" s="818" t="s">
        <v>646</v>
      </c>
      <c r="D76" s="818" t="s">
        <v>647</v>
      </c>
      <c r="E76" s="895">
        <v>0.5</v>
      </c>
      <c r="F76" s="882">
        <v>80</v>
      </c>
    </row>
    <row r="77" spans="1:6" s="878" customFormat="1" ht="24">
      <c r="A77" s="882">
        <v>17</v>
      </c>
      <c r="B77" s="3255"/>
      <c r="C77" s="818" t="s">
        <v>648</v>
      </c>
      <c r="D77" s="818" t="s">
        <v>649</v>
      </c>
      <c r="E77" s="895">
        <v>0.5</v>
      </c>
      <c r="F77" s="882">
        <v>80</v>
      </c>
    </row>
    <row r="78" spans="1:6" s="878" customFormat="1" ht="24">
      <c r="A78" s="882">
        <v>18</v>
      </c>
      <c r="B78" s="3255"/>
      <c r="C78" s="818" t="s">
        <v>650</v>
      </c>
      <c r="D78" s="818" t="s">
        <v>651</v>
      </c>
      <c r="E78" s="895">
        <v>0.2</v>
      </c>
      <c r="F78" s="882">
        <v>30</v>
      </c>
    </row>
    <row r="79" spans="1:6" s="878" customFormat="1" ht="24">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48">
      <c r="A82" s="882">
        <v>22</v>
      </c>
      <c r="B82" s="3255"/>
      <c r="C82" s="818" t="s">
        <v>658</v>
      </c>
      <c r="D82" s="818" t="s">
        <v>659</v>
      </c>
      <c r="E82" s="895">
        <v>0.2</v>
      </c>
      <c r="F82" s="882">
        <v>30</v>
      </c>
    </row>
    <row r="83" spans="1:6" s="878" customFormat="1" ht="48">
      <c r="A83" s="882">
        <v>23</v>
      </c>
      <c r="B83" s="3255"/>
      <c r="C83" s="818" t="s">
        <v>660</v>
      </c>
      <c r="D83" s="818" t="s">
        <v>661</v>
      </c>
      <c r="E83" s="895">
        <v>0.2</v>
      </c>
      <c r="F83" s="882">
        <v>30</v>
      </c>
    </row>
    <row r="84" spans="1:6" s="878" customFormat="1" ht="36">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24">
      <c r="A89" s="882">
        <v>29</v>
      </c>
      <c r="B89" s="3255"/>
      <c r="C89" s="818" t="s">
        <v>672</v>
      </c>
      <c r="D89" s="818" t="s">
        <v>673</v>
      </c>
      <c r="E89" s="895">
        <v>0.2</v>
      </c>
      <c r="F89" s="882">
        <v>30</v>
      </c>
    </row>
    <row r="90" spans="1:6" s="878" customFormat="1" ht="24">
      <c r="A90" s="882">
        <v>30</v>
      </c>
      <c r="B90" s="3255"/>
      <c r="C90" s="818" t="s">
        <v>674</v>
      </c>
      <c r="D90" s="818" t="s">
        <v>675</v>
      </c>
      <c r="E90" s="895">
        <v>0.2</v>
      </c>
      <c r="F90" s="882">
        <v>30</v>
      </c>
    </row>
    <row r="91" spans="1:6" s="878" customFormat="1" ht="36">
      <c r="A91" s="882">
        <v>31</v>
      </c>
      <c r="B91" s="3255"/>
      <c r="C91" s="818" t="s">
        <v>676</v>
      </c>
      <c r="D91" s="818" t="s">
        <v>677</v>
      </c>
      <c r="E91" s="895">
        <v>0.2</v>
      </c>
      <c r="F91" s="882">
        <v>30</v>
      </c>
    </row>
    <row r="92" spans="1:6" s="878" customFormat="1" ht="24">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48">
      <c r="A94" s="882">
        <v>34</v>
      </c>
      <c r="B94" s="3255"/>
      <c r="C94" s="882" t="s">
        <v>683</v>
      </c>
      <c r="D94" s="818" t="s">
        <v>684</v>
      </c>
      <c r="E94" s="895">
        <v>0.2</v>
      </c>
      <c r="F94" s="882">
        <v>30</v>
      </c>
    </row>
    <row r="95" spans="1:6" s="878" customFormat="1" ht="36">
      <c r="A95" s="882">
        <v>35</v>
      </c>
      <c r="B95" s="3255"/>
      <c r="C95" s="882" t="s">
        <v>685</v>
      </c>
      <c r="D95" s="818" t="s">
        <v>686</v>
      </c>
      <c r="E95" s="895">
        <v>0.2</v>
      </c>
      <c r="F95" s="882">
        <v>30</v>
      </c>
    </row>
    <row r="96" spans="1:6" s="878" customFormat="1" ht="48">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24">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5" t="s">
        <v>708</v>
      </c>
      <c r="C105" s="882" t="s">
        <v>709</v>
      </c>
      <c r="D105" s="818" t="s">
        <v>710</v>
      </c>
      <c r="E105" s="895">
        <v>0.2</v>
      </c>
      <c r="F105" s="882">
        <v>30</v>
      </c>
    </row>
    <row r="106" spans="1:6" s="878" customFormat="1" ht="36">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36">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5" t="s">
        <v>724</v>
      </c>
      <c r="C111" s="882" t="s">
        <v>725</v>
      </c>
      <c r="D111" s="818" t="s">
        <v>726</v>
      </c>
      <c r="E111" s="895">
        <v>0.2</v>
      </c>
      <c r="F111" s="882">
        <v>30</v>
      </c>
    </row>
    <row r="112" spans="1:6" s="878" customFormat="1" ht="24">
      <c r="A112" s="882">
        <v>52</v>
      </c>
      <c r="B112" s="3255"/>
      <c r="C112" s="882" t="s">
        <v>727</v>
      </c>
      <c r="D112" s="818" t="s">
        <v>728</v>
      </c>
      <c r="E112" s="895">
        <v>0.2</v>
      </c>
      <c r="F112" s="882">
        <v>30</v>
      </c>
    </row>
    <row r="113" spans="1:6" s="878" customFormat="1" ht="24">
      <c r="A113" s="882">
        <v>53</v>
      </c>
      <c r="B113" s="325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3010</v>
      </c>
    </row>
    <row r="2" spans="1:5" ht="15.75">
      <c r="A2" s="2917" t="s">
        <v>3002</v>
      </c>
      <c r="B2" s="2918">
        <f ca="1">SUMIF(B6:B13,"&lt;&gt;#ref!",B6:B13)</f>
        <v>0</v>
      </c>
      <c r="C2" s="2917" t="s">
        <v>3003</v>
      </c>
      <c r="D2" s="2917" t="s">
        <v>3004</v>
      </c>
      <c r="E2" s="2918">
        <f ca="1">SUMIF(E6:E13,"&lt;&gt;#ref!",E6:E13)</f>
        <v>0</v>
      </c>
    </row>
    <row r="3" spans="1:5" ht="15.75">
      <c r="A3" s="2917" t="s">
        <v>3005</v>
      </c>
      <c r="B3" s="2918" t="e">
        <f ca="1">ROUND(B2*10000/E2,0)</f>
        <v>#DIV/0!</v>
      </c>
      <c r="C3" s="2917" t="s">
        <v>3011</v>
      </c>
      <c r="D3" s="2919"/>
      <c r="E3" s="2919"/>
    </row>
    <row r="4" spans="1:5" ht="15.75">
      <c r="A4" s="2920"/>
      <c r="B4" s="2919"/>
      <c r="C4" s="2919"/>
      <c r="D4" s="2919"/>
      <c r="E4" s="2919"/>
    </row>
    <row r="5" spans="1:5" ht="28.5">
      <c r="A5" s="2921" t="s">
        <v>3006</v>
      </c>
      <c r="B5" s="2917" t="s">
        <v>3007</v>
      </c>
      <c r="C5" s="2918"/>
      <c r="D5" s="2919"/>
      <c r="E5" s="2917" t="s">
        <v>3008</v>
      </c>
    </row>
    <row r="6" spans="1:5" ht="15.75">
      <c r="A6" s="2922" t="s">
        <v>3009</v>
      </c>
      <c r="B6" s="2918">
        <f ca="1">SUMIF(INDIRECT("'"&amp;A6&amp;"'"&amp;"!A:A"),"总价",INDIRECT("'"&amp;A6&amp;"'"&amp;"!B:B"))</f>
        <v>0</v>
      </c>
      <c r="C6" s="2917" t="s">
        <v>3003</v>
      </c>
      <c r="D6" s="2919"/>
      <c r="E6" s="2582">
        <f ca="1">SUMIF(INDIRECT("'"&amp;A6&amp;"'"&amp;"!C:C"),"建筑面积",INDIRECT("'"&amp;A6&amp;"'"&amp;"!D:D"))</f>
        <v>0</v>
      </c>
    </row>
    <row r="7" spans="1:5" ht="15.75">
      <c r="A7" s="2922"/>
      <c r="B7" s="2918" t="e">
        <f ca="1">SUMIF(INDIRECT("'"&amp;A7&amp;"'"&amp;"!A:A"),"总价",INDIRECT("'"&amp;A7&amp;"'"&amp;"!B:B"))</f>
        <v>#REF!</v>
      </c>
      <c r="C7" s="2917" t="s">
        <v>3003</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3003</v>
      </c>
      <c r="D8" s="2919"/>
      <c r="E8" s="2582" t="e">
        <f t="shared" ca="1" si="0"/>
        <v>#REF!</v>
      </c>
    </row>
    <row r="9" spans="1:5" ht="15.75">
      <c r="A9" s="2922"/>
      <c r="B9" s="2918" t="e">
        <f t="shared" ca="1" si="1"/>
        <v>#REF!</v>
      </c>
      <c r="C9" s="2917" t="s">
        <v>3003</v>
      </c>
      <c r="D9" s="2919"/>
      <c r="E9" s="2582" t="e">
        <f t="shared" ca="1" si="0"/>
        <v>#REF!</v>
      </c>
    </row>
    <row r="10" spans="1:5" ht="15.75">
      <c r="A10" s="2922"/>
      <c r="B10" s="2918" t="e">
        <f t="shared" ca="1" si="1"/>
        <v>#REF!</v>
      </c>
      <c r="C10" s="2917" t="s">
        <v>3003</v>
      </c>
      <c r="D10" s="2919"/>
      <c r="E10" s="2582" t="e">
        <f t="shared" ca="1" si="0"/>
        <v>#REF!</v>
      </c>
    </row>
    <row r="11" spans="1:5" ht="15.75">
      <c r="A11" s="2922"/>
      <c r="B11" s="2918" t="e">
        <f t="shared" ca="1" si="1"/>
        <v>#REF!</v>
      </c>
      <c r="C11" s="2917" t="s">
        <v>3003</v>
      </c>
      <c r="D11" s="2919"/>
      <c r="E11" s="2582" t="e">
        <f t="shared" ca="1" si="0"/>
        <v>#REF!</v>
      </c>
    </row>
    <row r="12" spans="1:5" ht="15.75">
      <c r="A12" s="2922"/>
      <c r="B12" s="2918" t="e">
        <f t="shared" ca="1" si="1"/>
        <v>#REF!</v>
      </c>
      <c r="C12" s="2917" t="s">
        <v>3003</v>
      </c>
      <c r="D12" s="2919"/>
      <c r="E12" s="2582" t="e">
        <f t="shared" ca="1" si="0"/>
        <v>#REF!</v>
      </c>
    </row>
    <row r="13" spans="1:5" ht="15.75">
      <c r="A13" s="2922"/>
      <c r="B13" s="2918" t="e">
        <f t="shared" ca="1" si="1"/>
        <v>#REF!</v>
      </c>
      <c r="C13" s="2917" t="s">
        <v>3003</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1" t="s">
        <v>1150</v>
      </c>
      <c r="C1" s="3261"/>
      <c r="D1" s="3261"/>
      <c r="E1" s="3261"/>
      <c r="F1" s="3261"/>
      <c r="G1" s="3257" t="s">
        <v>1151</v>
      </c>
      <c r="H1" s="3257"/>
      <c r="I1" s="3257"/>
      <c r="J1" s="3257"/>
      <c r="K1" s="3257"/>
      <c r="L1" s="3257"/>
      <c r="N1" s="3257" t="s">
        <v>1152</v>
      </c>
      <c r="O1" s="3257"/>
      <c r="P1" s="3257"/>
      <c r="Q1" s="3257"/>
      <c r="R1" s="1449"/>
      <c r="S1" s="3257" t="s">
        <v>1153</v>
      </c>
      <c r="T1" s="3257"/>
      <c r="U1" s="3257"/>
      <c r="V1" s="3257"/>
      <c r="X1" s="3256" t="s">
        <v>1154</v>
      </c>
      <c r="Y1" s="3257"/>
      <c r="Z1" s="3257"/>
      <c r="AA1" s="3257"/>
      <c r="AB1" s="3257"/>
      <c r="AD1" s="3256" t="s">
        <v>1155</v>
      </c>
      <c r="AE1" s="3257"/>
      <c r="AF1" s="3257"/>
      <c r="AG1" s="3257"/>
      <c r="AH1" s="325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3045</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3041</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5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5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5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5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5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5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5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5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6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6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6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6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5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5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5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5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5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5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5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5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5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5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5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5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5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5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5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5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5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5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5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5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5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5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5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5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5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5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5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58">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59">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59">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0">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58">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59">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59">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67" t="s">
        <v>3013</v>
      </c>
      <c r="D1" s="3268"/>
      <c r="E1" s="3268"/>
      <c r="F1" s="3268"/>
      <c r="G1" s="3268"/>
      <c r="H1" s="3268"/>
      <c r="I1" s="3268"/>
      <c r="J1" s="3268"/>
      <c r="K1" s="3268"/>
      <c r="L1" s="3268"/>
      <c r="M1" s="3268"/>
      <c r="N1" s="3268"/>
      <c r="O1" s="3268"/>
      <c r="P1" s="3268"/>
      <c r="Q1" s="3268"/>
      <c r="R1" s="3268"/>
      <c r="S1" s="3269"/>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3022</v>
      </c>
      <c r="B17" s="2924"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6" t="s">
        <v>3026</v>
      </c>
      <c r="E20" s="1796"/>
      <c r="F20" s="1207" t="e">
        <f ca="1">SUMIF(INDIRECT("'"&amp;H20&amp;"'"&amp;"!A:A"),"承租人权益价值",INDIRECT("'"&amp;H20&amp;"'"&amp;"!c:c"))</f>
        <v>#REF!</v>
      </c>
      <c r="G20" s="1207" t="s">
        <v>3027</v>
      </c>
      <c r="H20" s="2927"/>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050" t="s">
        <v>33</v>
      </c>
      <c r="D22" s="3051"/>
      <c r="E22" s="3051"/>
      <c r="F22" s="3051"/>
      <c r="G22" s="3051"/>
      <c r="H22" s="3051"/>
      <c r="I22" s="3051"/>
      <c r="J22" s="3051"/>
      <c r="K22" s="3051"/>
      <c r="L22" s="3051"/>
      <c r="M22" s="3051"/>
      <c r="N22" s="3051"/>
      <c r="O22" s="3051"/>
      <c r="P22" s="3051"/>
      <c r="Q22" s="3266"/>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964"/>
      <c r="B4" s="2953" t="s">
        <v>1630</v>
      </c>
      <c r="C4" s="2953"/>
      <c r="D4" s="2953"/>
      <c r="E4" s="1964"/>
    </row>
    <row r="5" spans="1:5" ht="16.5" thickTop="1">
      <c r="A5" s="1962"/>
      <c r="B5" s="2951" t="s">
        <v>1622</v>
      </c>
      <c r="C5" s="1965" t="s">
        <v>1623</v>
      </c>
      <c r="D5" s="1043" t="e">
        <f ca="1">结果表!H101</f>
        <v>#REF!</v>
      </c>
      <c r="E5" s="1962"/>
    </row>
    <row r="6" spans="1:5" ht="15.75">
      <c r="A6" s="1962"/>
      <c r="B6" s="2951"/>
      <c r="C6" s="1965" t="s">
        <v>1624</v>
      </c>
      <c r="D6" s="1043" t="e">
        <f ca="1">NUMBERSTRING(INT(D5*10000),2)&amp;"元整"</f>
        <v>#REF!</v>
      </c>
      <c r="E6" s="1962"/>
    </row>
    <row r="7" spans="1:5" ht="15.75">
      <c r="A7" s="1962"/>
      <c r="B7" s="2956"/>
      <c r="C7" s="1966" t="s">
        <v>1625</v>
      </c>
      <c r="D7" s="1044" t="e">
        <f ca="1">结果表!H102</f>
        <v>#REF!</v>
      </c>
      <c r="E7" s="1962"/>
    </row>
    <row r="8" spans="1:5" ht="15.75">
      <c r="A8" s="1962"/>
      <c r="B8" s="2957" t="str">
        <f>结果表!E103</f>
        <v>2.估价师知悉的法定优先受偿款</v>
      </c>
      <c r="C8" s="1967" t="s">
        <v>1626</v>
      </c>
      <c r="D8" s="1044">
        <f>结果表!H103</f>
        <v>0</v>
      </c>
      <c r="E8" s="1962"/>
    </row>
    <row r="9" spans="1:5" ht="15.75">
      <c r="A9" s="1962"/>
      <c r="B9" s="295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0" t="str">
        <f>结果表!E107</f>
        <v>3.房地产抵押价值</v>
      </c>
      <c r="C13" s="1970" t="s">
        <v>1623</v>
      </c>
      <c r="D13" s="1046" t="e">
        <f ca="1">结果表!H107</f>
        <v>#REF!</v>
      </c>
      <c r="E13" s="1962"/>
    </row>
    <row r="14" spans="1:5" ht="15.75">
      <c r="A14" s="1962"/>
      <c r="B14" s="2951"/>
      <c r="C14" s="1965" t="s">
        <v>1624</v>
      </c>
      <c r="D14" s="1043" t="e">
        <f ca="1">NUMBERSTRING(INT(D13*10000),2)&amp;"元整"</f>
        <v>#REF!</v>
      </c>
      <c r="E14" s="1962"/>
    </row>
    <row r="15" spans="1:5" ht="15">
      <c r="A15" s="1962"/>
      <c r="B15" s="2956"/>
      <c r="C15" s="1966" t="s">
        <v>1634</v>
      </c>
      <c r="D15" s="1055" t="e">
        <f ca="1">结果表!H108</f>
        <v>#REF!</v>
      </c>
      <c r="E15" s="1962"/>
    </row>
    <row r="16" spans="1:5" ht="15">
      <c r="A16" s="1962"/>
      <c r="B16" s="2957" t="str">
        <f>结果表!E109</f>
        <v>——</v>
      </c>
      <c r="C16" s="1970" t="s">
        <v>1635</v>
      </c>
      <c r="D16" s="1971" t="str">
        <f>结果表!H109</f>
        <v>——</v>
      </c>
      <c r="E16" s="1962"/>
    </row>
    <row r="17" spans="1:5" ht="15.75">
      <c r="A17" s="1962"/>
      <c r="B17" s="2958"/>
      <c r="C17" s="1965" t="s">
        <v>1636</v>
      </c>
      <c r="D17" s="1043" t="e">
        <f>NUMBERSTRING(INT(D16*10000),2)&amp;"元整"</f>
        <v>#VALUE!</v>
      </c>
      <c r="E17" s="1962"/>
    </row>
    <row r="18" spans="1:5" ht="15">
      <c r="A18" s="1962"/>
      <c r="B18" s="2959"/>
      <c r="C18" s="1966" t="s">
        <v>1625</v>
      </c>
      <c r="D18" s="1055" t="str">
        <f>结果表!H110</f>
        <v>——</v>
      </c>
      <c r="E18" s="1962"/>
    </row>
    <row r="19" spans="1:5" ht="15.75">
      <c r="A19" s="1962"/>
      <c r="B19" s="2950" t="str">
        <f>结果表!E111</f>
        <v>——</v>
      </c>
      <c r="C19" s="1970" t="s">
        <v>1623</v>
      </c>
      <c r="D19" s="1044" t="str">
        <f>结果表!H111</f>
        <v>——</v>
      </c>
      <c r="E19" s="1962"/>
    </row>
    <row r="20" spans="1:5" ht="15.75">
      <c r="A20" s="1962"/>
      <c r="B20" s="2951"/>
      <c r="C20" s="1965" t="s">
        <v>1636</v>
      </c>
      <c r="D20" s="1043" t="e">
        <f>NUMBERSTRING(INT(D19*10000),2)&amp;"元整"</f>
        <v>#VALUE!</v>
      </c>
      <c r="E20" s="1962"/>
    </row>
    <row r="21" spans="1:5" ht="15.75" thickBot="1">
      <c r="A21" s="1962"/>
      <c r="B21" s="295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20000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0</v>
      </c>
      <c r="D7" s="264"/>
      <c r="E7" s="262"/>
      <c r="F7" s="265">
        <f>'数据-取费表'!B48+'数据-取费表'!B49</f>
        <v>0</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0</v>
      </c>
      <c r="E19" s="255">
        <f>'数据-取费表'!B31</f>
        <v>0</v>
      </c>
      <c r="F19" s="275"/>
      <c r="G19" s="1" t="s">
        <v>1074</v>
      </c>
    </row>
    <row r="20" spans="1:7" s="258" customFormat="1" ht="13.5" customHeight="1">
      <c r="A20" s="951" t="s">
        <v>1057</v>
      </c>
      <c r="B20" s="254" t="s">
        <v>104</v>
      </c>
      <c r="C20" s="276">
        <f>ROUND((C5+C19)*F20,0)</f>
        <v>0</v>
      </c>
      <c r="D20" s="276"/>
      <c r="E20" s="276"/>
      <c r="F20" s="277">
        <f>'数据-取费表'!B37</f>
        <v>0</v>
      </c>
      <c r="G20" s="1292" t="s">
        <v>1068</v>
      </c>
    </row>
    <row r="21" spans="1:7" s="258" customFormat="1" ht="13.5" customHeight="1">
      <c r="A21" s="951" t="s">
        <v>1059</v>
      </c>
      <c r="B21" s="254" t="s">
        <v>105</v>
      </c>
      <c r="C21" s="279">
        <f>F21</f>
        <v>0</v>
      </c>
      <c r="D21" s="280" t="s">
        <v>126</v>
      </c>
      <c r="E21" s="276"/>
      <c r="F21" s="277">
        <f>'数据-取费表'!B38</f>
        <v>0</v>
      </c>
      <c r="G21" s="278" t="s">
        <v>106</v>
      </c>
    </row>
    <row r="22" spans="1:7" s="258" customFormat="1" ht="13.5" customHeight="1">
      <c r="A22" s="951" t="s">
        <v>786</v>
      </c>
      <c r="B22" s="254" t="s">
        <v>107</v>
      </c>
      <c r="C22" s="1357" t="e">
        <f ca="1">ROUND(SUM(C23:C25),0)</f>
        <v>#VALUE!</v>
      </c>
      <c r="D22" s="279" t="e">
        <f ca="1">C26</f>
        <v>#VALUE!</v>
      </c>
      <c r="E22" s="280" t="s">
        <v>126</v>
      </c>
      <c r="F22" s="281" t="e">
        <f ca="1">'数据-取费表'!B40</f>
        <v>#VALUE!</v>
      </c>
      <c r="G22" s="1292" t="str">
        <f>IF('数据-取费表'!B22&lt;=1,"单利计息","复利计息")</f>
        <v>单利计息</v>
      </c>
    </row>
    <row r="23" spans="1:7" s="258" customFormat="1" ht="13.5" customHeight="1">
      <c r="A23" s="954" t="s">
        <v>794</v>
      </c>
      <c r="B23" s="259" t="s">
        <v>1061</v>
      </c>
      <c r="C23" s="1358" t="e">
        <f ca="1">ROUND(IF('数据-取费表'!B22&lt;=1,C5*F22*'数据-取费表'!B23,C5*(POWER((1+F22),'数据-取费表'!B23)-1)),0)</f>
        <v>#VALUE!</v>
      </c>
      <c r="D23" s="282"/>
      <c r="E23" s="282"/>
      <c r="F23" s="283"/>
      <c r="G23" s="284" t="s">
        <v>108</v>
      </c>
    </row>
    <row r="24" spans="1:7" s="258" customFormat="1" ht="13.5" customHeight="1">
      <c r="A24" s="954" t="s">
        <v>792</v>
      </c>
      <c r="B24" s="259" t="s">
        <v>1056</v>
      </c>
      <c r="C24" s="1358" t="e">
        <f ca="1">ROUND(IF('数据-取费表'!B22&lt;=1,C19*F22*('数据-取费表'!B19/2+'数据-取费表'!B21),C19*(POWER((1+F22),('数据-取费表'!B19/2+'数据-取费表'!B21))-1)),0)</f>
        <v>#VALUE!</v>
      </c>
      <c r="D24" s="282"/>
      <c r="E24" s="282"/>
      <c r="F24" s="283"/>
      <c r="G24" s="284" t="s">
        <v>109</v>
      </c>
    </row>
    <row r="25" spans="1:7" s="258" customFormat="1" ht="24">
      <c r="A25" s="954" t="s">
        <v>793</v>
      </c>
      <c r="B25" s="259" t="s">
        <v>1058</v>
      </c>
      <c r="C25" s="1358" t="e">
        <f ca="1">ROUND(IF('数据-取费表'!B22&lt;=1,C20*F22*'数据-取费表'!B23/2,C20*(POWER((1+F22),'数据-取费表'!B23/2)-1)),0)</f>
        <v>#VALUE!</v>
      </c>
      <c r="D25" s="282"/>
      <c r="E25" s="285"/>
      <c r="F25" s="283"/>
      <c r="G25" s="286" t="s">
        <v>110</v>
      </c>
    </row>
    <row r="26" spans="1:7" s="258" customFormat="1">
      <c r="A26" s="954" t="s">
        <v>795</v>
      </c>
      <c r="B26" s="259" t="s">
        <v>1060</v>
      </c>
      <c r="C26" s="282" t="e">
        <f ca="1">ROUND(IF('数据-取费表'!B22&lt;=1,F21*F22*'数据-取费表'!B23/2,F21*(POWER((1+F22),'数据-取费表'!B23/2)-1)),4)</f>
        <v>#VALUE!</v>
      </c>
      <c r="D26" s="282"/>
      <c r="E26" s="285"/>
      <c r="F26" s="283"/>
      <c r="G26" s="287"/>
    </row>
    <row r="27" spans="1:7" s="258" customFormat="1" ht="24.75">
      <c r="A27" s="951" t="s">
        <v>787</v>
      </c>
      <c r="B27" s="288" t="s">
        <v>112</v>
      </c>
      <c r="C27" s="289" t="e">
        <f>C28</f>
        <v>#DIV/0!</v>
      </c>
      <c r="D27" s="279" t="e">
        <f>C29</f>
        <v>#DIV/0!</v>
      </c>
      <c r="E27" s="280" t="s">
        <v>126</v>
      </c>
      <c r="F27" s="290" t="e">
        <f>'数据-取费表'!Q16</f>
        <v>#DIV/0!</v>
      </c>
      <c r="G27" s="291" t="s">
        <v>1069</v>
      </c>
    </row>
    <row r="28" spans="1:7" s="258" customFormat="1" ht="13.5" customHeight="1">
      <c r="A28" s="954" t="s">
        <v>794</v>
      </c>
      <c r="B28" s="292" t="s">
        <v>1062</v>
      </c>
      <c r="C28" s="293" t="e">
        <f>ROUND((C5+C19+C20)*F27*'数据-取费表'!B21/'数据-取费表'!B20,0)</f>
        <v>#DIV/0!</v>
      </c>
      <c r="D28" s="279"/>
      <c r="E28" s="280"/>
      <c r="F28" s="290"/>
      <c r="G28" s="291"/>
    </row>
    <row r="29" spans="1:7" s="258" customFormat="1" ht="13.5" customHeight="1">
      <c r="A29" s="954" t="s">
        <v>792</v>
      </c>
      <c r="B29" s="292" t="s">
        <v>1063</v>
      </c>
      <c r="C29" s="282" t="e">
        <f>ROUND(C21*F27*'数据-取费表'!B21/'数据-取费表'!B20,4)</f>
        <v>#DIV/0!</v>
      </c>
      <c r="D29" s="279"/>
      <c r="E29" s="280"/>
      <c r="F29" s="290"/>
      <c r="G29" s="291"/>
    </row>
    <row r="30" spans="1:7" s="258" customFormat="1" ht="13.5" customHeight="1">
      <c r="A30" s="951"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4" t="s">
        <v>796</v>
      </c>
      <c r="B35" s="259" t="s">
        <v>60</v>
      </c>
      <c r="C35" s="264">
        <f>ROUND(C34*F35,0)</f>
        <v>0</v>
      </c>
      <c r="D35" s="264"/>
      <c r="E35" s="264"/>
      <c r="F35" s="303">
        <f>'数据-取费表'!B33</f>
        <v>0</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0</v>
      </c>
      <c r="D37" s="261">
        <f>'数据-汇总表'!E3</f>
        <v>0</v>
      </c>
      <c r="E37" s="293">
        <f>'数据-取费表'!B35</f>
        <v>0</v>
      </c>
      <c r="F37" s="303"/>
      <c r="G37" s="305" t="s">
        <v>119</v>
      </c>
    </row>
    <row r="38" spans="1:7" ht="13.5" customHeight="1">
      <c r="A38" s="954" t="s">
        <v>799</v>
      </c>
      <c r="B38" s="259" t="s">
        <v>63</v>
      </c>
      <c r="C38" s="264">
        <f>ROUND(C34*F38,0)</f>
        <v>0</v>
      </c>
      <c r="D38" s="264"/>
      <c r="E38" s="264"/>
      <c r="F38" s="303">
        <f>'数据-取费表'!B36</f>
        <v>0</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v>
      </c>
      <c r="D40" s="280" t="s">
        <v>129</v>
      </c>
      <c r="E40" s="276"/>
      <c r="F40" s="277"/>
      <c r="G40" s="278" t="s">
        <v>120</v>
      </c>
    </row>
    <row r="41" spans="1:7" s="258" customFormat="1" ht="13.5" customHeight="1">
      <c r="A41" s="951" t="s">
        <v>785</v>
      </c>
      <c r="B41" s="254" t="s">
        <v>107</v>
      </c>
      <c r="C41" s="276" t="e">
        <f ca="1">ROUND(SUM(C42:C43),0)</f>
        <v>#VALUE!</v>
      </c>
      <c r="D41" s="279" t="e">
        <f ca="1">C44</f>
        <v>#VALUE!</v>
      </c>
      <c r="E41" s="280" t="s">
        <v>129</v>
      </c>
      <c r="F41" s="281"/>
      <c r="G41" s="1292" t="str">
        <f>IF('数据-取费表'!B22&lt;=1,"单利计息","复利计息")</f>
        <v>单利计息</v>
      </c>
    </row>
    <row r="42" spans="1:7" ht="13.5" customHeight="1">
      <c r="A42" s="954" t="s">
        <v>794</v>
      </c>
      <c r="B42" s="259" t="s">
        <v>1061</v>
      </c>
      <c r="C42" s="282" t="e">
        <f ca="1">ROUND(IF('数据-取费表'!B22&lt;=1,C33*F22*'数据-取费表'!B21/2,C33*(POWER((1+F22),'数据-取费表'!B21/2)-1)),0)</f>
        <v>#VALUE!</v>
      </c>
      <c r="D42" s="282"/>
      <c r="E42" s="282"/>
      <c r="F42" s="283"/>
      <c r="G42" s="3135" t="s">
        <v>121</v>
      </c>
    </row>
    <row r="43" spans="1:7" ht="13.5" customHeight="1">
      <c r="A43" s="954" t="s">
        <v>792</v>
      </c>
      <c r="B43" s="259" t="s">
        <v>1064</v>
      </c>
      <c r="C43" s="282" t="e">
        <f ca="1">ROUND(IF('数据-取费表'!B22&lt;=1,C39*F22*'数据-取费表'!B21/2,C39*(POWER((1+F22),'数据-取费表'!B21/2)-1)),0)</f>
        <v>#VALUE!</v>
      </c>
      <c r="D43" s="282"/>
      <c r="E43" s="282"/>
      <c r="F43" s="283"/>
      <c r="G43" s="3136"/>
    </row>
    <row r="44" spans="1:7" ht="13.5" customHeight="1">
      <c r="A44" s="954" t="s">
        <v>793</v>
      </c>
      <c r="B44" s="259" t="s">
        <v>1066</v>
      </c>
      <c r="C44" s="282" t="e">
        <f ca="1">ROUND(IF('数据-取费表'!B22&lt;=1,C40*F22*'数据-取费表'!B21/2,C40*(POWER((1+F22),'数据-取费表'!B21/2)-1)),4)</f>
        <v>#VALUE!</v>
      </c>
      <c r="D44" s="282"/>
      <c r="E44" s="282"/>
      <c r="F44" s="283"/>
      <c r="G44" s="3137"/>
    </row>
    <row r="45" spans="1:7" s="258" customFormat="1" ht="13.5" customHeight="1">
      <c r="A45" s="951" t="s">
        <v>786</v>
      </c>
      <c r="B45" s="288" t="s">
        <v>112</v>
      </c>
      <c r="C45" s="289" t="e">
        <f>C46</f>
        <v>#DIV/0!</v>
      </c>
      <c r="D45" s="279" t="e">
        <f>C47</f>
        <v>#DIV/0!</v>
      </c>
      <c r="E45" s="280" t="s">
        <v>129</v>
      </c>
      <c r="F45" s="290"/>
      <c r="G45" s="291" t="s">
        <v>1072</v>
      </c>
    </row>
    <row r="46" spans="1:7" s="258" customFormat="1" ht="13.5" customHeight="1">
      <c r="A46" s="954" t="s">
        <v>794</v>
      </c>
      <c r="B46" s="292" t="s">
        <v>1065</v>
      </c>
      <c r="C46" s="293" t="e">
        <f>ROUND((C33+C39)*F27,0)</f>
        <v>#DIV/0!</v>
      </c>
      <c r="D46" s="307"/>
      <c r="E46" s="280"/>
      <c r="F46" s="290"/>
      <c r="G46" s="291"/>
    </row>
    <row r="47" spans="1:7" s="258" customFormat="1" ht="13.5" customHeight="1">
      <c r="A47" s="954" t="s">
        <v>792</v>
      </c>
      <c r="B47" s="292" t="s">
        <v>1067</v>
      </c>
      <c r="C47" s="282" t="e">
        <f>ROUND(C40*F27,4)</f>
        <v>#DIV/0!</v>
      </c>
      <c r="D47" s="307"/>
      <c r="E47" s="280"/>
      <c r="F47" s="290"/>
      <c r="G47" s="291"/>
    </row>
    <row r="48" spans="1:7" s="258" customFormat="1" ht="13.5" customHeight="1">
      <c r="A48" s="951" t="s">
        <v>787</v>
      </c>
      <c r="B48" s="254" t="s">
        <v>122</v>
      </c>
      <c r="C48" s="306">
        <f>F30</f>
        <v>0</v>
      </c>
      <c r="D48" s="280" t="s">
        <v>130</v>
      </c>
      <c r="E48" s="276"/>
      <c r="F48" s="281"/>
      <c r="G48" s="278" t="s">
        <v>123</v>
      </c>
    </row>
    <row r="49" spans="1:7" ht="16.5" customHeight="1">
      <c r="A49" s="951" t="s">
        <v>788</v>
      </c>
      <c r="B49" s="254" t="s">
        <v>131</v>
      </c>
      <c r="C49" s="276" t="e">
        <f ca="1">ROUND((C33+C39+C41+C45)/(1-C40-D41-D45-C48/(1+'数据-取费表'!B42)),0)</f>
        <v>#VALUE!</v>
      </c>
      <c r="D49" s="276"/>
      <c r="E49" s="276"/>
      <c r="F49" s="308"/>
      <c r="G49" s="278" t="s">
        <v>1073</v>
      </c>
    </row>
    <row r="50" spans="1:7" s="302" customFormat="1" ht="24">
      <c r="A50" s="951" t="s">
        <v>789</v>
      </c>
      <c r="B50" s="254" t="s">
        <v>124</v>
      </c>
      <c r="C50" s="276"/>
      <c r="D50" s="276"/>
      <c r="E50" s="276"/>
      <c r="F50" s="308" t="e">
        <f>IF('数据-取费表'!B24=0,'数据-取费表'!N16,1)</f>
        <v>#DIV/0!</v>
      </c>
      <c r="G50" s="291" t="s">
        <v>125</v>
      </c>
    </row>
    <row r="51" spans="1:7" ht="16.5" customHeight="1">
      <c r="A51" s="951"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0" t="s">
        <v>156</v>
      </c>
      <c r="B1" s="3270"/>
      <c r="C1" s="3270"/>
      <c r="D1" s="3270"/>
      <c r="E1" s="3270"/>
      <c r="F1" s="32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1" t="s">
        <v>169</v>
      </c>
      <c r="B2" s="3271"/>
      <c r="C2" s="3271"/>
      <c r="D2" s="3271"/>
      <c r="E2" s="3271"/>
      <c r="F2" s="32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0" t="s">
        <v>871</v>
      </c>
      <c r="B1" s="327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0</v>
      </c>
      <c r="F1" s="1703" t="s">
        <v>1302</v>
      </c>
      <c r="G1" s="1699" t="e">
        <f ca="1">INDIRECT("d"&amp;$K$1)/100</f>
        <v>#VALUE!</v>
      </c>
      <c r="H1" s="1703" t="s">
        <v>1332</v>
      </c>
      <c r="I1" s="1699">
        <f ca="1">F4/100</f>
        <v>1.4999999999999999E-2</v>
      </c>
      <c r="J1" s="1704">
        <f>IF(C1&gt;C13,0,MATCH(C1,C$13:C$100,-1))+IF(SUMIF(C13:C100,C1,D13:D100)=0,13,12)</f>
        <v>13</v>
      </c>
      <c r="K1" s="1704">
        <f ca="1">MATCH(E1,C3:C7,1)+IF(SUMIF(C3:C7,E1,D3:D7)=0,2,1)</f>
        <v>2</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1641</v>
      </c>
      <c r="B2" s="2961" t="s">
        <v>1642</v>
      </c>
      <c r="C2" s="2961" t="s">
        <v>1643</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0</v>
      </c>
      <c r="C4" s="1047" t="e">
        <f>项目基本情况!C18</f>
        <v>#DIV/0!</v>
      </c>
      <c r="D4" s="1047" t="e">
        <f ca="1">结果表!D118</f>
        <v>#REF!</v>
      </c>
      <c r="E4" s="1047" t="e">
        <f ca="1">结果表!E118</f>
        <v>#REF!</v>
      </c>
      <c r="F4" s="1047" t="e">
        <f ca="1">结果表!F118</f>
        <v>#REF!</v>
      </c>
      <c r="G4" s="1047" t="e">
        <f ca="1">结果表!G118</f>
        <v>#REF!</v>
      </c>
      <c r="H4" s="1047" t="e">
        <f ca="1">结果表!H118</f>
        <v>#REF!</v>
      </c>
      <c r="I4" s="1047" t="e">
        <f ca="1">结果表!I118</f>
        <v>#REF!</v>
      </c>
    </row>
    <row r="5" spans="1:9" ht="30" customHeight="1">
      <c r="A5" s="2962" t="s">
        <v>1640</v>
      </c>
      <c r="B5" s="2962"/>
      <c r="C5" s="2962"/>
      <c r="D5" s="2963" t="e">
        <f ca="1">结果表!D119</f>
        <v>#REF!</v>
      </c>
      <c r="E5" s="2963"/>
      <c r="F5" s="2963" t="e">
        <f ca="1">结果表!F119</f>
        <v>#REF!</v>
      </c>
      <c r="G5" s="2963"/>
      <c r="H5" s="2963" t="e">
        <f ca="1">结果表!H119</f>
        <v>#REF!</v>
      </c>
      <c r="I5" s="2963"/>
    </row>
    <row r="6" spans="1:9" ht="15.75">
      <c r="A6" s="2964" t="str">
        <f>结果表!A120</f>
        <v>估价师知悉的法定优先受偿款</v>
      </c>
      <c r="B6" s="2964"/>
      <c r="C6" s="2964"/>
      <c r="D6" s="2964">
        <f>结果表!D120</f>
        <v>0</v>
      </c>
      <c r="E6" s="2964"/>
      <c r="F6" s="2964"/>
      <c r="G6" s="2964"/>
      <c r="H6" s="2964"/>
      <c r="I6" s="2964"/>
    </row>
    <row r="7" spans="1:9" ht="15">
      <c r="A7" s="2962" t="s">
        <v>1640</v>
      </c>
      <c r="B7" s="2962"/>
      <c r="C7" s="2962"/>
      <c r="D7" s="2965" t="str">
        <f>结果表!D121</f>
        <v>零元整</v>
      </c>
      <c r="E7" s="2966"/>
      <c r="F7" s="2966"/>
      <c r="G7" s="2966"/>
      <c r="H7" s="2966"/>
      <c r="I7" s="2967"/>
    </row>
    <row r="8" spans="1:9" ht="15.75">
      <c r="A8" s="2964" t="str">
        <f>结果表!A122</f>
        <v>房地产抵押价值</v>
      </c>
      <c r="B8" s="2964"/>
      <c r="C8" s="2964"/>
      <c r="D8" s="2964" t="e">
        <f ca="1">结果表!D122</f>
        <v>#REF!</v>
      </c>
      <c r="E8" s="2964"/>
      <c r="F8" s="2964"/>
      <c r="G8" s="2964"/>
      <c r="H8" s="2964"/>
      <c r="I8" s="2964"/>
    </row>
    <row r="9" spans="1:9" ht="15">
      <c r="A9" s="2962" t="s">
        <v>1640</v>
      </c>
      <c r="B9" s="2962"/>
      <c r="C9" s="2962"/>
      <c r="D9" s="2963" t="e">
        <f ca="1">结果表!D123</f>
        <v>#REF!</v>
      </c>
      <c r="E9" s="2963"/>
      <c r="F9" s="2963"/>
      <c r="G9" s="2963"/>
      <c r="H9" s="2963"/>
      <c r="I9" s="2963"/>
    </row>
    <row r="10" spans="1:9" ht="15.75">
      <c r="A10" s="2964" t="str">
        <f>结果表!A124</f>
        <v/>
      </c>
      <c r="B10" s="2964"/>
      <c r="C10" s="2964"/>
      <c r="D10" s="2964" t="str">
        <f>结果表!D124</f>
        <v>——</v>
      </c>
      <c r="E10" s="2964"/>
      <c r="F10" s="2964"/>
      <c r="G10" s="2964"/>
      <c r="H10" s="2964"/>
      <c r="I10" s="2964"/>
    </row>
    <row r="11" spans="1:9" ht="15">
      <c r="A11" s="2962" t="s">
        <v>1640</v>
      </c>
      <c r="B11" s="2962"/>
      <c r="C11" s="2962"/>
      <c r="D11" s="2963" t="e">
        <f>结果表!D125</f>
        <v>#VALUE!</v>
      </c>
      <c r="E11" s="2963"/>
      <c r="F11" s="2963"/>
      <c r="G11" s="2963"/>
      <c r="H11" s="2963"/>
      <c r="I11" s="2963"/>
    </row>
    <row r="12" spans="1:9" ht="15.75">
      <c r="A12" s="2964" t="str">
        <f>结果表!A126</f>
        <v/>
      </c>
      <c r="B12" s="2964"/>
      <c r="C12" s="2964"/>
      <c r="D12" s="2964" t="str">
        <f>结果表!D126</f>
        <v>——</v>
      </c>
      <c r="E12" s="2964"/>
      <c r="F12" s="2964"/>
      <c r="G12" s="2964"/>
      <c r="H12" s="2964"/>
      <c r="I12" s="2964"/>
    </row>
    <row r="13" spans="1:9" ht="15.75" thickBot="1">
      <c r="A13" s="2968" t="s">
        <v>1640</v>
      </c>
      <c r="B13" s="2968"/>
      <c r="C13" s="2968"/>
      <c r="D13" s="2969" t="e">
        <f>结果表!D127</f>
        <v>#VALUE!</v>
      </c>
      <c r="E13" s="2969"/>
      <c r="F13" s="2969"/>
      <c r="G13" s="2969"/>
      <c r="H13" s="2969"/>
      <c r="I13" s="2969"/>
    </row>
    <row r="14" spans="1:9" ht="15" thickTop="1">
      <c r="A14" s="2970" t="s">
        <v>1645</v>
      </c>
      <c r="B14" s="2970"/>
      <c r="C14" s="2970"/>
      <c r="D14" s="2970"/>
      <c r="E14" s="2970"/>
      <c r="F14" s="2970"/>
      <c r="G14" s="2970"/>
      <c r="H14" s="2970"/>
      <c r="I14" s="297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1" t="s">
        <v>1662</v>
      </c>
      <c r="B1" s="2971"/>
      <c r="C1" s="2971"/>
      <c r="D1" s="2971"/>
    </row>
    <row r="2" spans="1:4" ht="18">
      <c r="A2" s="2972" t="s">
        <v>1646</v>
      </c>
      <c r="B2" s="2972"/>
      <c r="C2" s="2972"/>
      <c r="D2" s="2972"/>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72" t="s">
        <v>1652</v>
      </c>
      <c r="B6" s="2972"/>
      <c r="C6" s="2972"/>
      <c r="D6" s="297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3" t="s">
        <v>1655</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5"/>
      <c r="C12" s="2975"/>
      <c r="D12" s="2975"/>
    </row>
    <row r="13" spans="1:4" ht="30" customHeight="1">
      <c r="A13" s="2974" t="str">
        <f>IF(项目基本情况!B8="抵押","3.抵押双方在办理抵押登记手续时，应使用本公司出具的正式《房地产评估报告》，特提醒报告使用者注意。","——")</f>
        <v>——</v>
      </c>
      <c r="B13" s="2975"/>
      <c r="C13" s="2975"/>
      <c r="D13" s="2975"/>
    </row>
    <row r="14" spans="1:4" ht="15.75" customHeight="1">
      <c r="A14" s="2974" t="str">
        <f>IF(项目基本情况!B8="抵押","4.本次评估估价师所知悉的法定优先受偿款情况说明如下：","——")</f>
        <v>——</v>
      </c>
      <c r="B14" s="2975"/>
      <c r="C14" s="2975"/>
      <c r="D14" s="2975"/>
    </row>
    <row r="15" spans="1:4" ht="42" customHeight="1">
      <c r="A15" s="2974" t="str">
        <f>IF(项目基本情况!B8="抵押","（1）"&amp;CONCATENATE(项目基本情况!L20,项目基本情况!L21,项目基本情况!L22),"——")</f>
        <v>——</v>
      </c>
      <c r="B15" s="2974"/>
      <c r="C15" s="2974"/>
      <c r="D15" s="2974"/>
    </row>
    <row r="16" spans="1:4" ht="30" customHeight="1">
      <c r="A16" s="2977" t="s">
        <v>1656</v>
      </c>
      <c r="B16" s="2977"/>
      <c r="C16" s="2977"/>
      <c r="D16" s="2977"/>
    </row>
    <row r="17" spans="1:4" ht="144" customHeight="1">
      <c r="A17" s="2977" t="s">
        <v>1657</v>
      </c>
      <c r="B17" s="2977"/>
      <c r="C17" s="2977"/>
      <c r="D17" s="2977"/>
    </row>
    <row r="18" spans="1:4" ht="15.75" customHeight="1">
      <c r="A18" s="2974" t="str">
        <f>IF(项目基本情况!B8="抵押",结果表!K120,"——")</f>
        <v>——</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1658</v>
      </c>
      <c r="B22" s="2979"/>
      <c r="C22" s="2979"/>
      <c r="D22" s="297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5" t="s">
        <v>1669</v>
      </c>
      <c r="B15" s="2980" t="s">
        <v>136</v>
      </c>
      <c r="C15" s="2981"/>
    </row>
    <row r="16" spans="1:7" ht="13.5">
      <c r="A16" s="2986"/>
      <c r="B16" s="2980" t="s">
        <v>69</v>
      </c>
      <c r="C16" s="2981"/>
    </row>
    <row r="17" spans="1:3" ht="13.5">
      <c r="A17" s="2986"/>
      <c r="B17" s="2983" t="s">
        <v>1670</v>
      </c>
      <c r="C17" s="2003" t="s">
        <v>1669</v>
      </c>
    </row>
    <row r="18" spans="1:3" ht="13.5">
      <c r="A18" s="2986"/>
      <c r="B18" s="2983"/>
      <c r="C18" s="2003" t="s">
        <v>1671</v>
      </c>
    </row>
    <row r="19" spans="1:3" ht="13.5">
      <c r="A19" s="2986"/>
      <c r="B19" s="2983"/>
      <c r="C19" s="2003" t="s">
        <v>1672</v>
      </c>
    </row>
    <row r="20" spans="1:3" ht="13.5">
      <c r="A20" s="2987"/>
      <c r="B20" s="2982" t="s">
        <v>1673</v>
      </c>
      <c r="C20" s="2981"/>
    </row>
    <row r="21" spans="1:3" ht="13.5">
      <c r="A21" s="2004" t="s">
        <v>1674</v>
      </c>
      <c r="B21" s="2005"/>
      <c r="C21" s="2006"/>
    </row>
    <row r="22" spans="1:3" ht="13.5">
      <c r="A22" s="2984" t="s">
        <v>1675</v>
      </c>
      <c r="B22" s="2982" t="s">
        <v>1676</v>
      </c>
      <c r="C22" s="2981"/>
    </row>
    <row r="23" spans="1:3" ht="13.5">
      <c r="A23" s="2984"/>
      <c r="B23" s="2982" t="s">
        <v>1677</v>
      </c>
      <c r="C23" s="2981"/>
    </row>
    <row r="24" spans="1:3" ht="13.5">
      <c r="A24" s="2984"/>
      <c r="B24" s="2982" t="s">
        <v>1678</v>
      </c>
      <c r="C24" s="2981"/>
    </row>
    <row r="25" spans="1:3" ht="13.5">
      <c r="A25" s="2984"/>
      <c r="B25" s="2983" t="s">
        <v>1679</v>
      </c>
      <c r="C25" s="2003" t="s">
        <v>1680</v>
      </c>
    </row>
    <row r="26" spans="1:3" ht="13.5">
      <c r="A26" s="2984"/>
      <c r="B26" s="2983"/>
      <c r="C26" s="2003" t="s">
        <v>1681</v>
      </c>
    </row>
    <row r="27" spans="1:3" ht="13.5">
      <c r="A27" s="2984"/>
      <c r="B27" s="2983"/>
      <c r="C27" s="2003" t="s">
        <v>1682</v>
      </c>
    </row>
    <row r="28" spans="1:3" ht="13.5">
      <c r="A28" s="2984"/>
      <c r="B28" s="2983"/>
      <c r="C28" s="2003" t="s">
        <v>1683</v>
      </c>
    </row>
    <row r="29" spans="1:3" ht="13.5">
      <c r="A29" s="2984"/>
      <c r="B29" s="2983"/>
      <c r="C29" s="2003" t="s">
        <v>1684</v>
      </c>
    </row>
    <row r="30" spans="1:3" ht="13.5">
      <c r="A30" s="2984"/>
      <c r="B30" s="2983"/>
      <c r="C30" s="2003" t="s">
        <v>1685</v>
      </c>
    </row>
    <row r="31" spans="1:3" ht="13.5">
      <c r="A31" s="2984"/>
      <c r="B31" s="2983"/>
      <c r="C31" s="2003" t="s">
        <v>1686</v>
      </c>
    </row>
    <row r="32" spans="1:3" ht="13.5">
      <c r="A32" s="2984"/>
      <c r="B32" s="2983"/>
      <c r="C32" s="2003" t="s">
        <v>1687</v>
      </c>
    </row>
    <row r="33" spans="1:3" ht="13.5">
      <c r="A33" s="2984"/>
      <c r="B33" s="298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3051</v>
      </c>
      <c r="B12" s="1025">
        <v>1120110054</v>
      </c>
      <c r="C12" s="2947">
        <v>43937</v>
      </c>
      <c r="D12" s="1705" t="s">
        <v>3051</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88" t="s">
        <v>846</v>
      </c>
      <c r="B25" s="2988"/>
      <c r="C25" s="2988"/>
      <c r="D25" s="2988"/>
      <c r="E25" s="2988"/>
      <c r="F25" s="2988"/>
      <c r="G25" s="2988"/>
    </row>
    <row r="26" spans="1:7" s="1028" customFormat="1" ht="24" customHeight="1">
      <c r="A26" s="2989" t="s">
        <v>847</v>
      </c>
      <c r="B26" s="2989"/>
      <c r="C26" s="2990"/>
      <c r="D26" s="2991" t="s">
        <v>848</v>
      </c>
      <c r="E26" s="2989"/>
      <c r="F26" s="2989"/>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2018-07-26T02:33:23Z</dcterms:modified>
</cp:coreProperties>
</file>