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QJX\融中心\测算及报告\"/>
    </mc:Choice>
  </mc:AlternateContent>
  <bookViews>
    <workbookView xWindow="0" yWindow="495" windowWidth="25605" windowHeight="1428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产权面积明细" sheetId="80" r:id="rId12"/>
    <sheet name="项目基本情况" sheetId="4" r:id="rId13"/>
    <sheet name="数据-基础表" sheetId="3" r:id="rId14"/>
    <sheet name="数据-汇总表" sheetId="6" r:id="rId15"/>
    <sheet name="数据-取费表" sheetId="1" state="hidden"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大宗交易案例2022" sheetId="85" r:id="rId30"/>
    <sheet name="Sheet7" sheetId="87" state="hidden" r:id="rId31"/>
    <sheet name="大宗交易案例2023" sheetId="86" state="hidden" r:id="rId32"/>
    <sheet name="收益预测(整体) " sheetId="81" r:id="rId33"/>
    <sheet name="租赁收入测算" sheetId="82" r:id="rId34"/>
    <sheet name="租赁情况" sheetId="83" r:id="rId35"/>
    <sheet name="比较法-办公 (租金)" sheetId="88" r:id="rId36"/>
    <sheet name="比较法-工业" sheetId="37" state="hidden" r:id="rId37"/>
    <sheet name="比较法-车位" sheetId="35" r:id="rId38"/>
    <sheet name="出租案例" sheetId="90" r:id="rId39"/>
    <sheet name="Sheet4" sheetId="84"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8" hidden="1">'比较法-办公'!$A$1:$L$50</definedName>
    <definedName name="_xlnm._FilterDatabase" localSheetId="35" hidden="1">'比较法-办公 (租金)'!$A$1:$L$50</definedName>
    <definedName name="_xlnm._FilterDatabase" localSheetId="40"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2" hidden="1">项目基本情况!$A$42:$N$42</definedName>
    <definedName name="_xlnm._FilterDatabase" localSheetId="33" hidden="1">租赁收入测算!$A$1:$AF$13</definedName>
    <definedName name="_xlnm.Print_Area" localSheetId="28">'比较法-办公'!$A$1:$K$55,'比较法-办公'!$A$58:$M$132</definedName>
    <definedName name="_xlnm.Print_Area" localSheetId="35">'比较法-办公 (租金)'!$A$1:$K$55,'比较法-办公 (租金)'!$A$58:$M$132</definedName>
    <definedName name="_xlnm.Print_Area" localSheetId="40">'比较法-仓储'!$A$1:$K$42,'比较法-仓储'!$A$45:$M$96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2">'收益预测(整体) '!$B$3:$Z$19</definedName>
    <definedName name="_xlnm.Print_Area" localSheetId="14">'数据-汇总表'!$A$1:$P$32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35">'比较法-办公 (租金)'!$B$119:$M$119</definedName>
    <definedName name="办公层高">'比较法-办公'!$B$119:$M$119</definedName>
    <definedName name="办公朝向" localSheetId="35">'比较法-办公 (租金)'!$B$91:$M$91</definedName>
    <definedName name="办公朝向">'比较法-办公'!$B$91:$M$91</definedName>
    <definedName name="办公道路级别" localSheetId="35">'比较法-办公 (租金)'!$B$87:$M$87</definedName>
    <definedName name="办公道路级别">'比较法-办公'!$B$87:$M$87</definedName>
    <definedName name="办公公共部分装修" localSheetId="35">'比较法-办公 (租金)'!$B$108:$M$108</definedName>
    <definedName name="办公公共部分装修">'比较法-办公'!$B$108:$M$108</definedName>
    <definedName name="办公基础设施水平" localSheetId="35">'比较法-办公 (租金)'!$B$117:$M$117</definedName>
    <definedName name="办公基础设施水平">'比较法-办公'!$B$117:$M$117</definedName>
    <definedName name="办公集聚程度">定义!$M$1:$M$6</definedName>
    <definedName name="办公建筑结构" localSheetId="35">'比较法-办公 (租金)'!$B$106:$M$106</definedName>
    <definedName name="办公建筑结构">'比较法-办公'!$B$106:$M$106</definedName>
    <definedName name="办公建筑类型" localSheetId="35">'比较法-办公 (租金)'!$B$101:$M$101</definedName>
    <definedName name="办公建筑类型">'比较法-办公'!$B$101:$M$101</definedName>
    <definedName name="办公交易情况" localSheetId="35">'比较法-办公 (租金)'!$A$62:$M$62</definedName>
    <definedName name="办公交易情况">'比较法-办公'!$A$62:$M$62</definedName>
    <definedName name="办公楼层" localSheetId="35">'比较法-办公 (租金)'!$B$89:$M$89</definedName>
    <definedName name="办公楼层">'比较法-办公'!$B$89:$M$89</definedName>
    <definedName name="办公内部装修" localSheetId="35">'比较法-办公 (租金)'!$B$123:$M$123</definedName>
    <definedName name="办公内部装修">'比较法-办公'!$B$123:$M$123</definedName>
    <definedName name="办公物业管理" localSheetId="35">'比较法-办公 (租金)'!$B$115:$M$115</definedName>
    <definedName name="办公物业管理">'比较法-办公'!$B$115:$M$115</definedName>
    <definedName name="办公用途" localSheetId="3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核算项目余额表" localSheetId="35">#REF!</definedName>
    <definedName name="核算项目余额表">#REF!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科目余额表" localSheetId="35">#REF!</definedName>
    <definedName name="科目余额表">#REF!</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月份" localSheetId="35">#REF!</definedName>
    <definedName name="月份">#REF!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 i="82" l="1"/>
  <c r="B5" i="83"/>
  <c r="I16" i="83"/>
  <c r="I15" i="83"/>
  <c r="I14" i="83"/>
  <c r="I13" i="83"/>
  <c r="I11" i="83"/>
  <c r="I10" i="83"/>
  <c r="I9" i="83"/>
  <c r="I8" i="83"/>
  <c r="I6" i="83"/>
  <c r="I5" i="83"/>
  <c r="I4" i="83"/>
  <c r="I3" i="83"/>
  <c r="F23" i="80"/>
  <c r="E23" i="80"/>
  <c r="G21" i="6"/>
  <c r="C21" i="6"/>
  <c r="M13" i="3"/>
  <c r="E19" i="80"/>
  <c r="E20" i="80"/>
  <c r="D16" i="80"/>
  <c r="G25" i="9" l="1"/>
  <c r="C16" i="80" l="1"/>
  <c r="I37" i="34" l="1"/>
  <c r="G37" i="34"/>
  <c r="E104" i="88" l="1"/>
  <c r="F104" i="88"/>
  <c r="G104" i="88"/>
  <c r="H104" i="88"/>
  <c r="I104" i="88" s="1"/>
  <c r="J104" i="88" s="1"/>
  <c r="D104" i="88"/>
  <c r="I7" i="35" l="1"/>
  <c r="G7" i="35"/>
  <c r="E7" i="35"/>
  <c r="G37" i="88"/>
  <c r="E37" i="88"/>
  <c r="I37" i="88"/>
  <c r="I7" i="88"/>
  <c r="G7" i="88"/>
  <c r="E7" i="88"/>
  <c r="E66" i="88"/>
  <c r="I10" i="88"/>
  <c r="C34" i="88"/>
  <c r="B131" i="88"/>
  <c r="B129" i="88"/>
  <c r="B127" i="88"/>
  <c r="D126" i="88"/>
  <c r="E126" i="88" s="1"/>
  <c r="F126" i="88" s="1"/>
  <c r="G126" i="88" s="1"/>
  <c r="E124" i="88"/>
  <c r="F124" i="88" s="1"/>
  <c r="G124" i="88" s="1"/>
  <c r="H124" i="88" s="1"/>
  <c r="I124" i="88" s="1"/>
  <c r="J124" i="88" s="1"/>
  <c r="K124" i="88" s="1"/>
  <c r="L124" i="88" s="1"/>
  <c r="M124" i="88" s="1"/>
  <c r="D124" i="88"/>
  <c r="D120" i="88"/>
  <c r="E120" i="88" s="1"/>
  <c r="F120" i="88" s="1"/>
  <c r="G120" i="88" s="1"/>
  <c r="H120" i="88" s="1"/>
  <c r="I120" i="88" s="1"/>
  <c r="J120" i="88" s="1"/>
  <c r="K120" i="88" s="1"/>
  <c r="L120" i="88" s="1"/>
  <c r="M120" i="88" s="1"/>
  <c r="D118" i="88"/>
  <c r="E118" i="88" s="1"/>
  <c r="F118" i="88" s="1"/>
  <c r="G118" i="88" s="1"/>
  <c r="E116" i="88"/>
  <c r="F116" i="88" s="1"/>
  <c r="G116" i="88" s="1"/>
  <c r="H116" i="88" s="1"/>
  <c r="I116" i="88" s="1"/>
  <c r="J116" i="88" s="1"/>
  <c r="K116" i="88" s="1"/>
  <c r="L116" i="88" s="1"/>
  <c r="M116" i="88" s="1"/>
  <c r="D116" i="88"/>
  <c r="D114" i="88"/>
  <c r="E114" i="88" s="1"/>
  <c r="F114" i="88" s="1"/>
  <c r="G114" i="88" s="1"/>
  <c r="H114" i="88" s="1"/>
  <c r="I114" i="88" s="1"/>
  <c r="J114" i="88" s="1"/>
  <c r="K114" i="88" s="1"/>
  <c r="L114" i="88" s="1"/>
  <c r="M114" i="88" s="1"/>
  <c r="D112" i="88"/>
  <c r="E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D102" i="88"/>
  <c r="E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D88" i="88"/>
  <c r="E88" i="88" s="1"/>
  <c r="E86" i="88"/>
  <c r="F86" i="88" s="1"/>
  <c r="G86" i="88" s="1"/>
  <c r="D86" i="88"/>
  <c r="E84" i="88"/>
  <c r="F84" i="88" s="1"/>
  <c r="G84" i="88" s="1"/>
  <c r="D84" i="88"/>
  <c r="E82" i="88"/>
  <c r="F82" i="88" s="1"/>
  <c r="G82" i="88" s="1"/>
  <c r="D82" i="88"/>
  <c r="E80" i="88"/>
  <c r="F80" i="88" s="1"/>
  <c r="G80" i="88" s="1"/>
  <c r="D80" i="88"/>
  <c r="E78" i="88"/>
  <c r="F78" i="88" s="1"/>
  <c r="G78" i="88" s="1"/>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D66" i="88"/>
  <c r="J10" i="88" s="1"/>
  <c r="AC10" i="88" s="1"/>
  <c r="C66"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C37" i="88"/>
  <c r="Q36" i="88"/>
  <c r="Z36" i="88" s="1"/>
  <c r="J36" i="88"/>
  <c r="AC36" i="88" s="1"/>
  <c r="H36" i="88"/>
  <c r="AB36" i="88" s="1"/>
  <c r="F36" i="88"/>
  <c r="AA36" i="88" s="1"/>
  <c r="Q35" i="88"/>
  <c r="Z35" i="88" s="1"/>
  <c r="J35" i="88"/>
  <c r="AC35" i="88" s="1"/>
  <c r="H35" i="88"/>
  <c r="AB35" i="88" s="1"/>
  <c r="F35" i="88"/>
  <c r="AA35" i="88" s="1"/>
  <c r="Q34" i="88"/>
  <c r="Z34" i="88" s="1"/>
  <c r="Q33" i="88"/>
  <c r="Z33" i="88" s="1"/>
  <c r="Q32" i="88"/>
  <c r="Z32" i="88" s="1"/>
  <c r="J32" i="88"/>
  <c r="AC32" i="88" s="1"/>
  <c r="H32" i="88"/>
  <c r="AB32" i="88" s="1"/>
  <c r="F32" i="88"/>
  <c r="S32" i="88" s="1"/>
  <c r="Q31" i="88"/>
  <c r="Z31" i="88" s="1"/>
  <c r="J31" i="88"/>
  <c r="W31" i="88" s="1"/>
  <c r="H31" i="88"/>
  <c r="AB31" i="88" s="1"/>
  <c r="F31" i="88"/>
  <c r="AA31" i="88" s="1"/>
  <c r="AB30" i="88"/>
  <c r="Q30" i="88"/>
  <c r="Z30" i="88" s="1"/>
  <c r="J30" i="88"/>
  <c r="AC30" i="88" s="1"/>
  <c r="H30" i="88"/>
  <c r="U30" i="88" s="1"/>
  <c r="F30" i="88"/>
  <c r="AA30" i="88" s="1"/>
  <c r="Q29" i="88"/>
  <c r="Z29" i="88" s="1"/>
  <c r="J29" i="88"/>
  <c r="W29" i="88" s="1"/>
  <c r="H29" i="88"/>
  <c r="U29" i="88" s="1"/>
  <c r="F29" i="88"/>
  <c r="S29" i="88" s="1"/>
  <c r="AA28" i="88"/>
  <c r="Z28" i="88"/>
  <c r="Q28" i="88"/>
  <c r="J28" i="88"/>
  <c r="AC28" i="88" s="1"/>
  <c r="H28" i="88"/>
  <c r="U28" i="88" s="1"/>
  <c r="F28" i="88"/>
  <c r="S28" i="88" s="1"/>
  <c r="Q27" i="88"/>
  <c r="Z27" i="88" s="1"/>
  <c r="J27" i="88"/>
  <c r="AC27" i="88" s="1"/>
  <c r="H27" i="88"/>
  <c r="AB27" i="88" s="1"/>
  <c r="F27" i="88"/>
  <c r="AA27" i="88" s="1"/>
  <c r="Q25" i="88"/>
  <c r="Z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H10" i="88"/>
  <c r="AB10" i="88" s="1"/>
  <c r="F10" i="88"/>
  <c r="AA10" i="88" s="1"/>
  <c r="Q9" i="88"/>
  <c r="Z9" i="88" s="1"/>
  <c r="J9" i="88"/>
  <c r="AC9" i="88" s="1"/>
  <c r="H9" i="88"/>
  <c r="U9" i="88" s="1"/>
  <c r="F9" i="88"/>
  <c r="AA9" i="88" s="1"/>
  <c r="AB8" i="88"/>
  <c r="U8" i="88"/>
  <c r="J8" i="88"/>
  <c r="W8" i="88" s="1"/>
  <c r="H8" i="88"/>
  <c r="F8" i="88"/>
  <c r="S8" i="88" s="1"/>
  <c r="C7" i="88"/>
  <c r="C59" i="88" s="1"/>
  <c r="D59" i="88" s="1"/>
  <c r="E59" i="88" s="1"/>
  <c r="F59" i="88" s="1"/>
  <c r="G59" i="88" s="1"/>
  <c r="H59" i="88" s="1"/>
  <c r="I59" i="88" s="1"/>
  <c r="J59" i="88" s="1"/>
  <c r="K59" i="88" s="1"/>
  <c r="L59" i="88" s="1"/>
  <c r="M59" i="88" s="1"/>
  <c r="N59" i="88" s="1"/>
  <c r="O59" i="88" s="1"/>
  <c r="P59" i="88" s="1"/>
  <c r="Q59" i="88" s="1"/>
  <c r="R59" i="88" s="1"/>
  <c r="S59" i="88" s="1"/>
  <c r="T59" i="88" s="1"/>
  <c r="U59" i="88" s="1"/>
  <c r="V59" i="88" s="1"/>
  <c r="I10" i="34"/>
  <c r="G10" i="34"/>
  <c r="E104" i="34"/>
  <c r="F104" i="34"/>
  <c r="G104" i="34"/>
  <c r="H104" i="34"/>
  <c r="I104" i="34" s="1"/>
  <c r="J104" i="34" s="1"/>
  <c r="D104" i="34"/>
  <c r="E105" i="34"/>
  <c r="F105" i="34"/>
  <c r="G105" i="34" s="1"/>
  <c r="H105" i="34" s="1"/>
  <c r="I105" i="34" s="1"/>
  <c r="J105" i="34" s="1"/>
  <c r="D105" i="34"/>
  <c r="C37" i="34"/>
  <c r="P59" i="34"/>
  <c r="Q59" i="34" s="1"/>
  <c r="R59" i="34" s="1"/>
  <c r="S59" i="34" s="1"/>
  <c r="T59" i="34" s="1"/>
  <c r="U59" i="34" s="1"/>
  <c r="V59" i="34" s="1"/>
  <c r="G48" i="34"/>
  <c r="E48" i="34"/>
  <c r="G34" i="34"/>
  <c r="E34" i="34"/>
  <c r="C52" i="85"/>
  <c r="I48" i="34" s="1"/>
  <c r="A52" i="85"/>
  <c r="I5" i="34"/>
  <c r="G5" i="34"/>
  <c r="E5" i="34"/>
  <c r="C66" i="34"/>
  <c r="D66" i="34"/>
  <c r="D2" i="88"/>
  <c r="F102" i="88" l="1"/>
  <c r="G102" i="88" s="1"/>
  <c r="H102" i="88" s="1"/>
  <c r="I102" i="88" s="1"/>
  <c r="J102" i="88" s="1"/>
  <c r="K102" i="88" s="1"/>
  <c r="L102" i="88" s="1"/>
  <c r="M102" i="88" s="1"/>
  <c r="H33" i="88"/>
  <c r="AB33" i="88" s="1"/>
  <c r="F33" i="88"/>
  <c r="AA33" i="88" s="1"/>
  <c r="J33" i="88"/>
  <c r="AC33" i="88" s="1"/>
  <c r="F112" i="88"/>
  <c r="G112" i="88" s="1"/>
  <c r="J37" i="88"/>
  <c r="W37" i="88" s="1"/>
  <c r="F88" i="88"/>
  <c r="F25" i="88"/>
  <c r="AA25" i="88" s="1"/>
  <c r="AA8" i="88"/>
  <c r="AB9" i="88"/>
  <c r="F7" i="88"/>
  <c r="W9" i="88"/>
  <c r="U10" i="88"/>
  <c r="W11" i="88"/>
  <c r="S13" i="88"/>
  <c r="U14" i="88"/>
  <c r="U15" i="88"/>
  <c r="U17" i="88"/>
  <c r="U19" i="88"/>
  <c r="U21" i="88"/>
  <c r="U23" i="88"/>
  <c r="AB28" i="88"/>
  <c r="AA29" i="88"/>
  <c r="W30" i="88"/>
  <c r="AA32" i="88"/>
  <c r="AC8" i="88"/>
  <c r="S12" i="88"/>
  <c r="U13" i="88"/>
  <c r="W14" i="88"/>
  <c r="W15" i="88"/>
  <c r="W17" i="88"/>
  <c r="W19" i="88"/>
  <c r="W21" i="88"/>
  <c r="W23" i="88"/>
  <c r="S27" i="88"/>
  <c r="AB29" i="88"/>
  <c r="AC31" i="88"/>
  <c r="S35" i="88"/>
  <c r="H7" i="88"/>
  <c r="W10" i="88"/>
  <c r="J7" i="88"/>
  <c r="S9" i="88"/>
  <c r="S11" i="88"/>
  <c r="U12" i="88"/>
  <c r="W13" i="88"/>
  <c r="U27" i="88"/>
  <c r="AC29" i="88"/>
  <c r="S10" i="88"/>
  <c r="U11" i="88"/>
  <c r="W12" i="88"/>
  <c r="S14" i="88"/>
  <c r="S15" i="88"/>
  <c r="S17" i="88"/>
  <c r="S19" i="88"/>
  <c r="S21" i="88"/>
  <c r="S23" i="88"/>
  <c r="W27" i="88"/>
  <c r="S36" i="88"/>
  <c r="S39" i="88"/>
  <c r="U40" i="88"/>
  <c r="W41" i="88"/>
  <c r="S43" i="88"/>
  <c r="U44" i="88"/>
  <c r="W45" i="88"/>
  <c r="S47" i="88"/>
  <c r="T48" i="88"/>
  <c r="U36" i="88"/>
  <c r="S38" i="88"/>
  <c r="U39" i="88"/>
  <c r="W40" i="88"/>
  <c r="S42" i="88"/>
  <c r="U43" i="88"/>
  <c r="W44" i="88"/>
  <c r="S46" i="88"/>
  <c r="U47" i="88"/>
  <c r="V48" i="88"/>
  <c r="C103" i="88"/>
  <c r="S31" i="88"/>
  <c r="U32" i="88"/>
  <c r="U35" i="88"/>
  <c r="W36" i="88"/>
  <c r="U38" i="88"/>
  <c r="W39" i="88"/>
  <c r="S41" i="88"/>
  <c r="U42" i="88"/>
  <c r="W43" i="88"/>
  <c r="S45" i="88"/>
  <c r="U46" i="88"/>
  <c r="W47" i="88"/>
  <c r="E55" i="88"/>
  <c r="F55" i="88" s="1"/>
  <c r="W28" i="88"/>
  <c r="S30" i="88"/>
  <c r="U31" i="88"/>
  <c r="W32" i="88"/>
  <c r="W35" i="88"/>
  <c r="W38" i="88"/>
  <c r="S40" i="88"/>
  <c r="U41" i="88"/>
  <c r="W42" i="88"/>
  <c r="S44" i="88"/>
  <c r="U45" i="88"/>
  <c r="W46" i="88"/>
  <c r="F37" i="88" l="1"/>
  <c r="S37" i="88" s="1"/>
  <c r="S33" i="88"/>
  <c r="W33" i="88"/>
  <c r="U33" i="88"/>
  <c r="AC37" i="88"/>
  <c r="H112" i="88"/>
  <c r="I112" i="88" s="1"/>
  <c r="J112" i="88" s="1"/>
  <c r="K112" i="88" s="1"/>
  <c r="L112" i="88" s="1"/>
  <c r="M112" i="88" s="1"/>
  <c r="H37" i="88"/>
  <c r="S25" i="88"/>
  <c r="G88" i="88"/>
  <c r="H88" i="88" s="1"/>
  <c r="I88" i="88" s="1"/>
  <c r="J88" i="88" s="1"/>
  <c r="K88" i="88" s="1"/>
  <c r="L88" i="88" s="1"/>
  <c r="M88" i="88" s="1"/>
  <c r="J25" i="88"/>
  <c r="H25" i="88"/>
  <c r="E103" i="88"/>
  <c r="D103" i="88"/>
  <c r="AA7" i="88"/>
  <c r="S7" i="88"/>
  <c r="W7" i="88"/>
  <c r="AC7" i="88"/>
  <c r="AB7" i="88"/>
  <c r="U7" i="88"/>
  <c r="AA37" i="88" l="1"/>
  <c r="U37" i="88"/>
  <c r="AB37" i="88"/>
  <c r="AB25" i="88"/>
  <c r="U25" i="88"/>
  <c r="AC25" i="88"/>
  <c r="W25" i="88"/>
  <c r="F103" i="88"/>
  <c r="H103" i="88" l="1"/>
  <c r="F34" i="88"/>
  <c r="J34" i="88"/>
  <c r="G103" i="88"/>
  <c r="AC34" i="88" l="1"/>
  <c r="V49" i="88" s="1"/>
  <c r="I49" i="88" s="1"/>
  <c r="W34" i="88"/>
  <c r="AA34" i="88"/>
  <c r="R49" i="88" s="1"/>
  <c r="S34" i="88"/>
  <c r="I103" i="88"/>
  <c r="E49" i="88" l="1"/>
  <c r="I54" i="88" s="1"/>
  <c r="J54" i="88" s="1"/>
  <c r="J103" i="88"/>
  <c r="H34" i="88"/>
  <c r="I53" i="88"/>
  <c r="J53" i="88" s="1"/>
  <c r="AB34" i="88" l="1"/>
  <c r="T49" i="88" s="1"/>
  <c r="U34" i="88"/>
  <c r="E53" i="88"/>
  <c r="F53" i="88" s="1"/>
  <c r="G49" i="88" l="1"/>
  <c r="R50" i="88"/>
  <c r="C50" i="88" l="1"/>
  <c r="N21" i="82" s="1"/>
  <c r="C49" i="88"/>
  <c r="G54" i="88"/>
  <c r="H54" i="88" s="1"/>
  <c r="G53" i="88"/>
  <c r="H53" i="88" s="1"/>
  <c r="E54" i="88"/>
  <c r="F54" i="88" s="1"/>
  <c r="B3" i="88" l="1"/>
  <c r="G21" i="81" l="1"/>
  <c r="H21" i="81"/>
  <c r="I21" i="81"/>
  <c r="J21" i="81"/>
  <c r="K21" i="81" s="1"/>
  <c r="F21" i="81"/>
  <c r="F2" i="81"/>
  <c r="G2" i="81"/>
  <c r="H2" i="81"/>
  <c r="I2" i="81"/>
  <c r="J2" i="81"/>
  <c r="K2" i="81"/>
  <c r="L2" i="81"/>
  <c r="M2" i="81"/>
  <c r="N2" i="81"/>
  <c r="O2" i="81"/>
  <c r="P2" i="81"/>
  <c r="Q2" i="81"/>
  <c r="R2" i="81"/>
  <c r="S2" i="81"/>
  <c r="T2" i="81"/>
  <c r="U2" i="81"/>
  <c r="V2" i="81"/>
  <c r="W2" i="81"/>
  <c r="X2" i="81"/>
  <c r="Y2" i="81"/>
  <c r="E2" i="81"/>
  <c r="D34" i="81"/>
  <c r="D40" i="81" s="1"/>
  <c r="D41" i="81" s="1"/>
  <c r="D42" i="81" s="1"/>
  <c r="D30" i="81"/>
  <c r="D37" i="81" s="1"/>
  <c r="D39" i="81" s="1"/>
  <c r="H32" i="81"/>
  <c r="H33" i="81" s="1"/>
  <c r="H34" i="81"/>
  <c r="L21" i="81" l="1"/>
  <c r="D35" i="81"/>
  <c r="H35" i="81"/>
  <c r="H36" i="81" s="1"/>
  <c r="M21" i="81" l="1"/>
  <c r="H38" i="81"/>
  <c r="H37" i="81"/>
  <c r="N21" i="81" l="1"/>
  <c r="H39" i="81"/>
  <c r="D31" i="81" s="1"/>
  <c r="O21" i="81" l="1"/>
  <c r="P21" i="81" l="1"/>
  <c r="Q21" i="81" l="1"/>
  <c r="R21" i="81" l="1"/>
  <c r="S21" i="81" l="1"/>
  <c r="T21" i="81" l="1"/>
  <c r="U21" i="81" l="1"/>
  <c r="V21" i="81" l="1"/>
  <c r="W21" i="81" l="1"/>
  <c r="X21" i="81" l="1"/>
  <c r="Y21" i="81" l="1"/>
  <c r="D12" i="81" l="1"/>
  <c r="Y4" i="81"/>
  <c r="D20" i="80"/>
  <c r="J12" i="82" l="1"/>
  <c r="K12" i="82"/>
  <c r="L12" i="82"/>
  <c r="M12" i="82"/>
  <c r="N12" i="82"/>
  <c r="O12" i="82"/>
  <c r="P12" i="82"/>
  <c r="Q12" i="82"/>
  <c r="R12" i="82"/>
  <c r="S12" i="82"/>
  <c r="T12" i="82"/>
  <c r="U12" i="82"/>
  <c r="V12" i="82"/>
  <c r="W12" i="82"/>
  <c r="X12" i="82"/>
  <c r="Y12" i="82"/>
  <c r="Z12" i="82"/>
  <c r="AA12" i="82"/>
  <c r="AB12" i="82"/>
  <c r="AC12" i="82"/>
  <c r="AD12" i="82"/>
  <c r="AE12" i="82"/>
  <c r="AF12" i="82"/>
  <c r="I12" i="82"/>
  <c r="N6" i="82"/>
  <c r="O6" i="82"/>
  <c r="P6" i="82"/>
  <c r="Q6" i="82"/>
  <c r="R6" i="82"/>
  <c r="S6" i="82"/>
  <c r="T6" i="82"/>
  <c r="U6" i="82"/>
  <c r="V6" i="82"/>
  <c r="W6" i="82"/>
  <c r="X6" i="82"/>
  <c r="Y6" i="82"/>
  <c r="Z6" i="82"/>
  <c r="AA6" i="82"/>
  <c r="AB6" i="82"/>
  <c r="AC6" i="82"/>
  <c r="AD6" i="82"/>
  <c r="AE6" i="82"/>
  <c r="AF6" i="82"/>
  <c r="AF4" i="82"/>
  <c r="AF10" i="82" s="1"/>
  <c r="O21" i="82"/>
  <c r="N2" i="82"/>
  <c r="G22" i="82"/>
  <c r="G21" i="82"/>
  <c r="G2" i="82"/>
  <c r="M22" i="83"/>
  <c r="K3" i="83"/>
  <c r="J3" i="83" s="1"/>
  <c r="B2" i="83"/>
  <c r="F2" i="82"/>
  <c r="E2" i="82"/>
  <c r="F17" i="83"/>
  <c r="K4" i="83"/>
  <c r="J4" i="83" s="1"/>
  <c r="K5" i="83"/>
  <c r="J5" i="83" s="1"/>
  <c r="K6" i="83"/>
  <c r="J6" i="83" s="1"/>
  <c r="K7" i="83"/>
  <c r="K8" i="83"/>
  <c r="J8" i="83" s="1"/>
  <c r="K9" i="83"/>
  <c r="J9" i="83" s="1"/>
  <c r="K10" i="83"/>
  <c r="J10" i="83" s="1"/>
  <c r="K11" i="83"/>
  <c r="J11" i="83" s="1"/>
  <c r="K12" i="83"/>
  <c r="K13" i="83"/>
  <c r="J13" i="83" s="1"/>
  <c r="K14" i="83"/>
  <c r="J14" i="83" s="1"/>
  <c r="K15" i="83"/>
  <c r="J15" i="83" s="1"/>
  <c r="K16" i="83"/>
  <c r="J16" i="83" s="1"/>
  <c r="K17" i="83"/>
  <c r="F22" i="83"/>
  <c r="H22" i="83" s="1"/>
  <c r="K22" i="83" s="1"/>
  <c r="F21" i="83"/>
  <c r="H21" i="83" s="1"/>
  <c r="K21" i="83" s="1"/>
  <c r="I21" i="82" s="1"/>
  <c r="J21" i="82" s="1"/>
  <c r="J2" i="82" s="1"/>
  <c r="J5" i="82" s="1"/>
  <c r="I20" i="83"/>
  <c r="F20" i="83"/>
  <c r="F19" i="83"/>
  <c r="H19" i="83" s="1"/>
  <c r="K19" i="83" s="1"/>
  <c r="I22" i="83"/>
  <c r="J3" i="82"/>
  <c r="L3" i="82"/>
  <c r="M3" i="82"/>
  <c r="O3" i="82" s="1"/>
  <c r="P3" i="82" s="1"/>
  <c r="P4" i="82" s="1"/>
  <c r="N3" i="82"/>
  <c r="J4" i="82"/>
  <c r="L4" i="82" s="1"/>
  <c r="N4" i="82" s="1"/>
  <c r="O4" i="82" s="1"/>
  <c r="J9" i="82"/>
  <c r="L9" i="82"/>
  <c r="M9" i="82"/>
  <c r="O9" i="82" s="1"/>
  <c r="N9" i="82"/>
  <c r="J10" i="82"/>
  <c r="L10" i="82" s="1"/>
  <c r="N10" i="82" s="1"/>
  <c r="F3" i="81"/>
  <c r="G3" i="81" s="1"/>
  <c r="H3" i="81" s="1"/>
  <c r="I3" i="81" s="1"/>
  <c r="J3" i="81" s="1"/>
  <c r="K3" i="81" s="1"/>
  <c r="L3" i="81" s="1"/>
  <c r="M3" i="81" s="1"/>
  <c r="N3" i="81" s="1"/>
  <c r="O3" i="81" s="1"/>
  <c r="P3" i="81" s="1"/>
  <c r="Q3" i="81" s="1"/>
  <c r="R3" i="81" s="1"/>
  <c r="S3" i="81" s="1"/>
  <c r="T3" i="81" s="1"/>
  <c r="U3" i="81" s="1"/>
  <c r="V3" i="81" s="1"/>
  <c r="W3" i="81" s="1"/>
  <c r="X3" i="81" s="1"/>
  <c r="Y3" i="81" s="1"/>
  <c r="E4" i="81"/>
  <c r="F4" i="81" s="1"/>
  <c r="G4" i="81" s="1"/>
  <c r="H4" i="81" s="1"/>
  <c r="I4" i="81" s="1"/>
  <c r="J4" i="81" s="1"/>
  <c r="K4" i="81" s="1"/>
  <c r="L4" i="81" s="1"/>
  <c r="M4" i="81" s="1"/>
  <c r="N4" i="81" s="1"/>
  <c r="O4" i="81" s="1"/>
  <c r="P4" i="81" s="1"/>
  <c r="Q4" i="81" s="1"/>
  <c r="R4" i="81" s="1"/>
  <c r="S4" i="81" s="1"/>
  <c r="T4" i="81" s="1"/>
  <c r="U4" i="81" s="1"/>
  <c r="V4" i="81" s="1"/>
  <c r="W4" i="81" s="1"/>
  <c r="X4" i="81" s="1"/>
  <c r="F20" i="81"/>
  <c r="G20" i="81" s="1"/>
  <c r="H20" i="81" s="1"/>
  <c r="E22" i="81"/>
  <c r="G22" i="83" l="1"/>
  <c r="K21" i="82"/>
  <c r="K2" i="82" s="1"/>
  <c r="J22" i="83"/>
  <c r="J20" i="83"/>
  <c r="J19" i="83"/>
  <c r="I19" i="83"/>
  <c r="G19" i="83"/>
  <c r="P21" i="82"/>
  <c r="F22" i="81"/>
  <c r="I2" i="82"/>
  <c r="Q3" i="82"/>
  <c r="Q4" i="82" s="1"/>
  <c r="R3" i="82" s="1"/>
  <c r="R4" i="82" s="1"/>
  <c r="S3" i="82" s="1"/>
  <c r="S4" i="82" s="1"/>
  <c r="T3" i="82" s="1"/>
  <c r="U3" i="82" s="1"/>
  <c r="G21" i="83"/>
  <c r="H20" i="83"/>
  <c r="K20" i="83" s="1"/>
  <c r="L22" i="83" s="1"/>
  <c r="G20" i="83"/>
  <c r="I20" i="81"/>
  <c r="H22" i="81"/>
  <c r="P9" i="82"/>
  <c r="P10" i="82" s="1"/>
  <c r="Q9" i="82" s="1"/>
  <c r="Q10" i="82" s="1"/>
  <c r="R9" i="82" s="1"/>
  <c r="R10" i="82" s="1"/>
  <c r="S9" i="82" s="1"/>
  <c r="S10" i="82" s="1"/>
  <c r="T9" i="82" s="1"/>
  <c r="G22" i="81"/>
  <c r="L21" i="82" l="1"/>
  <c r="L2" i="82" s="1"/>
  <c r="J21" i="83"/>
  <c r="I21" i="83"/>
  <c r="Q21" i="82"/>
  <c r="P2" i="82"/>
  <c r="I5" i="82"/>
  <c r="I7" i="82" s="1"/>
  <c r="I15" i="82" s="1"/>
  <c r="E7" i="81" s="1"/>
  <c r="E15" i="81" s="1"/>
  <c r="M21" i="82"/>
  <c r="M2" i="82" s="1"/>
  <c r="T4" i="82"/>
  <c r="U9" i="82"/>
  <c r="T10" i="82"/>
  <c r="V3" i="82"/>
  <c r="U4" i="82"/>
  <c r="J20" i="81"/>
  <c r="I22" i="81"/>
  <c r="R21" i="82" l="1"/>
  <c r="Q2" i="82"/>
  <c r="K5" i="82"/>
  <c r="K20" i="81"/>
  <c r="J22" i="81"/>
  <c r="V4" i="82"/>
  <c r="W3" i="82"/>
  <c r="V9" i="82"/>
  <c r="U10" i="82"/>
  <c r="S21" i="82" l="1"/>
  <c r="R2" i="82"/>
  <c r="L5" i="82"/>
  <c r="K7" i="82" s="1"/>
  <c r="K15" i="82" s="1"/>
  <c r="F7" i="81" s="1"/>
  <c r="F15" i="81" s="1"/>
  <c r="X3" i="82"/>
  <c r="W4" i="82"/>
  <c r="W9" i="82"/>
  <c r="V10" i="82"/>
  <c r="L20" i="81"/>
  <c r="K22" i="81"/>
  <c r="T21" i="82" l="1"/>
  <c r="S2" i="82"/>
  <c r="M5" i="82"/>
  <c r="M20" i="81"/>
  <c r="L22" i="81"/>
  <c r="X9" i="82"/>
  <c r="W10" i="82"/>
  <c r="Y3" i="82"/>
  <c r="X4" i="82"/>
  <c r="U21" i="82" l="1"/>
  <c r="T2" i="82"/>
  <c r="N5" i="82"/>
  <c r="M7" i="82" s="1"/>
  <c r="M15" i="82" s="1"/>
  <c r="G7" i="81" s="1"/>
  <c r="G15" i="81" s="1"/>
  <c r="Z3" i="82"/>
  <c r="Y4" i="82"/>
  <c r="Y9" i="82"/>
  <c r="X10" i="82"/>
  <c r="N20" i="81"/>
  <c r="M22" i="81"/>
  <c r="V21" i="82" l="1"/>
  <c r="U2" i="82"/>
  <c r="O5" i="82"/>
  <c r="O7" i="82" s="1"/>
  <c r="Z9" i="82"/>
  <c r="Y10" i="82"/>
  <c r="Z4" i="82"/>
  <c r="AA3" i="82"/>
  <c r="O20" i="81"/>
  <c r="N22" i="81"/>
  <c r="V2" i="82" l="1"/>
  <c r="W21" i="82"/>
  <c r="O15" i="82"/>
  <c r="H7" i="81" s="1"/>
  <c r="H15" i="81" s="1"/>
  <c r="P20" i="81"/>
  <c r="O22" i="81"/>
  <c r="AA9" i="82"/>
  <c r="Z10" i="82"/>
  <c r="AB3" i="82"/>
  <c r="AA4" i="82"/>
  <c r="W2" i="82" l="1"/>
  <c r="X21" i="82"/>
  <c r="P5" i="82"/>
  <c r="P7" i="82" s="1"/>
  <c r="P15" i="82" s="1"/>
  <c r="I7" i="81" s="1"/>
  <c r="I15" i="81" s="1"/>
  <c r="Q20" i="81"/>
  <c r="P22" i="81"/>
  <c r="AB9" i="82"/>
  <c r="AA10" i="82"/>
  <c r="AC3" i="82"/>
  <c r="AB4" i="82"/>
  <c r="Y21" i="82" l="1"/>
  <c r="X2" i="82"/>
  <c r="Q5" i="82"/>
  <c r="Q7" i="82" s="1"/>
  <c r="Q15" i="82" s="1"/>
  <c r="J7" i="81" s="1"/>
  <c r="J15" i="81" s="1"/>
  <c r="AC9" i="82"/>
  <c r="AB10" i="82"/>
  <c r="AD3" i="82"/>
  <c r="AC4" i="82"/>
  <c r="R20" i="81"/>
  <c r="Q22" i="81"/>
  <c r="Y2" i="82" l="1"/>
  <c r="Z21" i="82"/>
  <c r="R5" i="82"/>
  <c r="R7" i="82" s="1"/>
  <c r="R15" i="82" s="1"/>
  <c r="K7" i="81" s="1"/>
  <c r="K15" i="81" s="1"/>
  <c r="S20" i="81"/>
  <c r="R22" i="81"/>
  <c r="AD4" i="82"/>
  <c r="AE3" i="82"/>
  <c r="AD9" i="82"/>
  <c r="AC10" i="82"/>
  <c r="AA21" i="82" l="1"/>
  <c r="Z2" i="82"/>
  <c r="S5" i="82"/>
  <c r="S7" i="82" s="1"/>
  <c r="S15" i="82" s="1"/>
  <c r="L7" i="81" s="1"/>
  <c r="L15" i="81" s="1"/>
  <c r="AE9" i="82"/>
  <c r="AD10" i="82"/>
  <c r="AF3" i="82"/>
  <c r="AE4" i="82"/>
  <c r="T20" i="81"/>
  <c r="S22" i="81"/>
  <c r="AA2" i="82" l="1"/>
  <c r="AB21" i="82"/>
  <c r="T5" i="82"/>
  <c r="T7" i="82" s="1"/>
  <c r="T15" i="82" s="1"/>
  <c r="M7" i="81" s="1"/>
  <c r="M15" i="81" s="1"/>
  <c r="U20" i="81"/>
  <c r="T22" i="81"/>
  <c r="AF9" i="82"/>
  <c r="AE10" i="82"/>
  <c r="AC21" i="82" l="1"/>
  <c r="AB2" i="82"/>
  <c r="U5" i="82"/>
  <c r="U7" i="82" s="1"/>
  <c r="U15" i="82" s="1"/>
  <c r="N7" i="81" s="1"/>
  <c r="N15" i="81" s="1"/>
  <c r="U22" i="81"/>
  <c r="V20" i="81"/>
  <c r="AD21" i="82" l="1"/>
  <c r="AC2" i="82"/>
  <c r="V5" i="82"/>
  <c r="V7" i="82" s="1"/>
  <c r="V15" i="82" s="1"/>
  <c r="O7" i="81" s="1"/>
  <c r="O15" i="81" s="1"/>
  <c r="W20" i="81"/>
  <c r="V22" i="81"/>
  <c r="AD2" i="82" l="1"/>
  <c r="AE21" i="82"/>
  <c r="W5" i="82"/>
  <c r="X20" i="81"/>
  <c r="W22" i="81"/>
  <c r="AF21" i="82" l="1"/>
  <c r="AF2" i="82" s="1"/>
  <c r="AE2" i="82"/>
  <c r="W7" i="82"/>
  <c r="X5" i="82"/>
  <c r="Y20" i="81"/>
  <c r="Y22" i="81" s="1"/>
  <c r="X22" i="81"/>
  <c r="W15" i="82" l="1"/>
  <c r="P7" i="81" s="1"/>
  <c r="P15" i="81" s="1"/>
  <c r="X7" i="82"/>
  <c r="Y5" i="82"/>
  <c r="X15" i="82" l="1"/>
  <c r="Q7" i="81" s="1"/>
  <c r="Q15" i="81" s="1"/>
  <c r="Y7" i="82"/>
  <c r="Z5" i="82"/>
  <c r="Z7" i="82" s="1"/>
  <c r="Z15" i="82" s="1"/>
  <c r="S7" i="81" s="1"/>
  <c r="S15" i="81" s="1"/>
  <c r="Y15" i="82" l="1"/>
  <c r="R7" i="81" s="1"/>
  <c r="R15" i="81" s="1"/>
  <c r="AA5" i="82"/>
  <c r="AA7" i="82" l="1"/>
  <c r="AB5" i="82"/>
  <c r="AA15" i="82" l="1"/>
  <c r="T7" i="81" s="1"/>
  <c r="T15" i="81" s="1"/>
  <c r="AB7" i="82"/>
  <c r="AC5" i="82"/>
  <c r="AC7" i="82" s="1"/>
  <c r="AC15" i="82" s="1"/>
  <c r="V7" i="81" s="1"/>
  <c r="V15" i="81" s="1"/>
  <c r="C20" i="6"/>
  <c r="C19" i="6"/>
  <c r="K13" i="3"/>
  <c r="G20" i="6" s="1"/>
  <c r="E21" i="80" l="1"/>
  <c r="I13" i="3"/>
  <c r="F19" i="6" s="1"/>
  <c r="AB15" i="82"/>
  <c r="U7" i="81" s="1"/>
  <c r="U15" i="81" s="1"/>
  <c r="AD5" i="82"/>
  <c r="AD7" i="82" l="1"/>
  <c r="AD15" i="82" s="1"/>
  <c r="W7" i="81" s="1"/>
  <c r="W15" i="81" s="1"/>
  <c r="AE5" i="82"/>
  <c r="AE7" i="82" s="1"/>
  <c r="AE15" i="82" s="1"/>
  <c r="X7" i="81" s="1"/>
  <c r="X15" i="81" s="1"/>
  <c r="AF5" i="82" l="1"/>
  <c r="AF7" i="82" s="1"/>
  <c r="AF15" i="82" s="1"/>
  <c r="Y7" i="81" s="1"/>
  <c r="Y15" i="81" s="1"/>
  <c r="Z15" i="81" l="1"/>
  <c r="J17" i="80" l="1"/>
  <c r="J16" i="80"/>
  <c r="L9" i="80"/>
  <c r="L4" i="80"/>
  <c r="L17" i="80" s="1"/>
  <c r="A3" i="3" s="1"/>
  <c r="L2" i="80"/>
  <c r="L6" i="80"/>
  <c r="L5" i="80" l="1"/>
  <c r="L16" i="80"/>
  <c r="J22" i="80"/>
  <c r="J23" i="80" s="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D38" i="79" s="1"/>
  <c r="AB37" i="79"/>
  <c r="AA37" i="79"/>
  <c r="Z37" i="79"/>
  <c r="N37" i="79"/>
  <c r="U37" i="79" s="1"/>
  <c r="M37" i="79"/>
  <c r="L37" i="79"/>
  <c r="I37" i="79"/>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U28" i="79" s="1"/>
  <c r="M33" i="79"/>
  <c r="T28" i="79" s="1"/>
  <c r="W28" i="79" s="1"/>
  <c r="L33" i="79"/>
  <c r="I33" i="79"/>
  <c r="AB27" i="79"/>
  <c r="AA27" i="79"/>
  <c r="AA25" i="79" s="1"/>
  <c r="AD25" i="79" s="1"/>
  <c r="Z27" i="79"/>
  <c r="N27" i="79"/>
  <c r="N25" i="79" s="1"/>
  <c r="M27" i="79"/>
  <c r="T27" i="79" s="1"/>
  <c r="L27" i="79"/>
  <c r="I27" i="79"/>
  <c r="AD27" i="79" s="1"/>
  <c r="U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S14" i="79" s="1"/>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5" i="79" l="1"/>
  <c r="W25" i="79" s="1"/>
  <c r="U34" i="79"/>
  <c r="AD35" i="79"/>
  <c r="S36" i="79"/>
  <c r="AC3" i="79"/>
  <c r="R13" i="79"/>
  <c r="Y3" i="79"/>
  <c r="S15" i="79"/>
  <c r="U3" i="79"/>
  <c r="V12" i="79"/>
  <c r="T14" i="79"/>
  <c r="W14" i="79" s="1"/>
  <c r="M25" i="79"/>
  <c r="P25" i="79" s="1"/>
  <c r="U36" i="79"/>
  <c r="AD37" i="79"/>
  <c r="S38" i="79"/>
  <c r="U12" i="79"/>
  <c r="V13" i="79"/>
  <c r="V3" i="79"/>
  <c r="Z3" i="79"/>
  <c r="R12" i="79"/>
  <c r="S13" i="79"/>
  <c r="S12" i="79"/>
  <c r="U14" i="79"/>
  <c r="U1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21" i="71" s="1"/>
  <c r="P21" i="71"/>
  <c r="P22" i="71"/>
  <c r="O21" i="71"/>
  <c r="Y21" i="71" s="1"/>
  <c r="Z21" i="71" s="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V24" i="71" s="1"/>
  <c r="O24" i="71"/>
  <c r="C24" i="71"/>
  <c r="C23" i="71" s="1"/>
  <c r="Q25" i="71"/>
  <c r="F24" i="71"/>
  <c r="F23" i="71"/>
  <c r="P25" i="7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F79" i="71" s="1"/>
  <c r="F78" i="71" s="1"/>
  <c r="V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V68" i="71"/>
  <c r="E68" i="71"/>
  <c r="P68" i="71" s="1"/>
  <c r="C68" i="71"/>
  <c r="B68" i="71"/>
  <c r="S68" i="71" s="1"/>
  <c r="F67" i="71"/>
  <c r="F66" i="71" s="1"/>
  <c r="Q65" i="71" s="1"/>
  <c r="Q66" i="71"/>
  <c r="B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B55" i="71" s="1"/>
  <c r="B56" i="71" s="1"/>
  <c r="S56" i="71" s="1"/>
  <c r="Q53" i="71"/>
  <c r="F54" i="71" s="1"/>
  <c r="F55" i="71"/>
  <c r="F56" i="71"/>
  <c r="V56" i="71" s="1"/>
  <c r="P53" i="71"/>
  <c r="E54" i="7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C52" i="71" s="1"/>
  <c r="N49" i="71"/>
  <c r="B50" i="71" s="1"/>
  <c r="B51" i="71" s="1"/>
  <c r="B52" i="71"/>
  <c r="S52" i="71"/>
  <c r="D49" i="71"/>
  <c r="T48" i="71"/>
  <c r="Q48" i="71"/>
  <c r="P48" i="71"/>
  <c r="O48" i="71"/>
  <c r="N48" i="71"/>
  <c r="D48" i="71"/>
  <c r="Q47" i="71"/>
  <c r="P47" i="71"/>
  <c r="O47" i="71"/>
  <c r="N47" i="71"/>
  <c r="Q46" i="71"/>
  <c r="P46" i="71"/>
  <c r="O46" i="71"/>
  <c r="N46" i="71"/>
  <c r="F46" i="71"/>
  <c r="F47" i="71" s="1"/>
  <c r="F48" i="71" s="1"/>
  <c r="V48" i="71"/>
  <c r="Q45" i="71"/>
  <c r="P45" i="71"/>
  <c r="E46" i="71" s="1"/>
  <c r="E47" i="71"/>
  <c r="E48" i="71"/>
  <c r="U48" i="71" s="1"/>
  <c r="O45" i="71"/>
  <c r="C46" i="71"/>
  <c r="N45" i="71"/>
  <c r="B46" i="71" s="1"/>
  <c r="B47" i="71" s="1"/>
  <c r="B48" i="71"/>
  <c r="S48" i="71" s="1"/>
  <c r="D45" i="71"/>
  <c r="Q44" i="71"/>
  <c r="P44" i="71"/>
  <c r="O44" i="71"/>
  <c r="N44" i="71"/>
  <c r="Q43" i="71"/>
  <c r="P43" i="71"/>
  <c r="O43" i="71"/>
  <c r="N43" i="71"/>
  <c r="Q42" i="71"/>
  <c r="P42" i="71"/>
  <c r="O42" i="71"/>
  <c r="N42" i="71"/>
  <c r="F43" i="71"/>
  <c r="F44" i="71"/>
  <c r="V44" i="71" s="1"/>
  <c r="Q41" i="71"/>
  <c r="F42" i="71" s="1"/>
  <c r="P41" i="71"/>
  <c r="E42" i="7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X29" i="71" s="1"/>
  <c r="Q37" i="71"/>
  <c r="AB37" i="71" s="1"/>
  <c r="P37" i="71"/>
  <c r="O37" i="71"/>
  <c r="N37" i="71"/>
  <c r="D37" i="71"/>
  <c r="Q36" i="71"/>
  <c r="AB36" i="71" s="1"/>
  <c r="P36" i="71"/>
  <c r="O36" i="71"/>
  <c r="N36" i="71"/>
  <c r="Q35" i="71"/>
  <c r="AB35" i="71" s="1"/>
  <c r="P35" i="71"/>
  <c r="O35" i="71"/>
  <c r="Y34" i="71" s="1"/>
  <c r="Z34" i="71" s="1"/>
  <c r="Y35" i="71"/>
  <c r="Z35" i="71" s="1"/>
  <c r="N35" i="71"/>
  <c r="Q34" i="71"/>
  <c r="P34" i="71"/>
  <c r="O34" i="71"/>
  <c r="N34" i="71"/>
  <c r="F35" i="71"/>
  <c r="F36" i="71" s="1"/>
  <c r="V36" i="71" s="1"/>
  <c r="Q33" i="71"/>
  <c r="F34" i="71" s="1"/>
  <c r="P33" i="71"/>
  <c r="O33" i="71"/>
  <c r="Y33" i="71" s="1"/>
  <c r="Z33" i="71" s="1"/>
  <c r="N33" i="71"/>
  <c r="D33" i="71"/>
  <c r="Q32" i="71"/>
  <c r="AB32" i="71"/>
  <c r="P32" i="71"/>
  <c r="O32" i="71"/>
  <c r="N32" i="71"/>
  <c r="Q31" i="71"/>
  <c r="P31" i="71"/>
  <c r="AA31" i="71" s="1"/>
  <c r="O31" i="71"/>
  <c r="N31" i="71"/>
  <c r="X31" i="71" s="1"/>
  <c r="Q30" i="71"/>
  <c r="P30" i="71"/>
  <c r="O30" i="71"/>
  <c r="N30" i="71"/>
  <c r="F30" i="71"/>
  <c r="F31" i="71" s="1"/>
  <c r="F32" i="71" s="1"/>
  <c r="V32" i="71" s="1"/>
  <c r="Q29" i="71"/>
  <c r="P29" i="71"/>
  <c r="O29" i="71"/>
  <c r="N29" i="71"/>
  <c r="X18" i="71" s="1"/>
  <c r="D29" i="71"/>
  <c r="O28" i="71"/>
  <c r="N28" i="71"/>
  <c r="B30" i="71"/>
  <c r="E30" i="71"/>
  <c r="E31" i="71" s="1"/>
  <c r="E32" i="71" s="1"/>
  <c r="U32" i="71" s="1"/>
  <c r="B34" i="71"/>
  <c r="B35" i="71" s="1"/>
  <c r="B36" i="71"/>
  <c r="S36" i="71" s="1"/>
  <c r="E38" i="71"/>
  <c r="E39" i="71" s="1"/>
  <c r="E40" i="71" s="1"/>
  <c r="U40" i="71" s="1"/>
  <c r="AA37" i="71"/>
  <c r="N68" i="71"/>
  <c r="C30" i="71"/>
  <c r="AA32" i="71"/>
  <c r="C34" i="71"/>
  <c r="AA35" i="71"/>
  <c r="C38" i="71"/>
  <c r="AA38" i="71"/>
  <c r="V52" i="71"/>
  <c r="C28" i="71"/>
  <c r="T28" i="71" s="1"/>
  <c r="B28" i="71"/>
  <c r="B27" i="71" s="1"/>
  <c r="B26" i="71"/>
  <c r="C31" i="71"/>
  <c r="C32" i="71" s="1"/>
  <c r="D30" i="71"/>
  <c r="D38" i="71"/>
  <c r="C43" i="71"/>
  <c r="C47" i="71"/>
  <c r="D47" i="71" s="1"/>
  <c r="D46" i="71"/>
  <c r="P28" i="71"/>
  <c r="AA27" i="71" s="1"/>
  <c r="E55" i="71"/>
  <c r="E56" i="71" s="1"/>
  <c r="U56" i="71"/>
  <c r="E59" i="71"/>
  <c r="E60" i="71"/>
  <c r="U60" i="71" s="1"/>
  <c r="U68" i="71"/>
  <c r="Q28" i="71"/>
  <c r="AB27" i="71" s="1"/>
  <c r="C59" i="71"/>
  <c r="C60" i="71" s="1"/>
  <c r="D62" i="71"/>
  <c r="N67" i="71"/>
  <c r="B66" i="71"/>
  <c r="N66" i="71" s="1"/>
  <c r="Q67" i="71"/>
  <c r="T68" i="71"/>
  <c r="O68" i="71"/>
  <c r="D68" i="71"/>
  <c r="C67" i="71"/>
  <c r="Q68" i="71"/>
  <c r="C71" i="71"/>
  <c r="C70" i="71" s="1"/>
  <c r="D70" i="71" s="1"/>
  <c r="E71" i="71"/>
  <c r="E70" i="71" s="1"/>
  <c r="D72" i="71"/>
  <c r="E75" i="71"/>
  <c r="E74" i="71" s="1"/>
  <c r="C79" i="71"/>
  <c r="D79" i="71" s="1"/>
  <c r="E79" i="71"/>
  <c r="E78" i="71" s="1"/>
  <c r="D80" i="71"/>
  <c r="C83" i="71"/>
  <c r="D83" i="71" s="1"/>
  <c r="C87" i="71"/>
  <c r="D87" i="71" s="1"/>
  <c r="C27" i="71"/>
  <c r="D27" i="71" s="1"/>
  <c r="S28" i="71"/>
  <c r="F28" i="71"/>
  <c r="F27" i="71" s="1"/>
  <c r="F26" i="71" s="1"/>
  <c r="AB26" i="71"/>
  <c r="AA26" i="71"/>
  <c r="D28" i="71"/>
  <c r="U28" i="71"/>
  <c r="C66" i="71"/>
  <c r="O67" i="71"/>
  <c r="D67" i="71"/>
  <c r="C64" i="71"/>
  <c r="T64" i="71" s="1"/>
  <c r="D63" i="71"/>
  <c r="C82" i="71"/>
  <c r="D82" i="71"/>
  <c r="N65" i="71"/>
  <c r="D71" i="71"/>
  <c r="D59" i="71"/>
  <c r="C44" i="71"/>
  <c r="T44" i="71" s="1"/>
  <c r="D43" i="71"/>
  <c r="C26" i="71"/>
  <c r="D26" i="71"/>
  <c r="O66" i="71"/>
  <c r="D66" i="71"/>
  <c r="O65" i="7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F94" i="40"/>
  <c r="G94" i="40" s="1"/>
  <c r="H25" i="40"/>
  <c r="AB25" i="40" s="1"/>
  <c r="J25" i="40"/>
  <c r="H29" i="39"/>
  <c r="AB29" i="39" s="1"/>
  <c r="J29" i="39"/>
  <c r="AC29" i="39" s="1"/>
  <c r="J18" i="36"/>
  <c r="AC18" i="36" s="1"/>
  <c r="F68" i="35"/>
  <c r="G68" i="35" s="1"/>
  <c r="H18" i="35"/>
  <c r="AB18" i="35" s="1"/>
  <c r="J18" i="35"/>
  <c r="F77" i="37"/>
  <c r="G77" i="37" s="1"/>
  <c r="H21" i="37"/>
  <c r="F21" i="37"/>
  <c r="AA21" i="37" s="1"/>
  <c r="H21" i="34"/>
  <c r="AB21" i="34" s="1"/>
  <c r="H21" i="33"/>
  <c r="U21" i="33" s="1"/>
  <c r="F21" i="33"/>
  <c r="E83" i="21"/>
  <c r="H1" i="69"/>
  <c r="AC25" i="40"/>
  <c r="W25" i="40"/>
  <c r="U29" i="39"/>
  <c r="W29" i="39"/>
  <c r="W18" i="36"/>
  <c r="AB21" i="37"/>
  <c r="U21" i="37"/>
  <c r="S21" i="37"/>
  <c r="AA21" i="33"/>
  <c r="S21" i="33"/>
  <c r="AC18" i="35"/>
  <c r="W18" i="35"/>
  <c r="J21" i="37"/>
  <c r="J21" i="34"/>
  <c r="W21" i="34" s="1"/>
  <c r="J21" i="33"/>
  <c r="F83" i="21"/>
  <c r="G83" i="21" s="1"/>
  <c r="H21" i="21"/>
  <c r="U21" i="21" s="1"/>
  <c r="F38" i="69"/>
  <c r="E37" i="69"/>
  <c r="F36" i="69"/>
  <c r="F35" i="69"/>
  <c r="F21" i="69"/>
  <c r="F40" i="69" s="1"/>
  <c r="F20" i="69"/>
  <c r="F39" i="69" s="1"/>
  <c r="E10" i="69"/>
  <c r="E9" i="69"/>
  <c r="C7" i="69"/>
  <c r="AC21" i="37"/>
  <c r="W21" i="37"/>
  <c r="AC21" i="33"/>
  <c r="W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L475" i="3" s="1"/>
  <c r="AZ475" i="3" s="1"/>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H39" i="40" s="1"/>
  <c r="B116" i="40"/>
  <c r="F38" i="40" s="1"/>
  <c r="AA38" i="40"/>
  <c r="D115" i="40"/>
  <c r="E115" i="40" s="1"/>
  <c r="F115" i="40" s="1"/>
  <c r="G115" i="40" s="1"/>
  <c r="H115" i="40" s="1"/>
  <c r="I115" i="40" s="1"/>
  <c r="J115" i="40" s="1"/>
  <c r="K115" i="40" s="1"/>
  <c r="L115" i="40" s="1"/>
  <c r="M115" i="40" s="1"/>
  <c r="D113" i="40"/>
  <c r="E113" i="40"/>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U39" i="40"/>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s="1"/>
  <c r="Q26" i="37"/>
  <c r="Z26" i="37"/>
  <c r="J26" i="37"/>
  <c r="AC26" i="37" s="1"/>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c r="J16" i="36"/>
  <c r="W16" i="36" s="1"/>
  <c r="D62" i="36"/>
  <c r="E62" i="36"/>
  <c r="F62" i="36" s="1"/>
  <c r="G62" i="36" s="1"/>
  <c r="B59" i="36"/>
  <c r="B57" i="36"/>
  <c r="J12" i="36" s="1"/>
  <c r="B55" i="36"/>
  <c r="C51" i="36"/>
  <c r="P37" i="36"/>
  <c r="P36" i="36"/>
  <c r="V35" i="36"/>
  <c r="T35" i="36"/>
  <c r="R35" i="36"/>
  <c r="P35" i="36"/>
  <c r="Q34" i="36"/>
  <c r="Z34" i="36" s="1"/>
  <c r="Q33" i="36"/>
  <c r="Z33" i="36"/>
  <c r="Q32" i="36"/>
  <c r="Z32" i="36" s="1"/>
  <c r="Q31" i="36"/>
  <c r="Z31" i="36"/>
  <c r="Q30" i="36"/>
  <c r="Z30" i="36" s="1"/>
  <c r="AC30" i="36"/>
  <c r="Q29" i="36"/>
  <c r="Z29" i="36"/>
  <c r="Q28" i="36"/>
  <c r="Z28" i="36"/>
  <c r="J28" i="36"/>
  <c r="AC28" i="36" s="1"/>
  <c r="Q27" i="36"/>
  <c r="Z27" i="36" s="1"/>
  <c r="Q26" i="36"/>
  <c r="Z26" i="36" s="1"/>
  <c r="H26" i="36"/>
  <c r="AB26" i="36" s="1"/>
  <c r="Q25" i="36"/>
  <c r="Z25" i="36"/>
  <c r="Q24" i="36"/>
  <c r="Z24" i="36" s="1"/>
  <c r="Q23" i="36"/>
  <c r="Z23" i="36" s="1"/>
  <c r="J23" i="36"/>
  <c r="AC23" i="36" s="1"/>
  <c r="H23" i="36"/>
  <c r="AB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c r="AB36" i="35"/>
  <c r="B99" i="35"/>
  <c r="B97" i="35"/>
  <c r="B77" i="35"/>
  <c r="B75" i="35"/>
  <c r="J24" i="35" s="1"/>
  <c r="AC24" i="35" s="1"/>
  <c r="B73" i="35"/>
  <c r="H23" i="35"/>
  <c r="U23" i="35"/>
  <c r="B57" i="35"/>
  <c r="B61" i="35"/>
  <c r="B59" i="35"/>
  <c r="J12" i="35" s="1"/>
  <c r="W12" i="35" s="1"/>
  <c r="B131" i="34"/>
  <c r="B129" i="34"/>
  <c r="B127" i="34"/>
  <c r="B99" i="34"/>
  <c r="B97" i="34"/>
  <c r="B95" i="34"/>
  <c r="F30" i="34" s="1"/>
  <c r="B93" i="34"/>
  <c r="B75" i="34"/>
  <c r="B73" i="34"/>
  <c r="B71" i="34"/>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c r="F84" i="35"/>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c r="F64" i="35"/>
  <c r="G64" i="35" s="1"/>
  <c r="J14" i="35"/>
  <c r="W14" i="35" s="1"/>
  <c r="C53" i="35"/>
  <c r="J9" i="35" s="1"/>
  <c r="P39" i="35"/>
  <c r="P38" i="35"/>
  <c r="V37" i="35"/>
  <c r="T37" i="35"/>
  <c r="R37" i="35"/>
  <c r="P37" i="35"/>
  <c r="Q36" i="35"/>
  <c r="Z36" i="35" s="1"/>
  <c r="J36" i="35"/>
  <c r="AC36" i="35"/>
  <c r="Q35" i="35"/>
  <c r="Z35" i="35" s="1"/>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c r="Q31" i="34"/>
  <c r="Z31" i="34" s="1"/>
  <c r="Q30" i="34"/>
  <c r="Z30" i="34" s="1"/>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Q9" i="34"/>
  <c r="Z9" i="34"/>
  <c r="J9" i="34"/>
  <c r="AC9" i="34" s="1"/>
  <c r="H9" i="34"/>
  <c r="U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s="1"/>
  <c r="W45" i="21" s="1"/>
  <c r="B126" i="21"/>
  <c r="B98" i="21"/>
  <c r="H31" i="21" s="1"/>
  <c r="B96" i="21"/>
  <c r="B94" i="21"/>
  <c r="J29" i="21"/>
  <c r="AC29" i="21" s="1"/>
  <c r="B92" i="21"/>
  <c r="B90" i="21"/>
  <c r="J27" i="21"/>
  <c r="W27" i="21" s="1"/>
  <c r="B74" i="21"/>
  <c r="B72" i="21"/>
  <c r="H13" i="21"/>
  <c r="B70" i="21"/>
  <c r="H12" i="21" s="1"/>
  <c r="AB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c r="J45" i="39"/>
  <c r="W45" i="39" s="1"/>
  <c r="J44" i="39"/>
  <c r="AC44" i="39"/>
  <c r="F36" i="39"/>
  <c r="S36" i="39" s="1"/>
  <c r="H36" i="39"/>
  <c r="AB36" i="39"/>
  <c r="J35" i="39"/>
  <c r="AC35" i="39" s="1"/>
  <c r="F35" i="39"/>
  <c r="AA35" i="39"/>
  <c r="J36" i="39"/>
  <c r="AC36" i="39" s="1"/>
  <c r="U9" i="39"/>
  <c r="W40" i="39"/>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c r="AC27" i="35"/>
  <c r="W28" i="35"/>
  <c r="U31" i="35"/>
  <c r="S34" i="35"/>
  <c r="W34" i="35"/>
  <c r="W36" i="35"/>
  <c r="S31" i="35"/>
  <c r="U34" i="35"/>
  <c r="F36" i="34"/>
  <c r="AA36" i="34" s="1"/>
  <c r="J35" i="34"/>
  <c r="W35" i="34" s="1"/>
  <c r="H39" i="33"/>
  <c r="AB39" i="33"/>
  <c r="F26" i="33"/>
  <c r="AA26" i="33" s="1"/>
  <c r="U33" i="33"/>
  <c r="S40" i="33"/>
  <c r="W33" i="33"/>
  <c r="H39" i="37"/>
  <c r="AB39" i="37"/>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c r="H16" i="35"/>
  <c r="U16" i="35"/>
  <c r="F16" i="35"/>
  <c r="S16" i="35"/>
  <c r="H14" i="35"/>
  <c r="AB14" i="35" s="1"/>
  <c r="J29" i="35"/>
  <c r="H33" i="35"/>
  <c r="AB33" i="35" s="1"/>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c r="H23" i="34"/>
  <c r="U23" i="34" s="1"/>
  <c r="J23" i="34"/>
  <c r="AC23" i="34" s="1"/>
  <c r="F19" i="34"/>
  <c r="AA19" i="34" s="1"/>
  <c r="H17" i="34"/>
  <c r="U17" i="34" s="1"/>
  <c r="J28" i="34"/>
  <c r="W2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c r="H15" i="40"/>
  <c r="AB15" i="40" s="1"/>
  <c r="AC11" i="40"/>
  <c r="S12" i="36"/>
  <c r="AA12" i="36"/>
  <c r="AB30" i="36"/>
  <c r="F29" i="35"/>
  <c r="S29" i="35" s="1"/>
  <c r="H29" i="35"/>
  <c r="AB29" i="35" s="1"/>
  <c r="H33" i="37"/>
  <c r="AB33" i="37" s="1"/>
  <c r="F33" i="37"/>
  <c r="AA33" i="37" s="1"/>
  <c r="U34" i="37"/>
  <c r="S34" i="37"/>
  <c r="AA34" i="37"/>
  <c r="J43" i="34"/>
  <c r="AC43" i="34" s="1"/>
  <c r="AB42" i="34"/>
  <c r="J40" i="34"/>
  <c r="W40" i="34" s="1"/>
  <c r="H38" i="34"/>
  <c r="AB38" i="34" s="1"/>
  <c r="J36" i="34"/>
  <c r="W36"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S42" i="34"/>
  <c r="J11" i="33"/>
  <c r="W11" i="33" s="1"/>
  <c r="S28" i="34"/>
  <c r="J42" i="21"/>
  <c r="AC42" i="21"/>
  <c r="H42" i="21"/>
  <c r="U42" i="21"/>
  <c r="J44" i="34"/>
  <c r="AC44" i="34" s="1"/>
  <c r="F44" i="34"/>
  <c r="S44" i="34" s="1"/>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F31" i="33"/>
  <c r="H45" i="33"/>
  <c r="U45" i="33"/>
  <c r="J45" i="33"/>
  <c r="W45" i="33" s="1"/>
  <c r="F45" i="33"/>
  <c r="AA45" i="33"/>
  <c r="J14" i="34"/>
  <c r="W14" i="34" s="1"/>
  <c r="F14" i="34"/>
  <c r="S14" i="34"/>
  <c r="H14" i="34"/>
  <c r="H30" i="34"/>
  <c r="U30" i="34" s="1"/>
  <c r="H32" i="34"/>
  <c r="F32" i="34"/>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c r="H13" i="34"/>
  <c r="U13" i="34" s="1"/>
  <c r="J13" i="34"/>
  <c r="W13" i="34"/>
  <c r="F13" i="34"/>
  <c r="AA13" i="34" s="1"/>
  <c r="J29" i="34"/>
  <c r="W29" i="34" s="1"/>
  <c r="F29" i="34"/>
  <c r="S29" i="34" s="1"/>
  <c r="H29" i="34"/>
  <c r="AB29" i="34" s="1"/>
  <c r="J31" i="34"/>
  <c r="AC31" i="34"/>
  <c r="H31" i="34"/>
  <c r="F31" i="34"/>
  <c r="S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AB14" i="40"/>
  <c r="J14" i="40"/>
  <c r="W14" i="40" s="1"/>
  <c r="F14" i="40"/>
  <c r="AA14" i="40"/>
  <c r="J14" i="37"/>
  <c r="J27" i="37"/>
  <c r="AC27" i="37"/>
  <c r="AA44" i="33"/>
  <c r="U46" i="33"/>
  <c r="AA14" i="33"/>
  <c r="J36" i="37"/>
  <c r="AC36" i="37"/>
  <c r="G105" i="37"/>
  <c r="J10" i="36"/>
  <c r="AC10" i="36" s="1"/>
  <c r="AB26" i="33"/>
  <c r="AB30" i="21"/>
  <c r="AA14" i="37"/>
  <c r="W31" i="34"/>
  <c r="S11" i="36"/>
  <c r="AA14" i="34"/>
  <c r="S45" i="33"/>
  <c r="AB45" i="33"/>
  <c r="W29" i="33"/>
  <c r="AC28" i="21"/>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AZ526" i="3" s="1"/>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BA582" i="3"/>
  <c r="BA580" i="3"/>
  <c r="AZ580" i="3"/>
  <c r="BA578" i="3"/>
  <c r="AZ578" i="3" s="1"/>
  <c r="BA576" i="3"/>
  <c r="AZ576" i="3"/>
  <c r="BA574" i="3"/>
  <c r="AZ574" i="3" s="1"/>
  <c r="BA572" i="3"/>
  <c r="AZ572" i="3"/>
  <c r="BA570" i="3"/>
  <c r="AZ570" i="3" s="1"/>
  <c r="BA568" i="3"/>
  <c r="AZ568" i="3"/>
  <c r="BA566" i="3"/>
  <c r="BA564" i="3"/>
  <c r="AZ564" i="3"/>
  <c r="BA562" i="3"/>
  <c r="AZ562" i="3" s="1"/>
  <c r="BA560" i="3"/>
  <c r="BA558" i="3"/>
  <c r="AZ558" i="3"/>
  <c r="BA556" i="3"/>
  <c r="AZ556" i="3"/>
  <c r="BA554" i="3"/>
  <c r="AZ554" i="3"/>
  <c r="BA552" i="3"/>
  <c r="AZ552" i="3"/>
  <c r="BA548" i="3"/>
  <c r="BA546" i="3"/>
  <c r="BA544" i="3"/>
  <c r="BA542" i="3"/>
  <c r="BA540" i="3"/>
  <c r="BA538" i="3"/>
  <c r="AZ538" i="3" s="1"/>
  <c r="BA536" i="3"/>
  <c r="AZ536" i="3"/>
  <c r="BA534" i="3"/>
  <c r="AZ534" i="3" s="1"/>
  <c r="BA532" i="3"/>
  <c r="BA530" i="3"/>
  <c r="BA528" i="3"/>
  <c r="AZ528" i="3" s="1"/>
  <c r="BA526" i="3"/>
  <c r="BA524" i="3"/>
  <c r="AZ524" i="3" s="1"/>
  <c r="BA522" i="3"/>
  <c r="BA520" i="3"/>
  <c r="AZ520" i="3" s="1"/>
  <c r="BA518" i="3"/>
  <c r="AZ518" i="3" s="1"/>
  <c r="BA516" i="3"/>
  <c r="AZ516" i="3"/>
  <c r="BA514" i="3"/>
  <c r="BA512" i="3"/>
  <c r="AZ512" i="3"/>
  <c r="BA510" i="3"/>
  <c r="AZ510" i="3" s="1"/>
  <c r="BA508" i="3"/>
  <c r="BA506" i="3"/>
  <c r="BA504" i="3"/>
  <c r="AZ504" i="3" s="1"/>
  <c r="BA502" i="3"/>
  <c r="BA500" i="3"/>
  <c r="BA498" i="3"/>
  <c r="AZ498" i="3" s="1"/>
  <c r="BA496" i="3"/>
  <c r="BA494" i="3"/>
  <c r="BA587" i="3"/>
  <c r="AZ587" i="3" s="1"/>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AZ519" i="3" s="1"/>
  <c r="BA517" i="3"/>
  <c r="BA515" i="3"/>
  <c r="BA513" i="3"/>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c r="BQ579" i="3"/>
  <c r="BL579" i="3"/>
  <c r="AZ579" i="3"/>
  <c r="BQ577" i="3"/>
  <c r="BL577" i="3" s="1"/>
  <c r="AZ577" i="3" s="1"/>
  <c r="BQ575" i="3"/>
  <c r="BL575" i="3" s="1"/>
  <c r="BQ573" i="3"/>
  <c r="BL573" i="3"/>
  <c r="AZ573" i="3"/>
  <c r="BQ571" i="3"/>
  <c r="BL571" i="3"/>
  <c r="AZ571" i="3"/>
  <c r="BQ569" i="3"/>
  <c r="BL569" i="3" s="1"/>
  <c r="AZ569" i="3" s="1"/>
  <c r="BQ567" i="3"/>
  <c r="BL567" i="3" s="1"/>
  <c r="BQ565" i="3"/>
  <c r="BL565" i="3"/>
  <c r="AZ565" i="3" s="1"/>
  <c r="BQ563" i="3"/>
  <c r="BL563" i="3"/>
  <c r="BQ561" i="3"/>
  <c r="BL561" i="3" s="1"/>
  <c r="AZ561" i="3" s="1"/>
  <c r="BQ559" i="3"/>
  <c r="BL559" i="3"/>
  <c r="AZ559" i="3"/>
  <c r="G559" i="3"/>
  <c r="G555" i="3"/>
  <c r="G553" i="3"/>
  <c r="G549" i="3"/>
  <c r="G547" i="3"/>
  <c r="G545" i="3"/>
  <c r="G543" i="3"/>
  <c r="G541" i="3"/>
  <c r="G539" i="3"/>
  <c r="G537" i="3"/>
  <c r="BQ555" i="3"/>
  <c r="BL555" i="3"/>
  <c r="BQ553" i="3"/>
  <c r="BL553" i="3"/>
  <c r="AZ553" i="3"/>
  <c r="BQ551" i="3"/>
  <c r="BL551" i="3"/>
  <c r="BQ549" i="3"/>
  <c r="BQ547" i="3"/>
  <c r="BL547" i="3" s="1"/>
  <c r="AZ547" i="3" s="1"/>
  <c r="BQ545" i="3"/>
  <c r="BL545" i="3" s="1"/>
  <c r="BQ543" i="3"/>
  <c r="BL543" i="3"/>
  <c r="AZ543" i="3"/>
  <c r="BQ541" i="3"/>
  <c r="BL541" i="3"/>
  <c r="AZ541" i="3"/>
  <c r="BQ539" i="3"/>
  <c r="BL539" i="3" s="1"/>
  <c r="AZ539" i="3" s="1"/>
  <c r="BQ537" i="3"/>
  <c r="BL537" i="3" s="1"/>
  <c r="BQ535" i="3"/>
  <c r="BL535" i="3"/>
  <c r="AZ535" i="3" s="1"/>
  <c r="BQ533" i="3"/>
  <c r="BL533" i="3"/>
  <c r="AZ533" i="3"/>
  <c r="BQ531" i="3"/>
  <c r="BL531" i="3" s="1"/>
  <c r="AZ531" i="3" s="1"/>
  <c r="BQ529" i="3"/>
  <c r="BL529" i="3"/>
  <c r="BQ527" i="3"/>
  <c r="BL527" i="3"/>
  <c r="AZ527" i="3" s="1"/>
  <c r="BQ525" i="3"/>
  <c r="BL525" i="3"/>
  <c r="AZ525" i="3"/>
  <c r="BQ523" i="3"/>
  <c r="BL523" i="3" s="1"/>
  <c r="AZ523" i="3" s="1"/>
  <c r="BA521" i="3"/>
  <c r="AC521" i="3"/>
  <c r="G521" i="3"/>
  <c r="BQ521" i="3"/>
  <c r="BL521" i="3"/>
  <c r="AZ521" i="3" s="1"/>
  <c r="BL520" i="3"/>
  <c r="G519" i="3"/>
  <c r="G517" i="3"/>
  <c r="G515" i="3"/>
  <c r="G513" i="3"/>
  <c r="G511" i="3"/>
  <c r="BQ519" i="3"/>
  <c r="BL519" i="3" s="1"/>
  <c r="BQ517" i="3"/>
  <c r="BL517" i="3" s="1"/>
  <c r="BQ515" i="3"/>
  <c r="BL515" i="3"/>
  <c r="AZ515" i="3"/>
  <c r="BQ513" i="3"/>
  <c r="BL513" i="3"/>
  <c r="AZ513" i="3"/>
  <c r="BQ511" i="3"/>
  <c r="BL511" i="3" s="1"/>
  <c r="BA509" i="3"/>
  <c r="AC509" i="3"/>
  <c r="BQ509" i="3"/>
  <c r="BL509" i="3"/>
  <c r="BL508" i="3"/>
  <c r="AZ508" i="3" s="1"/>
  <c r="G507" i="3"/>
  <c r="G505" i="3"/>
  <c r="G503" i="3"/>
  <c r="G501" i="3"/>
  <c r="G499" i="3"/>
  <c r="G497" i="3"/>
  <c r="G495" i="3"/>
  <c r="BQ507" i="3"/>
  <c r="BL507" i="3" s="1"/>
  <c r="BQ505" i="3"/>
  <c r="BL505" i="3"/>
  <c r="AZ505" i="3" s="1"/>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s="1"/>
  <c r="J43" i="33"/>
  <c r="AC43" i="33" s="1"/>
  <c r="S28" i="31"/>
  <c r="S27" i="31"/>
  <c r="S26" i="31"/>
  <c r="U35" i="35"/>
  <c r="W23" i="35"/>
  <c r="AB28" i="37"/>
  <c r="U33" i="37"/>
  <c r="U39" i="37"/>
  <c r="W26" i="37"/>
  <c r="U26" i="37"/>
  <c r="AB13" i="34"/>
  <c r="AA13" i="33"/>
  <c r="AC31" i="33"/>
  <c r="AC45"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AZ306" i="3" s="1"/>
  <c r="BA308" i="3"/>
  <c r="AZ308" i="3"/>
  <c r="BA309" i="3"/>
  <c r="AZ309" i="3" s="1"/>
  <c r="BL309" i="3"/>
  <c r="G310" i="3"/>
  <c r="BA311" i="3"/>
  <c r="G319" i="3"/>
  <c r="BL320" i="3"/>
  <c r="G321" i="3"/>
  <c r="BL322" i="3"/>
  <c r="BA324" i="3"/>
  <c r="AZ324" i="3"/>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AZ160" i="3" s="1"/>
  <c r="G161" i="3"/>
  <c r="BA163" i="3"/>
  <c r="BL164" i="3"/>
  <c r="AZ164" i="3" s="1"/>
  <c r="G165" i="3"/>
  <c r="BA167" i="3"/>
  <c r="AZ167" i="3"/>
  <c r="BL168" i="3"/>
  <c r="G169" i="3"/>
  <c r="BA171" i="3"/>
  <c r="BL172" i="3"/>
  <c r="AZ172" i="3"/>
  <c r="G173" i="3"/>
  <c r="BA175" i="3"/>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AZ195" i="3"/>
  <c r="BL196" i="3"/>
  <c r="AZ196" i="3" s="1"/>
  <c r="G197" i="3"/>
  <c r="BA199" i="3"/>
  <c r="AZ199" i="3"/>
  <c r="BL200" i="3"/>
  <c r="G201" i="3"/>
  <c r="BA203" i="3"/>
  <c r="AZ203" i="3"/>
  <c r="BL204" i="3"/>
  <c r="AZ204" i="3"/>
  <c r="AZ39" i="3"/>
  <c r="AZ43" i="3"/>
  <c r="AZ51" i="3"/>
  <c r="AZ59" i="3"/>
  <c r="AZ67" i="3"/>
  <c r="AZ75" i="3"/>
  <c r="AZ136" i="3"/>
  <c r="AZ144" i="3"/>
  <c r="AZ168" i="3"/>
  <c r="AZ200" i="3"/>
  <c r="AZ89" i="3"/>
  <c r="AZ97" i="3"/>
  <c r="AZ105"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AZ363" i="3"/>
  <c r="BA364" i="3"/>
  <c r="AZ364" i="3" s="1"/>
  <c r="BL364" i="3"/>
  <c r="G365" i="3"/>
  <c r="G368" i="3"/>
  <c r="BL369" i="3"/>
  <c r="BA371" i="3"/>
  <c r="AZ371" i="3"/>
  <c r="BA372" i="3"/>
  <c r="AZ372" i="3"/>
  <c r="BL372" i="3"/>
  <c r="G373" i="3"/>
  <c r="G376" i="3"/>
  <c r="BL377" i="3"/>
  <c r="BL379" i="3"/>
  <c r="BA381" i="3"/>
  <c r="AZ381" i="3"/>
  <c r="BA382" i="3"/>
  <c r="AZ382" i="3" s="1"/>
  <c r="BL382" i="3"/>
  <c r="G383" i="3"/>
  <c r="G386" i="3"/>
  <c r="BL387" i="3"/>
  <c r="BA389" i="3"/>
  <c r="BA390" i="3"/>
  <c r="AZ390" i="3" s="1"/>
  <c r="BL390" i="3"/>
  <c r="G391" i="3"/>
  <c r="G394" i="3"/>
  <c r="AZ138" i="3"/>
  <c r="AZ142" i="3"/>
  <c r="AZ146" i="3"/>
  <c r="AZ150" i="3"/>
  <c r="AZ154" i="3"/>
  <c r="AZ158" i="3"/>
  <c r="AZ162" i="3"/>
  <c r="AZ174" i="3"/>
  <c r="AZ178" i="3"/>
  <c r="AZ182" i="3"/>
  <c r="AZ186" i="3"/>
  <c r="AZ190" i="3"/>
  <c r="AZ194" i="3"/>
  <c r="AZ198" i="3"/>
  <c r="AZ202" i="3"/>
  <c r="AZ206" i="3"/>
  <c r="AZ500" i="3"/>
  <c r="BA16" i="3"/>
  <c r="AZ16" i="3"/>
  <c r="BL303" i="3"/>
  <c r="AZ303" i="3" s="1"/>
  <c r="G304" i="3"/>
  <c r="BA306" i="3"/>
  <c r="BL307" i="3"/>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c r="BL331" i="3"/>
  <c r="AZ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25" i="3"/>
  <c r="AZ333" i="3"/>
  <c r="BQ5" i="3"/>
  <c r="F28" i="6" s="1"/>
  <c r="AC5" i="3"/>
  <c r="AZ549" i="3"/>
  <c r="AZ506" i="3"/>
  <c r="AZ496" i="3"/>
  <c r="G548" i="3"/>
  <c r="G538" i="3"/>
  <c r="G520" i="3"/>
  <c r="G502" i="3"/>
  <c r="BS5" i="3"/>
  <c r="BP5" i="3"/>
  <c r="BN5" i="3"/>
  <c r="G29" i="6" s="1"/>
  <c r="AZ343" i="3"/>
  <c r="BK5" i="3"/>
  <c r="BI5" i="3"/>
  <c r="BG5" i="3"/>
  <c r="BE5" i="3"/>
  <c r="G17" i="3"/>
  <c r="BA17" i="3"/>
  <c r="BT5" i="3"/>
  <c r="AZ350" i="3"/>
  <c r="AZ352" i="3"/>
  <c r="AZ368" i="3"/>
  <c r="BA15" i="3"/>
  <c r="AZ15" i="3"/>
  <c r="BR5" i="3"/>
  <c r="AZ384" i="3"/>
  <c r="AZ388" i="3"/>
  <c r="AZ392" i="3"/>
  <c r="AZ396" i="3"/>
  <c r="AZ394" i="3"/>
  <c r="AZ499" i="3"/>
  <c r="AZ509" i="3"/>
  <c r="G509" i="3"/>
  <c r="BL493" i="3"/>
  <c r="AZ376" i="3"/>
  <c r="AZ493" i="3"/>
  <c r="U36" i="40"/>
  <c r="F83" i="43"/>
  <c r="H85" i="43" s="1"/>
  <c r="F50" i="43"/>
  <c r="H54" i="43" s="1"/>
  <c r="F72" i="43"/>
  <c r="H75" i="43" s="1"/>
  <c r="U17" i="39"/>
  <c r="U43" i="21"/>
  <c r="U35" i="21"/>
  <c r="AC35" i="21"/>
  <c r="G8" i="1"/>
  <c r="G10" i="1"/>
  <c r="AC11" i="39"/>
  <c r="AZ563" i="3"/>
  <c r="AZ501" i="3"/>
  <c r="W37" i="37"/>
  <c r="S15" i="37"/>
  <c r="U13" i="37"/>
  <c r="U12" i="40"/>
  <c r="AA12" i="40"/>
  <c r="J37" i="33"/>
  <c r="W37" i="33"/>
  <c r="F106" i="33"/>
  <c r="G106" i="33" s="1"/>
  <c r="H106" i="33" s="1"/>
  <c r="I106" i="33" s="1"/>
  <c r="J106" i="33" s="1"/>
  <c r="K106" i="33" s="1"/>
  <c r="L106" i="33" s="1"/>
  <c r="M106" i="33" s="1"/>
  <c r="J34" i="33"/>
  <c r="W34" i="33" s="1"/>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c r="H20" i="35"/>
  <c r="U20" i="35"/>
  <c r="F20" i="35"/>
  <c r="AA20" i="35"/>
  <c r="AB23" i="35"/>
  <c r="AB29" i="36"/>
  <c r="U29" i="36"/>
  <c r="H32" i="37"/>
  <c r="AB32" i="37" s="1"/>
  <c r="F96" i="37"/>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c r="H34" i="33"/>
  <c r="U34" i="33" s="1"/>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F32" i="37"/>
  <c r="AA32" i="37"/>
  <c r="G96" i="37"/>
  <c r="H96" i="37" s="1"/>
  <c r="I96" i="37" s="1"/>
  <c r="J96" i="37" s="1"/>
  <c r="K96" i="37" s="1"/>
  <c r="L96" i="37" s="1"/>
  <c r="M96" i="37" s="1"/>
  <c r="F20" i="36"/>
  <c r="AA20" i="36"/>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90" i="3"/>
  <c r="BL14" i="3"/>
  <c r="AZ266" i="3"/>
  <c r="U30" i="33"/>
  <c r="AC13" i="34"/>
  <c r="W28" i="37"/>
  <c r="S19" i="39"/>
  <c r="F12" i="33"/>
  <c r="AA12" i="33" s="1"/>
  <c r="H12" i="39"/>
  <c r="AB12" i="39"/>
  <c r="F39" i="40"/>
  <c r="BA14" i="3"/>
  <c r="AZ14" i="3" s="1"/>
  <c r="AZ367" i="3"/>
  <c r="AZ213" i="3"/>
  <c r="AZ224" i="3"/>
  <c r="AZ234" i="3"/>
  <c r="AZ238" i="3"/>
  <c r="AZ250" i="3"/>
  <c r="AZ254" i="3"/>
  <c r="AZ281" i="3"/>
  <c r="AZ286" i="3"/>
  <c r="AZ297" i="3"/>
  <c r="AZ149" i="3"/>
  <c r="AZ157" i="3"/>
  <c r="AZ173" i="3"/>
  <c r="AZ181" i="3"/>
  <c r="AZ189" i="3"/>
  <c r="AZ197" i="3"/>
  <c r="AZ19" i="3"/>
  <c r="AZ26" i="3"/>
  <c r="AZ35" i="3"/>
  <c r="AZ41" i="3"/>
  <c r="B12" i="1"/>
  <c r="E12" i="1" s="1"/>
  <c r="B10" i="1"/>
  <c r="E10" i="1" s="1"/>
  <c r="AZ84" i="3"/>
  <c r="AZ88" i="3"/>
  <c r="AZ107" i="3"/>
  <c r="K12" i="1"/>
  <c r="M12" i="1" s="1"/>
  <c r="S13" i="1"/>
  <c r="AR13" i="1" s="1"/>
  <c r="R13" i="1"/>
  <c r="J51" i="67"/>
  <c r="C42" i="1"/>
  <c r="AC34" i="33"/>
  <c r="AA34" i="33"/>
  <c r="B41" i="1"/>
  <c r="F48" i="9" s="1"/>
  <c r="O52" i="9" s="1"/>
  <c r="AB37" i="40"/>
  <c r="S35" i="40"/>
  <c r="U35" i="40"/>
  <c r="AC36" i="40"/>
  <c r="AA32" i="40"/>
  <c r="S17" i="40"/>
  <c r="S23" i="40"/>
  <c r="AC17" i="40"/>
  <c r="AC15" i="40"/>
  <c r="AB27" i="40"/>
  <c r="AA19" i="40"/>
  <c r="S28" i="40"/>
  <c r="AA27"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U36" i="35"/>
  <c r="U32" i="35"/>
  <c r="AA33" i="35"/>
  <c r="AC30" i="35"/>
  <c r="S32" i="35"/>
  <c r="AA36" i="35"/>
  <c r="S28" i="35"/>
  <c r="AB16" i="35"/>
  <c r="U22" i="35"/>
  <c r="S20" i="35"/>
  <c r="AC20" i="35"/>
  <c r="S22"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c r="G73" i="37"/>
  <c r="F17" i="37"/>
  <c r="AB17" i="37"/>
  <c r="F75" i="37"/>
  <c r="F19" i="37"/>
  <c r="AA19" i="37" s="1"/>
  <c r="F79" i="37"/>
  <c r="F23" i="37"/>
  <c r="S23" i="37"/>
  <c r="U23" i="37"/>
  <c r="U15" i="37"/>
  <c r="AC13" i="37"/>
  <c r="AA13" i="37"/>
  <c r="H10" i="37"/>
  <c r="AB10" i="37" s="1"/>
  <c r="F63" i="37"/>
  <c r="F11" i="37"/>
  <c r="S11" i="37" s="1"/>
  <c r="S27" i="34"/>
  <c r="AB8" i="34"/>
  <c r="W41" i="34"/>
  <c r="AC42" i="34"/>
  <c r="U28" i="34"/>
  <c r="U27" i="34"/>
  <c r="S13"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32" i="33" s="1"/>
  <c r="S46" i="33"/>
  <c r="W43" i="33"/>
  <c r="S43" i="33"/>
  <c r="F91" i="33"/>
  <c r="H27" i="33"/>
  <c r="F87" i="33"/>
  <c r="H25" i="33"/>
  <c r="F25" i="33"/>
  <c r="J23" i="33"/>
  <c r="W23" i="33" s="1"/>
  <c r="F85" i="33"/>
  <c r="H23" i="33"/>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C14" i="34"/>
  <c r="AC32" i="34"/>
  <c r="W46" i="34"/>
  <c r="AC46" i="34"/>
  <c r="S32" i="34"/>
  <c r="AA32" i="34"/>
  <c r="S8"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AB15" i="21" s="1"/>
  <c r="J17" i="21"/>
  <c r="AC17" i="21"/>
  <c r="AC19" i="21"/>
  <c r="W39" i="21"/>
  <c r="AC14" i="21"/>
  <c r="W30" i="21"/>
  <c r="S46" i="21"/>
  <c r="H45" i="21"/>
  <c r="U45" i="21" s="1"/>
  <c r="F29" i="21"/>
  <c r="S29" i="21"/>
  <c r="F13" i="2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D68" i="9"/>
  <c r="F54" i="9"/>
  <c r="J32" i="39"/>
  <c r="H32" i="39"/>
  <c r="AB32" i="39" s="1"/>
  <c r="AA32" i="39"/>
  <c r="S32" i="39"/>
  <c r="AB21" i="39"/>
  <c r="AA21" i="39"/>
  <c r="S21" i="39"/>
  <c r="AC17" i="37"/>
  <c r="J19" i="37"/>
  <c r="G75" i="37"/>
  <c r="S19" i="37"/>
  <c r="AA23" i="37"/>
  <c r="J23" i="37"/>
  <c r="G79" i="37"/>
  <c r="J10" i="37"/>
  <c r="W10" i="37" s="1"/>
  <c r="G63" i="37"/>
  <c r="H11" i="37"/>
  <c r="AB11" i="37" s="1"/>
  <c r="G70" i="34"/>
  <c r="H11" i="34"/>
  <c r="U11" i="34" s="1"/>
  <c r="AB41" i="33"/>
  <c r="U41" i="33"/>
  <c r="AC35" i="33"/>
  <c r="H111" i="33"/>
  <c r="I111" i="33" s="1"/>
  <c r="J111" i="33" s="1"/>
  <c r="K111" i="33" s="1"/>
  <c r="L111" i="33" s="1"/>
  <c r="M111" i="33" s="1"/>
  <c r="J36" i="33"/>
  <c r="W36" i="33" s="1"/>
  <c r="H36" i="33"/>
  <c r="U36" i="33" s="1"/>
  <c r="S36" i="33"/>
  <c r="AC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AA19" i="33"/>
  <c r="H19" i="33"/>
  <c r="AB19" i="33" s="1"/>
  <c r="G81" i="33"/>
  <c r="H17" i="33"/>
  <c r="U17" i="33" s="1"/>
  <c r="F17" i="33"/>
  <c r="AA17" i="33" s="1"/>
  <c r="W17" i="33"/>
  <c r="S37" i="21"/>
  <c r="AA23" i="21"/>
  <c r="J23" i="21"/>
  <c r="F85" i="21"/>
  <c r="G85" i="21"/>
  <c r="H23" i="21"/>
  <c r="U23" i="21" s="1"/>
  <c r="D6" i="52"/>
  <c r="AP7" i="1"/>
  <c r="AB45" i="21"/>
  <c r="AB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Y20" i="71"/>
  <c r="Z20" i="71" s="1"/>
  <c r="X3" i="71"/>
  <c r="C21" i="71"/>
  <c r="D21" i="71" s="1"/>
  <c r="E21" i="71"/>
  <c r="E20" i="71"/>
  <c r="E19" i="71" s="1"/>
  <c r="E18" i="71" s="1"/>
  <c r="E17" i="71" s="1"/>
  <c r="E16" i="71" s="1"/>
  <c r="V20" i="71"/>
  <c r="C20" i="71"/>
  <c r="C19" i="71" s="1"/>
  <c r="C18" i="71" s="1"/>
  <c r="C17" i="71" s="1"/>
  <c r="D19" i="71"/>
  <c r="E11" i="76"/>
  <c r="F5" i="73"/>
  <c r="E13" i="76"/>
  <c r="D4" i="73"/>
  <c r="D34" i="9"/>
  <c r="B8" i="76"/>
  <c r="D5" i="73"/>
  <c r="B9" i="76"/>
  <c r="E8" i="76"/>
  <c r="F6" i="73"/>
  <c r="E12" i="76"/>
  <c r="D35" i="9"/>
  <c r="F20" i="31"/>
  <c r="AO13" i="1"/>
  <c r="D3" i="73"/>
  <c r="B7" i="76"/>
  <c r="E10" i="76"/>
  <c r="F3" i="73"/>
  <c r="B13" i="76"/>
  <c r="D6" i="73"/>
  <c r="F7" i="73"/>
  <c r="B11" i="76"/>
  <c r="E7" i="76"/>
  <c r="B10" i="76"/>
  <c r="F4" i="73"/>
  <c r="E9" i="76"/>
  <c r="E2" i="68"/>
  <c r="E2" i="69"/>
  <c r="B12" i="76"/>
  <c r="G1" i="67" l="1"/>
  <c r="G1" i="69"/>
  <c r="G1" i="15"/>
  <c r="K1" i="12"/>
  <c r="BA13" i="3"/>
  <c r="G13" i="3"/>
  <c r="H15" i="34"/>
  <c r="AB15" i="34" s="1"/>
  <c r="J15" i="34"/>
  <c r="W15" i="34" s="1"/>
  <c r="F15" i="34"/>
  <c r="S15" i="34" s="1"/>
  <c r="AB27" i="35"/>
  <c r="S27" i="35"/>
  <c r="U14" i="35"/>
  <c r="AC14" i="35"/>
  <c r="S14" i="35"/>
  <c r="W9" i="34"/>
  <c r="AB9" i="34"/>
  <c r="U15" i="34"/>
  <c r="AA45" i="34"/>
  <c r="AB45" i="34"/>
  <c r="W8" i="34"/>
  <c r="H112" i="34"/>
  <c r="I112" i="34" s="1"/>
  <c r="J112" i="34" s="1"/>
  <c r="K112" i="34" s="1"/>
  <c r="L112" i="34" s="1"/>
  <c r="M112" i="34" s="1"/>
  <c r="J37" i="34"/>
  <c r="AC37" i="34" s="1"/>
  <c r="H37" i="34"/>
  <c r="U37" i="34" s="1"/>
  <c r="F37" i="34"/>
  <c r="F102" i="34"/>
  <c r="G102" i="34" s="1"/>
  <c r="H102" i="34" s="1"/>
  <c r="I102" i="34" s="1"/>
  <c r="J102" i="34" s="1"/>
  <c r="K102" i="34" s="1"/>
  <c r="L102" i="34" s="1"/>
  <c r="M102" i="34" s="1"/>
  <c r="J33" i="34"/>
  <c r="AC33" i="34" s="1"/>
  <c r="F33" i="34"/>
  <c r="S33" i="34" s="1"/>
  <c r="H33" i="34"/>
  <c r="U33" i="34" s="1"/>
  <c r="G88" i="34"/>
  <c r="H88" i="34" s="1"/>
  <c r="I88" i="34" s="1"/>
  <c r="J88" i="34" s="1"/>
  <c r="K88" i="34" s="1"/>
  <c r="L88" i="34" s="1"/>
  <c r="M88" i="34" s="1"/>
  <c r="F25" i="34"/>
  <c r="S25" i="34" s="1"/>
  <c r="H25" i="34"/>
  <c r="U25" i="34" s="1"/>
  <c r="J25" i="34"/>
  <c r="AC25" i="34" s="1"/>
  <c r="AA15" i="34"/>
  <c r="AB35" i="34"/>
  <c r="AB47" i="34"/>
  <c r="AA29" i="34"/>
  <c r="W44" i="34"/>
  <c r="AC45" i="34"/>
  <c r="AC35" i="34"/>
  <c r="AC15" i="34"/>
  <c r="W47" i="34"/>
  <c r="AB46" i="34"/>
  <c r="AB41" i="34"/>
  <c r="U44" i="34"/>
  <c r="AA44" i="34"/>
  <c r="AC29" i="34"/>
  <c r="AA47" i="34"/>
  <c r="W43" i="34"/>
  <c r="S43" i="34"/>
  <c r="U43" i="34"/>
  <c r="AC40" i="34"/>
  <c r="AB40" i="34"/>
  <c r="AA40" i="34"/>
  <c r="U39" i="34"/>
  <c r="AC39" i="34"/>
  <c r="AA39" i="34"/>
  <c r="AA38" i="34"/>
  <c r="U38" i="34"/>
  <c r="AC38" i="34"/>
  <c r="S36" i="34"/>
  <c r="AC36" i="34"/>
  <c r="AB36" i="34"/>
  <c r="S35" i="34"/>
  <c r="U29" i="34"/>
  <c r="S30" i="34"/>
  <c r="AA30" i="34"/>
  <c r="J30" i="34"/>
  <c r="W30" i="34" s="1"/>
  <c r="AB30" i="34"/>
  <c r="AB23" i="34"/>
  <c r="W23" i="34"/>
  <c r="S23" i="34"/>
  <c r="AA21" i="34"/>
  <c r="S19" i="34"/>
  <c r="U19" i="34"/>
  <c r="W19" i="34"/>
  <c r="S17" i="34"/>
  <c r="AC17" i="34"/>
  <c r="AB17" i="34"/>
  <c r="F3" i="35"/>
  <c r="F29" i="6"/>
  <c r="AA13" i="21"/>
  <c r="S13" i="21"/>
  <c r="D18" i="71"/>
  <c r="E15" i="71"/>
  <c r="E14" i="71" s="1"/>
  <c r="E13" i="71" s="1"/>
  <c r="E12" i="71" s="1"/>
  <c r="V16" i="71"/>
  <c r="AB17" i="33"/>
  <c r="U19" i="33"/>
  <c r="D20" i="71"/>
  <c r="U20" i="71" s="1"/>
  <c r="C16" i="71"/>
  <c r="D17" i="71"/>
  <c r="AB23" i="21"/>
  <c r="U15" i="21"/>
  <c r="AA17" i="37"/>
  <c r="S17" i="37"/>
  <c r="S17" i="33"/>
  <c r="T20" i="71"/>
  <c r="S41" i="34"/>
  <c r="AA41" i="34"/>
  <c r="AB43" i="33"/>
  <c r="U43" i="33"/>
  <c r="AZ567" i="3"/>
  <c r="AZ575" i="3"/>
  <c r="S13" i="35"/>
  <c r="AA13" i="35"/>
  <c r="U31" i="34"/>
  <c r="AB31" i="34"/>
  <c r="U32" i="37"/>
  <c r="G28" i="6"/>
  <c r="S11" i="39"/>
  <c r="U25" i="39"/>
  <c r="U21" i="40"/>
  <c r="S30" i="40"/>
  <c r="AZ507" i="3"/>
  <c r="AZ517" i="3"/>
  <c r="AZ566" i="3"/>
  <c r="AZ582" i="3"/>
  <c r="AZ511" i="3"/>
  <c r="AZ537" i="3"/>
  <c r="AZ545" i="3"/>
  <c r="AZ555" i="3"/>
  <c r="AC14" i="37"/>
  <c r="W14" i="37"/>
  <c r="W13" i="36"/>
  <c r="AC13" i="36"/>
  <c r="U31" i="33"/>
  <c r="AB31" i="33"/>
  <c r="U23" i="40"/>
  <c r="AA29" i="35"/>
  <c r="U33" i="35"/>
  <c r="AA39" i="37"/>
  <c r="W39" i="33"/>
  <c r="U30" i="37"/>
  <c r="J12" i="21"/>
  <c r="F12" i="21"/>
  <c r="B73" i="43"/>
  <c r="B76" i="43"/>
  <c r="F12" i="35"/>
  <c r="H24" i="36"/>
  <c r="G574" i="3"/>
  <c r="BA551" i="3"/>
  <c r="AZ551" i="3" s="1"/>
  <c r="BA550" i="3"/>
  <c r="AZ407" i="3"/>
  <c r="AZ410" i="3"/>
  <c r="AZ413" i="3"/>
  <c r="AZ415" i="3"/>
  <c r="AZ460" i="3"/>
  <c r="AB35" i="33"/>
  <c r="AC22" i="35"/>
  <c r="J39" i="40"/>
  <c r="AZ453" i="3"/>
  <c r="AZ455" i="3"/>
  <c r="AZ458" i="3"/>
  <c r="AZ459" i="3"/>
  <c r="AZ467" i="3"/>
  <c r="H25" i="37"/>
  <c r="F25" i="37"/>
  <c r="BL550" i="3"/>
  <c r="AZ398" i="3"/>
  <c r="AZ399" i="3"/>
  <c r="AZ402" i="3"/>
  <c r="AZ405" i="3"/>
  <c r="AZ420" i="3"/>
  <c r="AZ431" i="3"/>
  <c r="AZ440" i="3"/>
  <c r="AZ445" i="3"/>
  <c r="AZ447" i="3"/>
  <c r="AZ449" i="3"/>
  <c r="AZ451" i="3"/>
  <c r="AZ452" i="3"/>
  <c r="AZ464" i="3"/>
  <c r="AZ466" i="3"/>
  <c r="J25" i="37"/>
  <c r="BL548" i="3"/>
  <c r="AZ548" i="3" s="1"/>
  <c r="AZ403" i="3"/>
  <c r="AZ404" i="3"/>
  <c r="AZ406" i="3"/>
  <c r="AZ418" i="3"/>
  <c r="AZ421" i="3"/>
  <c r="AZ422" i="3"/>
  <c r="AZ429" i="3"/>
  <c r="AZ432" i="3"/>
  <c r="AZ438" i="3"/>
  <c r="AZ443" i="3"/>
  <c r="AZ444" i="3"/>
  <c r="AZ463" i="3"/>
  <c r="AZ476" i="3"/>
  <c r="AZ487" i="3"/>
  <c r="BL470" i="3"/>
  <c r="AZ470" i="3" s="1"/>
  <c r="BA474" i="3"/>
  <c r="AZ474" i="3" s="1"/>
  <c r="BA479" i="3"/>
  <c r="AZ479" i="3" s="1"/>
  <c r="BL481" i="3"/>
  <c r="G483" i="3"/>
  <c r="BL485" i="3"/>
  <c r="AZ492" i="3"/>
  <c r="BA316" i="3"/>
  <c r="AZ316" i="3" s="1"/>
  <c r="BL473" i="3"/>
  <c r="AZ473" i="3" s="1"/>
  <c r="AZ485" i="3"/>
  <c r="A15" i="62"/>
  <c r="B61" i="72" s="1"/>
  <c r="G472" i="3"/>
  <c r="G475" i="3"/>
  <c r="BL478" i="3"/>
  <c r="BA481" i="3"/>
  <c r="AZ481" i="3" s="1"/>
  <c r="BA482" i="3"/>
  <c r="AZ482" i="3" s="1"/>
  <c r="BA486" i="3"/>
  <c r="AZ486" i="3" s="1"/>
  <c r="BL491" i="3"/>
  <c r="AZ491" i="3" s="1"/>
  <c r="BA307" i="3"/>
  <c r="AZ307" i="3" s="1"/>
  <c r="BL317" i="3"/>
  <c r="AZ216" i="3"/>
  <c r="AZ219" i="3"/>
  <c r="AZ221" i="3"/>
  <c r="AZ225" i="3"/>
  <c r="AZ246" i="3"/>
  <c r="AZ258" i="3"/>
  <c r="AZ260" i="3"/>
  <c r="AZ272" i="3"/>
  <c r="AZ292" i="3"/>
  <c r="AZ121" i="3"/>
  <c r="AZ134" i="3"/>
  <c r="AZ137" i="3"/>
  <c r="J38" i="40"/>
  <c r="AZ478" i="3"/>
  <c r="G313" i="3"/>
  <c r="BA317" i="3"/>
  <c r="AZ317" i="3" s="1"/>
  <c r="AZ211" i="3"/>
  <c r="AZ217" i="3"/>
  <c r="AZ220" i="3"/>
  <c r="AZ230" i="3"/>
  <c r="AZ236" i="3"/>
  <c r="AZ242" i="3"/>
  <c r="AZ267" i="3"/>
  <c r="AZ284" i="3"/>
  <c r="AZ302" i="3"/>
  <c r="AZ113" i="3"/>
  <c r="AZ145" i="3"/>
  <c r="BL163" i="3"/>
  <c r="AZ163" i="3" s="1"/>
  <c r="BA170" i="3"/>
  <c r="AZ170" i="3" s="1"/>
  <c r="BA176" i="3"/>
  <c r="AZ176" i="3" s="1"/>
  <c r="AZ205" i="3"/>
  <c r="AZ207" i="3"/>
  <c r="AZ36" i="3"/>
  <c r="G163" i="3"/>
  <c r="G166" i="3"/>
  <c r="BL166" i="3"/>
  <c r="AZ166" i="3" s="1"/>
  <c r="G180" i="3"/>
  <c r="AZ18" i="3"/>
  <c r="BA165" i="3"/>
  <c r="AZ165" i="3" s="1"/>
  <c r="BL169" i="3"/>
  <c r="AZ169" i="3" s="1"/>
  <c r="BL171" i="3"/>
  <c r="AZ171" i="3" s="1"/>
  <c r="G172" i="3"/>
  <c r="BL175" i="3"/>
  <c r="AZ175" i="3" s="1"/>
  <c r="AZ25" i="3"/>
  <c r="AZ38" i="3"/>
  <c r="AZ46" i="3"/>
  <c r="AZ49" i="3"/>
  <c r="AZ54" i="3"/>
  <c r="AZ57" i="3"/>
  <c r="AZ62" i="3"/>
  <c r="AZ65" i="3"/>
  <c r="BL34" i="3"/>
  <c r="BL5" i="3" s="1"/>
  <c r="BA40" i="3"/>
  <c r="AZ40" i="3" s="1"/>
  <c r="G43" i="3"/>
  <c r="BA48" i="3"/>
  <c r="AZ48" i="3" s="1"/>
  <c r="G51" i="3"/>
  <c r="BA56" i="3"/>
  <c r="AZ56" i="3" s="1"/>
  <c r="G59" i="3"/>
  <c r="BA64" i="3"/>
  <c r="AZ64" i="3" s="1"/>
  <c r="G67" i="3"/>
  <c r="BL71" i="3"/>
  <c r="AZ71" i="3" s="1"/>
  <c r="BL80" i="3"/>
  <c r="AZ80" i="3" s="1"/>
  <c r="BL81" i="3"/>
  <c r="BL83" i="3"/>
  <c r="AZ83" i="3" s="1"/>
  <c r="BL85" i="3"/>
  <c r="AZ85" i="3" s="1"/>
  <c r="BA91" i="3"/>
  <c r="AZ91" i="3" s="1"/>
  <c r="BA93" i="3"/>
  <c r="AZ95" i="3"/>
  <c r="G100" i="3"/>
  <c r="BL101" i="3"/>
  <c r="AZ101" i="3" s="1"/>
  <c r="BL104" i="3"/>
  <c r="G108" i="3"/>
  <c r="BL109" i="3"/>
  <c r="AZ109" i="3" s="1"/>
  <c r="AZ34" i="3"/>
  <c r="AZ81" i="3"/>
  <c r="AZ99" i="3"/>
  <c r="AZ104" i="3"/>
  <c r="BA37" i="3"/>
  <c r="AZ37" i="3" s="1"/>
  <c r="G41" i="3"/>
  <c r="BA47" i="3"/>
  <c r="AZ47" i="3" s="1"/>
  <c r="BA55" i="3"/>
  <c r="AZ55" i="3" s="1"/>
  <c r="BA63" i="3"/>
  <c r="AZ63" i="3" s="1"/>
  <c r="G72" i="3"/>
  <c r="BL73" i="3"/>
  <c r="AZ73" i="3" s="1"/>
  <c r="BA76" i="3"/>
  <c r="AZ76" i="3" s="1"/>
  <c r="AZ78" i="3"/>
  <c r="BA79" i="3"/>
  <c r="AZ79" i="3" s="1"/>
  <c r="G82" i="3"/>
  <c r="G84" i="3"/>
  <c r="G86" i="3"/>
  <c r="BL87" i="3"/>
  <c r="AZ87" i="3" s="1"/>
  <c r="BA90" i="3"/>
  <c r="AZ90" i="3" s="1"/>
  <c r="AZ92" i="3"/>
  <c r="BL93" i="3"/>
  <c r="BA96" i="3"/>
  <c r="AZ96" i="3" s="1"/>
  <c r="AZ98" i="3"/>
  <c r="BA100" i="3"/>
  <c r="AZ100" i="3" s="1"/>
  <c r="BA108" i="3"/>
  <c r="AZ108" i="3" s="1"/>
  <c r="BL111" i="3"/>
  <c r="AZ111" i="3" s="1"/>
  <c r="AB21" i="33"/>
  <c r="D60" i="71"/>
  <c r="T60" i="71"/>
  <c r="AC21" i="34"/>
  <c r="U18" i="35"/>
  <c r="U21" i="34"/>
  <c r="U25" i="40"/>
  <c r="D32" i="71"/>
  <c r="T32" i="71"/>
  <c r="S18" i="36"/>
  <c r="D52" i="71"/>
  <c r="T52" i="71"/>
  <c r="AA21" i="21"/>
  <c r="S21" i="21"/>
  <c r="C55" i="71"/>
  <c r="D54" i="71"/>
  <c r="C35" i="71"/>
  <c r="D34" i="71"/>
  <c r="AB24" i="71"/>
  <c r="Y23" i="71"/>
  <c r="Z23" i="71" s="1"/>
  <c r="X22" i="71"/>
  <c r="AA18" i="71"/>
  <c r="X17" i="71"/>
  <c r="Y12" i="71"/>
  <c r="Z12" i="71" s="1"/>
  <c r="S25" i="40"/>
  <c r="AB18" i="36"/>
  <c r="D64" i="71"/>
  <c r="C86" i="71"/>
  <c r="D86" i="71" s="1"/>
  <c r="AA25" i="71"/>
  <c r="E28" i="71"/>
  <c r="AB25" i="71"/>
  <c r="C75" i="71"/>
  <c r="D50" i="71"/>
  <c r="Y26" i="71"/>
  <c r="Z26" i="71" s="1"/>
  <c r="X38" i="71"/>
  <c r="X35" i="71"/>
  <c r="Y29" i="71"/>
  <c r="Z29" i="71" s="1"/>
  <c r="X30" i="71"/>
  <c r="AB31" i="71"/>
  <c r="Y32" i="71"/>
  <c r="Z32" i="71" s="1"/>
  <c r="AB30" i="71"/>
  <c r="E34" i="71"/>
  <c r="E35" i="71" s="1"/>
  <c r="E36" i="71" s="1"/>
  <c r="U36" i="71" s="1"/>
  <c r="AA33" i="71"/>
  <c r="X33" i="71"/>
  <c r="X34" i="71"/>
  <c r="X36" i="71"/>
  <c r="X32" i="71"/>
  <c r="X9" i="71"/>
  <c r="X10" i="71"/>
  <c r="AB10" i="71"/>
  <c r="E43" i="71"/>
  <c r="E44" i="71" s="1"/>
  <c r="U44" i="71" s="1"/>
  <c r="X24" i="71"/>
  <c r="AA22" i="71"/>
  <c r="X21" i="71"/>
  <c r="Y17" i="71"/>
  <c r="Z17" i="71" s="1"/>
  <c r="AA12" i="71"/>
  <c r="D31" i="71"/>
  <c r="D51" i="71"/>
  <c r="C78" i="71"/>
  <c r="D78" i="71" s="1"/>
  <c r="AA28" i="71"/>
  <c r="AA3" i="71"/>
  <c r="AB28" i="71"/>
  <c r="D76" i="71"/>
  <c r="X28" i="71"/>
  <c r="Y37" i="71"/>
  <c r="Z37" i="71" s="1"/>
  <c r="AB33" i="71"/>
  <c r="AA29" i="71"/>
  <c r="B31" i="71"/>
  <c r="B32" i="71" s="1"/>
  <c r="S32" i="71" s="1"/>
  <c r="AB29" i="71"/>
  <c r="Y30" i="71"/>
  <c r="Z30" i="71" s="1"/>
  <c r="AB34" i="71"/>
  <c r="Y36" i="71"/>
  <c r="Z36" i="71" s="1"/>
  <c r="B38" i="71"/>
  <c r="B39" i="71" s="1"/>
  <c r="B40" i="71" s="1"/>
  <c r="S40" i="71" s="1"/>
  <c r="X37" i="71"/>
  <c r="Y9" i="71"/>
  <c r="Z9" i="71" s="1"/>
  <c r="Y39" i="71"/>
  <c r="Z39" i="71" s="1"/>
  <c r="Y10" i="71"/>
  <c r="Z10" i="71" s="1"/>
  <c r="Y25" i="71"/>
  <c r="Z25" i="71" s="1"/>
  <c r="Y27" i="71"/>
  <c r="Z27" i="71" s="1"/>
  <c r="AA23" i="71"/>
  <c r="AB23" i="71"/>
  <c r="AB17" i="71"/>
  <c r="AB14" i="71"/>
  <c r="AA17" i="71"/>
  <c r="E67" i="71"/>
  <c r="C39" i="71"/>
  <c r="X25" i="71"/>
  <c r="Y28" i="71"/>
  <c r="Z28" i="71" s="1"/>
  <c r="AA30" i="71"/>
  <c r="X26" i="71"/>
  <c r="X27" i="71"/>
  <c r="Y31" i="71"/>
  <c r="Z31" i="71" s="1"/>
  <c r="AA34" i="71"/>
  <c r="AA36" i="71"/>
  <c r="F38" i="71"/>
  <c r="F39" i="71" s="1"/>
  <c r="F40" i="71" s="1"/>
  <c r="V40" i="71" s="1"/>
  <c r="AA24" i="71"/>
  <c r="F22" i="71"/>
  <c r="F21" i="71" s="1"/>
  <c r="F20" i="71" s="1"/>
  <c r="F19" i="71" s="1"/>
  <c r="F18" i="71" s="1"/>
  <c r="F17" i="71" s="1"/>
  <c r="Y22" i="71"/>
  <c r="Z22" i="71" s="1"/>
  <c r="AA21" i="71"/>
  <c r="X13" i="71"/>
  <c r="Y24" i="71"/>
  <c r="Z24" i="71" s="1"/>
  <c r="Y18" i="71"/>
  <c r="Z18" i="71" s="1"/>
  <c r="AB18" i="71"/>
  <c r="Y13" i="71"/>
  <c r="Z13" i="71" s="1"/>
  <c r="X12" i="71"/>
  <c r="AA9" i="71"/>
  <c r="AA10" i="71"/>
  <c r="K56" i="9"/>
  <c r="AA15" i="71"/>
  <c r="AB11" i="71"/>
  <c r="X11" i="71"/>
  <c r="AA13" i="71"/>
  <c r="AB9" i="71"/>
  <c r="N56" i="9"/>
  <c r="AB15" i="71"/>
  <c r="AB13" i="71"/>
  <c r="Y11" i="71"/>
  <c r="Z11" i="71" s="1"/>
  <c r="Y14" i="71"/>
  <c r="Z14" i="71" s="1"/>
  <c r="AA11" i="71"/>
  <c r="X15" i="71"/>
  <c r="AB12" i="71"/>
  <c r="X14"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26" i="67"/>
  <c r="F36" i="67"/>
  <c r="M29" i="67"/>
  <c r="F7" i="67"/>
  <c r="F38" i="67"/>
  <c r="F16" i="67"/>
  <c r="M22" i="67"/>
  <c r="M26" i="67"/>
  <c r="M28" i="67"/>
  <c r="F13" i="67"/>
  <c r="C76" i="67"/>
  <c r="F9" i="67"/>
  <c r="F40" i="67"/>
  <c r="F42" i="67"/>
  <c r="M9" i="67"/>
  <c r="M24" i="67"/>
  <c r="F43" i="67"/>
  <c r="F6" i="67"/>
  <c r="M8" i="67"/>
  <c r="F37" i="67"/>
  <c r="M23" i="67"/>
  <c r="L47" i="67"/>
  <c r="M6" i="67"/>
  <c r="F8" i="67"/>
  <c r="L48" i="67"/>
  <c r="J15" i="67"/>
  <c r="F9" i="15"/>
  <c r="M23" i="15"/>
  <c r="F42" i="15"/>
  <c r="M26" i="15"/>
  <c r="F43" i="15"/>
  <c r="F26" i="15"/>
  <c r="F16" i="15"/>
  <c r="F13" i="15"/>
  <c r="M8" i="15"/>
  <c r="C76" i="15"/>
  <c r="L47" i="15"/>
  <c r="J15" i="15"/>
  <c r="M9" i="15"/>
  <c r="F36" i="15"/>
  <c r="M24" i="15"/>
  <c r="F40" i="15"/>
  <c r="F37" i="15"/>
  <c r="M29" i="15"/>
  <c r="F7" i="15"/>
  <c r="F38" i="15"/>
  <c r="M22" i="15"/>
  <c r="M28" i="15"/>
  <c r="F8" i="15"/>
  <c r="M6" i="15"/>
  <c r="L48" i="15"/>
  <c r="F6" i="15"/>
  <c r="C16" i="67"/>
  <c r="C16" i="15"/>
  <c r="G1" i="73"/>
  <c r="D7" i="73"/>
  <c r="C6" i="15" l="1"/>
  <c r="C32" i="15" s="1"/>
  <c r="J53" i="15"/>
  <c r="L56" i="15" s="1"/>
  <c r="J57" i="15"/>
  <c r="J55" i="15" s="1"/>
  <c r="J58" i="15" s="1"/>
  <c r="Q50" i="15" s="1"/>
  <c r="I54" i="15"/>
  <c r="F51" i="15"/>
  <c r="F66" i="15"/>
  <c r="M7" i="15"/>
  <c r="J6" i="15" s="1"/>
  <c r="J18" i="15" s="1"/>
  <c r="F50" i="15"/>
  <c r="F65" i="15"/>
  <c r="F68" i="15"/>
  <c r="F64" i="15"/>
  <c r="L58" i="15"/>
  <c r="Q60" i="15" s="1"/>
  <c r="M59" i="15"/>
  <c r="N59" i="15"/>
  <c r="L59" i="15"/>
  <c r="Q74" i="15" s="1"/>
  <c r="Q71" i="15"/>
  <c r="C27" i="15"/>
  <c r="F71" i="15"/>
  <c r="J53" i="67"/>
  <c r="F1" i="67" s="1"/>
  <c r="J57" i="67"/>
  <c r="J55" i="67" s="1"/>
  <c r="J58" i="67" s="1"/>
  <c r="Q50" i="67" s="1"/>
  <c r="I54" i="67"/>
  <c r="L56" i="67"/>
  <c r="F51" i="67"/>
  <c r="M59" i="67"/>
  <c r="L58" i="67"/>
  <c r="Q60" i="67" s="1"/>
  <c r="N59" i="67"/>
  <c r="L59" i="67"/>
  <c r="Q61" i="67" s="1"/>
  <c r="F65" i="67"/>
  <c r="C6" i="67"/>
  <c r="C32" i="67" s="1"/>
  <c r="F71" i="67"/>
  <c r="F68" i="67"/>
  <c r="Q71" i="67"/>
  <c r="F66" i="67"/>
  <c r="F50" i="67"/>
  <c r="M7" i="67"/>
  <c r="J6" i="67" s="1"/>
  <c r="J18" i="67" s="1"/>
  <c r="F64" i="67"/>
  <c r="C27" i="67"/>
  <c r="E59" i="40"/>
  <c r="AB37" i="34"/>
  <c r="AB25" i="34"/>
  <c r="W37" i="34"/>
  <c r="AA37" i="34"/>
  <c r="S37" i="34"/>
  <c r="AB33" i="34"/>
  <c r="W33" i="34"/>
  <c r="AA33" i="34"/>
  <c r="W25" i="34"/>
  <c r="AA25" i="34"/>
  <c r="AC30" i="34"/>
  <c r="H26" i="43"/>
  <c r="E26" i="43"/>
  <c r="F26" i="43"/>
  <c r="N370" i="46"/>
  <c r="N94" i="46"/>
  <c r="J26" i="43"/>
  <c r="K16" i="1"/>
  <c r="P6" i="1"/>
  <c r="C13" i="12" s="1"/>
  <c r="P67" i="71"/>
  <c r="E66" i="71"/>
  <c r="C36" i="71"/>
  <c r="D35" i="71"/>
  <c r="E11" i="71"/>
  <c r="E10" i="71" s="1"/>
  <c r="E9" i="71" s="1"/>
  <c r="E8" i="71" s="1"/>
  <c r="E7" i="71" s="1"/>
  <c r="E6" i="71" s="1"/>
  <c r="E5" i="71" s="1"/>
  <c r="V12" i="71"/>
  <c r="D75" i="71"/>
  <c r="C74" i="71"/>
  <c r="D74" i="71" s="1"/>
  <c r="AC39" i="40"/>
  <c r="W39" i="40"/>
  <c r="AB24" i="36"/>
  <c r="U24" i="36"/>
  <c r="S12" i="21"/>
  <c r="AA12" i="21"/>
  <c r="G5" i="3"/>
  <c r="B3" i="3" s="1"/>
  <c r="E43" i="3" s="1"/>
  <c r="B15" i="71"/>
  <c r="B14" i="71" s="1"/>
  <c r="B13" i="71" s="1"/>
  <c r="B12" i="71" s="1"/>
  <c r="S16" i="71"/>
  <c r="C56" i="71"/>
  <c r="D55" i="71"/>
  <c r="AC38" i="40"/>
  <c r="W38" i="40"/>
  <c r="AC25" i="37"/>
  <c r="W25" i="37"/>
  <c r="AA25" i="37"/>
  <c r="S25" i="37"/>
  <c r="AZ550" i="3"/>
  <c r="S12" i="35"/>
  <c r="AA12" i="35"/>
  <c r="AC12" i="21"/>
  <c r="W12" i="21"/>
  <c r="BA5" i="3"/>
  <c r="E27" i="6" s="1"/>
  <c r="K26" i="6" s="1"/>
  <c r="M26" i="6" s="1"/>
  <c r="I26" i="6" s="1"/>
  <c r="S26" i="6" s="1"/>
  <c r="C15" i="71"/>
  <c r="T16" i="71"/>
  <c r="C40" i="71"/>
  <c r="D39" i="71"/>
  <c r="V28" i="71"/>
  <c r="E27" i="71"/>
  <c r="E26" i="71" s="1"/>
  <c r="AZ93" i="3"/>
  <c r="AZ5" i="3" s="1"/>
  <c r="U25" i="37"/>
  <c r="AB25" i="37"/>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F41" i="67"/>
  <c r="Q52" i="67" l="1"/>
  <c r="J5" i="67"/>
  <c r="Q61" i="15"/>
  <c r="C49" i="67"/>
  <c r="Q73" i="67"/>
  <c r="Q52" i="15"/>
  <c r="C49" i="15"/>
  <c r="F1" i="15"/>
  <c r="Q74" i="67"/>
  <c r="J5" i="15"/>
  <c r="J24" i="15" s="1"/>
  <c r="Q73" i="15"/>
  <c r="E84" i="3"/>
  <c r="D26" i="43"/>
  <c r="C25" i="43" s="1"/>
  <c r="C33" i="43" s="1"/>
  <c r="E51" i="3"/>
  <c r="E3" i="6"/>
  <c r="AY6" i="3"/>
  <c r="AY42" i="3" s="1"/>
  <c r="D15" i="71"/>
  <c r="C14" i="71"/>
  <c r="E108" i="3"/>
  <c r="E163" i="3"/>
  <c r="E65" i="39"/>
  <c r="E86" i="3"/>
  <c r="B11" i="71"/>
  <c r="B10" i="71" s="1"/>
  <c r="B9" i="71" s="1"/>
  <c r="B8" i="71" s="1"/>
  <c r="B7" i="71" s="1"/>
  <c r="B6" i="71" s="1"/>
  <c r="B5" i="71" s="1"/>
  <c r="S12" i="71"/>
  <c r="E100" i="3"/>
  <c r="T36" i="71"/>
  <c r="D36" i="71"/>
  <c r="D40" i="71"/>
  <c r="T40" i="71"/>
  <c r="E510" i="3"/>
  <c r="E205" i="3"/>
  <c r="E296" i="3"/>
  <c r="E140" i="3"/>
  <c r="E197" i="3"/>
  <c r="E173" i="3"/>
  <c r="E369" i="3"/>
  <c r="E525" i="3"/>
  <c r="E534" i="3"/>
  <c r="T6" i="3"/>
  <c r="E405" i="3"/>
  <c r="E456" i="3"/>
  <c r="E469" i="3"/>
  <c r="E512" i="3"/>
  <c r="E408" i="3"/>
  <c r="E451" i="3"/>
  <c r="E360" i="3"/>
  <c r="E556" i="3"/>
  <c r="E497" i="3"/>
  <c r="E494" i="3"/>
  <c r="E452" i="3"/>
  <c r="E470" i="3"/>
  <c r="E420" i="3"/>
  <c r="E26" i="3"/>
  <c r="E104" i="3"/>
  <c r="E115" i="3"/>
  <c r="E198" i="3"/>
  <c r="E139" i="3"/>
  <c r="E225" i="3"/>
  <c r="E281" i="3"/>
  <c r="E243" i="3"/>
  <c r="E332" i="3"/>
  <c r="E391" i="3"/>
  <c r="E356" i="3"/>
  <c r="AL6" i="3"/>
  <c r="E42" i="3"/>
  <c r="E94" i="3"/>
  <c r="E75" i="3"/>
  <c r="E428" i="3"/>
  <c r="E482" i="3"/>
  <c r="E412" i="3"/>
  <c r="E18" i="3"/>
  <c r="E96" i="3"/>
  <c r="E78" i="3"/>
  <c r="E129" i="3"/>
  <c r="E190" i="3"/>
  <c r="E174" i="3"/>
  <c r="E220" i="3"/>
  <c r="E275" i="3"/>
  <c r="E165" i="3"/>
  <c r="E188" i="3"/>
  <c r="E212" i="3"/>
  <c r="E141" i="3"/>
  <c r="E393" i="3"/>
  <c r="E499" i="3"/>
  <c r="E552" i="3"/>
  <c r="E427" i="3"/>
  <c r="E466" i="3"/>
  <c r="E398" i="3"/>
  <c r="E440" i="3"/>
  <c r="E255" i="3"/>
  <c r="E566" i="3"/>
  <c r="J6" i="3"/>
  <c r="E517" i="3"/>
  <c r="E460" i="3"/>
  <c r="E401" i="3"/>
  <c r="E479" i="3"/>
  <c r="E90" i="3"/>
  <c r="E152" i="3"/>
  <c r="E155" i="3"/>
  <c r="E242" i="3"/>
  <c r="E241" i="3"/>
  <c r="E348" i="3"/>
  <c r="E333" i="3"/>
  <c r="E389" i="3"/>
  <c r="E58" i="3"/>
  <c r="E409" i="3"/>
  <c r="E521" i="3"/>
  <c r="E455" i="3"/>
  <c r="E64" i="3"/>
  <c r="E65" i="3"/>
  <c r="E170" i="3"/>
  <c r="E142" i="3"/>
  <c r="E248" i="3"/>
  <c r="E219" i="3"/>
  <c r="E299" i="3"/>
  <c r="E339" i="3"/>
  <c r="E325" i="3"/>
  <c r="E392" i="3"/>
  <c r="AQ6" i="3"/>
  <c r="E52" i="3"/>
  <c r="E36" i="3"/>
  <c r="E112" i="3"/>
  <c r="E123" i="3"/>
  <c r="E147" i="3"/>
  <c r="E289" i="3"/>
  <c r="E340" i="3"/>
  <c r="E364" i="3"/>
  <c r="E50" i="3"/>
  <c r="E20" i="3"/>
  <c r="E62" i="3"/>
  <c r="E176" i="3"/>
  <c r="E218" i="3"/>
  <c r="E265" i="3"/>
  <c r="E365" i="3"/>
  <c r="E524" i="3"/>
  <c r="E101" i="3"/>
  <c r="E449" i="3"/>
  <c r="E39" i="3"/>
  <c r="E95" i="3"/>
  <c r="E202" i="3"/>
  <c r="E259" i="3"/>
  <c r="E349" i="3"/>
  <c r="E60" i="3"/>
  <c r="E462" i="3"/>
  <c r="E467" i="3"/>
  <c r="E160" i="3"/>
  <c r="E234" i="3"/>
  <c r="E300" i="3"/>
  <c r="E310" i="3"/>
  <c r="E23" i="3"/>
  <c r="E33" i="3"/>
  <c r="E184" i="3"/>
  <c r="E355" i="3"/>
  <c r="E68" i="3"/>
  <c r="E81" i="3"/>
  <c r="E264" i="3"/>
  <c r="E283" i="3"/>
  <c r="E513" i="3"/>
  <c r="E16" i="3"/>
  <c r="E148" i="3"/>
  <c r="E167" i="3"/>
  <c r="E105" i="3"/>
  <c r="E575" i="3"/>
  <c r="E542" i="3"/>
  <c r="E543" i="3"/>
  <c r="E442" i="3"/>
  <c r="E487" i="3"/>
  <c r="E422" i="3"/>
  <c r="E374" i="3"/>
  <c r="AH6" i="3"/>
  <c r="E554" i="3"/>
  <c r="E413" i="3"/>
  <c r="E417" i="3"/>
  <c r="E25" i="3"/>
  <c r="E187" i="3"/>
  <c r="E258" i="3"/>
  <c r="E346" i="3"/>
  <c r="E504" i="3"/>
  <c r="E15" i="3"/>
  <c r="E98" i="3"/>
  <c r="E249" i="3"/>
  <c r="E371" i="3"/>
  <c r="E492" i="3"/>
  <c r="E144" i="3"/>
  <c r="E233" i="3"/>
  <c r="E381" i="3"/>
  <c r="E63" i="3"/>
  <c r="E118" i="3"/>
  <c r="E309" i="3"/>
  <c r="E21" i="3"/>
  <c r="E329" i="3"/>
  <c r="E536" i="3"/>
  <c r="E149" i="3"/>
  <c r="E116" i="3"/>
  <c r="E286" i="3"/>
  <c r="AD6" i="3"/>
  <c r="E564" i="3"/>
  <c r="E502" i="3"/>
  <c r="E464"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35" i="3"/>
  <c r="E324" i="3"/>
  <c r="E383" i="3"/>
  <c r="E342" i="3"/>
  <c r="E522" i="3"/>
  <c r="E35" i="3"/>
  <c r="E34" i="3"/>
  <c r="E49" i="3"/>
  <c r="E206" i="3"/>
  <c r="E232" i="3"/>
  <c r="E251" i="3"/>
  <c r="E370" i="3"/>
  <c r="AF6" i="3"/>
  <c r="E102" i="3"/>
  <c r="E80" i="3"/>
  <c r="E113" i="3"/>
  <c r="E158" i="3"/>
  <c r="E287" i="3"/>
  <c r="E308" i="3"/>
  <c r="E326" i="3"/>
  <c r="E22" i="3"/>
  <c r="E83"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66" i="3"/>
  <c r="E307" i="3"/>
  <c r="E386" i="3"/>
  <c r="E354" i="3"/>
  <c r="E584" i="3"/>
  <c r="E66" i="3"/>
  <c r="E24" i="3"/>
  <c r="E48" i="3"/>
  <c r="E87" i="3"/>
  <c r="E127" i="3"/>
  <c r="E250" i="3"/>
  <c r="E284" i="3"/>
  <c r="E341" i="3"/>
  <c r="Y6" i="3"/>
  <c r="E19" i="3"/>
  <c r="E154" i="3"/>
  <c r="E179" i="3"/>
  <c r="E222" i="3"/>
  <c r="E323"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1" i="3"/>
  <c r="E59" i="3"/>
  <c r="P65" i="71"/>
  <c r="P66" i="71"/>
  <c r="E483" i="3"/>
  <c r="E67" i="3"/>
  <c r="T56" i="71"/>
  <c r="D56" i="71"/>
  <c r="E82" i="3"/>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529" i="3"/>
  <c r="AY513" i="3"/>
  <c r="AY222" i="3"/>
  <c r="AY454" i="3"/>
  <c r="AY189" i="3"/>
  <c r="AY266" i="3"/>
  <c r="AY221" i="3"/>
  <c r="AY466" i="3"/>
  <c r="AY213" i="3"/>
  <c r="AY323" i="3"/>
  <c r="AY461" i="3"/>
  <c r="AY399" i="3"/>
  <c r="AY22" i="3"/>
  <c r="AY288" i="3"/>
  <c r="AY402" i="3"/>
  <c r="AY522" i="3"/>
  <c r="AY143" i="3"/>
  <c r="AY386"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10" i="67"/>
  <c r="C5" i="67" s="1"/>
  <c r="C38" i="67" s="1"/>
  <c r="C53" i="15"/>
  <c r="C10" i="15"/>
  <c r="C5" i="15" s="1"/>
  <c r="C38" i="15" s="1"/>
  <c r="F25" i="12"/>
  <c r="F22" i="69"/>
  <c r="F41" i="69" s="1"/>
  <c r="F24" i="67"/>
  <c r="C24" i="67" s="1"/>
  <c r="F22" i="11"/>
  <c r="F22" i="68"/>
  <c r="F24" i="15"/>
  <c r="C24" i="15" s="1"/>
  <c r="M27" i="15"/>
  <c r="F41" i="15"/>
  <c r="M27" i="67"/>
  <c r="C48" i="67" l="1"/>
  <c r="C66" i="67" s="1"/>
  <c r="C48" i="15"/>
  <c r="C66" i="15" s="1"/>
  <c r="AY315" i="3"/>
  <c r="AY113" i="3"/>
  <c r="AY216" i="3"/>
  <c r="AY205" i="3"/>
  <c r="AY27" i="3"/>
  <c r="AY509" i="3"/>
  <c r="AY324" i="3"/>
  <c r="AY462" i="3"/>
  <c r="AY265" i="3"/>
  <c r="AY64" i="3"/>
  <c r="AY140" i="3"/>
  <c r="AY504" i="3"/>
  <c r="AY86" i="3"/>
  <c r="AY579" i="3"/>
  <c r="AY373" i="3"/>
  <c r="AY114" i="3"/>
  <c r="M18" i="9"/>
  <c r="B118" i="9" s="1"/>
  <c r="B1" i="74" s="1"/>
  <c r="C34" i="34"/>
  <c r="D3" i="88"/>
  <c r="B2" i="88" s="1"/>
  <c r="D32" i="81"/>
  <c r="D33" i="81" s="1"/>
  <c r="D3" i="21"/>
  <c r="L18" i="9"/>
  <c r="D14" i="12"/>
  <c r="D17" i="12" s="1"/>
  <c r="C17" i="12" s="1"/>
  <c r="D3" i="37"/>
  <c r="D19" i="11"/>
  <c r="C19" i="11" s="1"/>
  <c r="D37" i="11"/>
  <c r="D3" i="33"/>
  <c r="D3" i="34"/>
  <c r="E6" i="6"/>
  <c r="C17" i="4"/>
  <c r="B4" i="52" s="1"/>
  <c r="B43" i="72" s="1"/>
  <c r="AC6" i="3"/>
  <c r="BT6" i="3"/>
  <c r="AY71" i="3"/>
  <c r="AY19" i="3"/>
  <c r="AY479" i="3"/>
  <c r="AY413" i="3"/>
  <c r="AY528" i="3"/>
  <c r="AY110" i="3"/>
  <c r="AY321" i="3"/>
  <c r="AY550" i="3"/>
  <c r="AY273" i="3"/>
  <c r="AY512" i="3"/>
  <c r="AY167" i="3"/>
  <c r="AY453" i="3"/>
  <c r="AY519" i="3"/>
  <c r="AY573" i="3"/>
  <c r="AY535" i="3"/>
  <c r="AY219" i="3"/>
  <c r="AY50" i="3"/>
  <c r="AY443" i="3"/>
  <c r="AY500" i="3"/>
  <c r="BP6" i="3"/>
  <c r="AY361" i="3"/>
  <c r="AY339" i="3"/>
  <c r="AY482" i="3"/>
  <c r="AY537" i="3"/>
  <c r="AY235" i="3"/>
  <c r="AY459" i="3"/>
  <c r="AY159" i="3"/>
  <c r="AY405" i="3"/>
  <c r="AY94" i="3"/>
  <c r="AY313" i="3"/>
  <c r="AY536" i="3"/>
  <c r="AY132" i="3"/>
  <c r="AY18" i="3"/>
  <c r="AY190" i="3"/>
  <c r="H6" i="3"/>
  <c r="E6" i="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31" i="3"/>
  <c r="AY280" i="3"/>
  <c r="AY35" i="3"/>
  <c r="AY531" i="3"/>
  <c r="D3" i="6"/>
  <c r="D26" i="6" s="1"/>
  <c r="AY410" i="3"/>
  <c r="AY487" i="3"/>
  <c r="AY369" i="3"/>
  <c r="AY129" i="3"/>
  <c r="AY80" i="3"/>
  <c r="AY584" i="3"/>
  <c r="AY406" i="3"/>
  <c r="AY275" i="3"/>
  <c r="AY162" i="3"/>
  <c r="AY116" i="3"/>
  <c r="AY508" i="3"/>
  <c r="AY130" i="3"/>
  <c r="AY182" i="3"/>
  <c r="AY425" i="3"/>
  <c r="AY561" i="3"/>
  <c r="AY333" i="3"/>
  <c r="AY109" i="3"/>
  <c r="AY299" i="3"/>
  <c r="AY92" i="3"/>
  <c r="AY372" i="3"/>
  <c r="AY252" i="3"/>
  <c r="AY268" i="3"/>
  <c r="AY66"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62" i="3"/>
  <c r="AY285" i="3"/>
  <c r="AY46" i="3"/>
  <c r="AY570" i="3"/>
  <c r="AY14" i="3"/>
  <c r="AY426" i="3"/>
  <c r="AY312" i="3"/>
  <c r="AY380" i="3"/>
  <c r="AY137" i="3"/>
  <c r="AY65" i="3"/>
  <c r="AY543" i="3"/>
  <c r="AY438" i="3"/>
  <c r="AY72" i="3"/>
  <c r="AY84" i="3"/>
  <c r="AY350" i="3"/>
  <c r="AY516" i="3"/>
  <c r="AY93" i="3"/>
  <c r="AY89" i="3"/>
  <c r="AY237" i="3"/>
  <c r="AY411" i="3"/>
  <c r="AY242" i="3"/>
  <c r="AY357" i="3"/>
  <c r="AY165" i="3"/>
  <c r="AY533" i="3"/>
  <c r="AY245" i="3"/>
  <c r="AY183" i="3"/>
  <c r="AY27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232" i="3"/>
  <c r="AY156" i="3"/>
  <c r="AY99" i="3"/>
  <c r="AY565" i="3"/>
  <c r="AY407" i="3"/>
  <c r="AY468" i="3"/>
  <c r="AY329" i="3"/>
  <c r="AY251" i="3"/>
  <c r="AY194" i="3"/>
  <c r="AY582" i="3"/>
  <c r="AY572" i="3"/>
  <c r="AY341" i="3"/>
  <c r="AY286" i="3"/>
  <c r="AY326" i="3"/>
  <c r="AY112" i="3"/>
  <c r="AY356" i="3"/>
  <c r="AY117" i="3"/>
  <c r="AY355" i="3"/>
  <c r="AY495" i="3"/>
  <c r="AY491" i="3"/>
  <c r="AY202" i="3"/>
  <c r="AY247" i="3"/>
  <c r="AY60" i="3"/>
  <c r="AY463" i="3"/>
  <c r="AY473" i="3"/>
  <c r="AY366" i="3"/>
  <c r="AY155" i="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7" i="67"/>
  <c r="C17" i="15"/>
  <c r="C14" i="67"/>
  <c r="D19" i="6" l="1"/>
  <c r="N11" i="81"/>
  <c r="H9" i="81"/>
  <c r="X9" i="81"/>
  <c r="S11" i="81"/>
  <c r="Q9" i="81"/>
  <c r="L11" i="81"/>
  <c r="F9" i="81"/>
  <c r="V9" i="81"/>
  <c r="Q11" i="81"/>
  <c r="K9" i="81"/>
  <c r="D43" i="81"/>
  <c r="E25" i="81" s="1"/>
  <c r="R11" i="81"/>
  <c r="L9" i="81"/>
  <c r="G11" i="81"/>
  <c r="W11" i="81"/>
  <c r="U9" i="81"/>
  <c r="P11" i="81"/>
  <c r="J9" i="81"/>
  <c r="E9" i="81"/>
  <c r="U11" i="81"/>
  <c r="O9" i="81"/>
  <c r="F11" i="81"/>
  <c r="V11" i="81"/>
  <c r="P9" i="81"/>
  <c r="K11" i="81"/>
  <c r="I9" i="81"/>
  <c r="Y9" i="81"/>
  <c r="T11" i="81"/>
  <c r="N9" i="81"/>
  <c r="I11" i="81"/>
  <c r="Y11" i="81"/>
  <c r="S9" i="81"/>
  <c r="J11" i="81"/>
  <c r="E11" i="81"/>
  <c r="T9" i="81"/>
  <c r="O11" i="81"/>
  <c r="M9" i="81"/>
  <c r="H11" i="81"/>
  <c r="X11" i="81"/>
  <c r="R9" i="81"/>
  <c r="M11" i="81"/>
  <c r="G9" i="81"/>
  <c r="W9" i="81"/>
  <c r="H34" i="34"/>
  <c r="F34" i="34"/>
  <c r="J34" i="34"/>
  <c r="D25" i="6"/>
  <c r="F17" i="81"/>
  <c r="J17" i="81"/>
  <c r="N17" i="81"/>
  <c r="R17" i="81"/>
  <c r="V17" i="81"/>
  <c r="E17" i="81"/>
  <c r="P17" i="81"/>
  <c r="I17" i="81"/>
  <c r="M17" i="81"/>
  <c r="Y17" i="81"/>
  <c r="G17" i="81"/>
  <c r="K17" i="81"/>
  <c r="O17" i="81"/>
  <c r="S17" i="81"/>
  <c r="W17" i="81"/>
  <c r="H17" i="81"/>
  <c r="L17" i="81"/>
  <c r="T17" i="81"/>
  <c r="X17" i="81"/>
  <c r="Q17" i="81"/>
  <c r="U17" i="81"/>
  <c r="D28" i="6"/>
  <c r="H24" i="6"/>
  <c r="D6" i="6"/>
  <c r="D13" i="6"/>
  <c r="D29" i="6"/>
  <c r="D20" i="6"/>
  <c r="D23" i="6"/>
  <c r="L19" i="9"/>
  <c r="D21" i="6"/>
  <c r="D12" i="6"/>
  <c r="H25" i="6"/>
  <c r="D14" i="6"/>
  <c r="D22" i="6"/>
  <c r="E61" i="40"/>
  <c r="D5" i="6"/>
  <c r="H21" i="6"/>
  <c r="D9" i="6"/>
  <c r="M19" i="9"/>
  <c r="C118" i="9" s="1"/>
  <c r="B2" i="74" s="1"/>
  <c r="D15" i="6"/>
  <c r="H26" i="6"/>
  <c r="R26" i="6" s="1"/>
  <c r="D11" i="6"/>
  <c r="C18" i="4"/>
  <c r="C4" i="52" s="1"/>
  <c r="B45" i="72" s="1"/>
  <c r="H22" i="6"/>
  <c r="D10" i="6"/>
  <c r="D8" i="6"/>
  <c r="D24" i="6"/>
  <c r="D13" i="71"/>
  <c r="C12"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R25" i="6" l="1"/>
  <c r="R12" i="1" s="1"/>
  <c r="D30" i="6"/>
  <c r="R21" i="6"/>
  <c r="R8" i="1" s="1"/>
  <c r="AB34" i="34"/>
  <c r="U34" i="34"/>
  <c r="AA34" i="34"/>
  <c r="S34" i="34"/>
  <c r="AC34" i="34"/>
  <c r="W34" i="34"/>
  <c r="Z11" i="81"/>
  <c r="A7" i="51"/>
  <c r="B7" i="72" s="1"/>
  <c r="Z17" i="81"/>
  <c r="R23" i="6"/>
  <c r="R10" i="1" s="1"/>
  <c r="R20" i="6"/>
  <c r="R7" i="1" s="1"/>
  <c r="R24" i="6"/>
  <c r="R11" i="1" s="1"/>
  <c r="A10" i="51"/>
  <c r="B9" i="72" s="1"/>
  <c r="D27" i="6"/>
  <c r="R22" i="6"/>
  <c r="R9" i="1" s="1"/>
  <c r="D16" i="6"/>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D31" i="6" l="1"/>
  <c r="D11" i="71"/>
  <c r="C10"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5" i="6" l="1"/>
  <c r="I6" i="6"/>
  <c r="W7" i="21"/>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C8" i="71" l="1"/>
  <c r="D9"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I22" i="82" s="1"/>
  <c r="C38" i="35"/>
  <c r="N63" i="40"/>
  <c r="M65" i="40"/>
  <c r="E43" i="35"/>
  <c r="F43" i="35" s="1"/>
  <c r="E42" i="35"/>
  <c r="F42" i="35" s="1"/>
  <c r="I43" i="35"/>
  <c r="J43" i="35" s="1"/>
  <c r="D2" i="33"/>
  <c r="L51" i="67"/>
  <c r="J22" i="82" l="1"/>
  <c r="I8" i="82"/>
  <c r="I11" i="8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J8" i="82" l="1"/>
  <c r="J11" i="82" s="1"/>
  <c r="I13" i="82" s="1"/>
  <c r="I14" i="82" s="1"/>
  <c r="E6" i="81" s="1"/>
  <c r="K22" i="82"/>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6" i="1"/>
  <c r="AO9" i="1"/>
  <c r="AO11" i="1"/>
  <c r="E10" i="81" l="1"/>
  <c r="E14" i="81"/>
  <c r="E5" i="81"/>
  <c r="K8" i="82"/>
  <c r="K11" i="82" s="1"/>
  <c r="L22" i="82"/>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6" i="81" l="1"/>
  <c r="E18" i="81"/>
  <c r="E13" i="81"/>
  <c r="L8" i="82"/>
  <c r="L11" i="82" s="1"/>
  <c r="K13" i="82" s="1"/>
  <c r="K14" i="82" s="1"/>
  <c r="F6" i="81" s="1"/>
  <c r="M22" i="82"/>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4" i="81" l="1"/>
  <c r="F5" i="81"/>
  <c r="E12" i="81"/>
  <c r="E8" i="81" s="1"/>
  <c r="E19" i="81" s="1"/>
  <c r="E23" i="81" s="1"/>
  <c r="N22" i="82"/>
  <c r="M8" i="82"/>
  <c r="M11" i="82" s="1"/>
  <c r="C42" i="40"/>
  <c r="C43" i="40"/>
  <c r="E47" i="40"/>
  <c r="F47" i="40" s="1"/>
  <c r="E46" i="40"/>
  <c r="F46" i="40" s="1"/>
  <c r="I47" i="40"/>
  <c r="J47" i="40" s="1"/>
  <c r="F10" i="81" l="1"/>
  <c r="F18" i="81"/>
  <c r="F16" i="81"/>
  <c r="F13" i="81"/>
  <c r="O22" i="82"/>
  <c r="N8" i="82"/>
  <c r="N11" i="82" s="1"/>
  <c r="M13" i="82" s="1"/>
  <c r="M14" i="82" s="1"/>
  <c r="G6" i="81" s="1"/>
  <c r="B58" i="40"/>
  <c r="F58" i="40" s="1"/>
  <c r="B54" i="40"/>
  <c r="F54" i="40" s="1"/>
  <c r="B53" i="40"/>
  <c r="F53" i="40" s="1"/>
  <c r="B59" i="40"/>
  <c r="F59" i="40" s="1"/>
  <c r="B52" i="40"/>
  <c r="F52" i="40" s="1"/>
  <c r="B56" i="40"/>
  <c r="F56" i="40" s="1"/>
  <c r="B60" i="40"/>
  <c r="F60" i="40" s="1"/>
  <c r="B57" i="40"/>
  <c r="F57" i="40" s="1"/>
  <c r="B51" i="40"/>
  <c r="F51" i="40" s="1"/>
  <c r="F61" i="40"/>
  <c r="B2" i="40" s="1"/>
  <c r="B3" i="40" s="1"/>
  <c r="F12" i="81" l="1"/>
  <c r="F8" i="81" s="1"/>
  <c r="F19" i="81" s="1"/>
  <c r="F23" i="81" s="1"/>
  <c r="G5" i="81"/>
  <c r="G14" i="81"/>
  <c r="P22" i="82"/>
  <c r="O8" i="82"/>
  <c r="O11" i="82" s="1"/>
  <c r="O13" i="82" s="1"/>
  <c r="O14" i="82" s="1"/>
  <c r="H6" i="81" s="1"/>
  <c r="E14" i="74"/>
  <c r="F14" i="74"/>
  <c r="B5" i="74"/>
  <c r="D5" i="74" s="1"/>
  <c r="H14" i="81" l="1"/>
  <c r="H5" i="81"/>
  <c r="P8" i="82"/>
  <c r="P11" i="82" s="1"/>
  <c r="P13" i="82" s="1"/>
  <c r="P14" i="82" s="1"/>
  <c r="I6" i="81" s="1"/>
  <c r="Q22" i="82"/>
  <c r="G10" i="81"/>
  <c r="G13" i="81"/>
  <c r="G16" i="81"/>
  <c r="G18" i="81"/>
  <c r="B6" i="74"/>
  <c r="D6" i="74" s="1"/>
  <c r="H10" i="34"/>
  <c r="AB10" i="34" s="1"/>
  <c r="T49" i="34" s="1"/>
  <c r="G49" i="34" s="1"/>
  <c r="J10" i="34"/>
  <c r="AC10" i="34" s="1"/>
  <c r="V49" i="34" s="1"/>
  <c r="I49" i="34" s="1"/>
  <c r="F10" i="34"/>
  <c r="S10" i="34" s="1"/>
  <c r="G12" i="81" l="1"/>
  <c r="G8" i="81" s="1"/>
  <c r="G19" i="81" s="1"/>
  <c r="G23" i="81" s="1"/>
  <c r="Q8" i="82"/>
  <c r="Q11" i="82" s="1"/>
  <c r="Q13" i="82" s="1"/>
  <c r="Q14" i="82" s="1"/>
  <c r="J6" i="81" s="1"/>
  <c r="R22" i="82"/>
  <c r="H13" i="81"/>
  <c r="H12" i="81" s="1"/>
  <c r="H10" i="81"/>
  <c r="H18" i="81"/>
  <c r="H16" i="81"/>
  <c r="I14" i="81"/>
  <c r="I5" i="81"/>
  <c r="G54" i="34"/>
  <c r="H54" i="34" s="1"/>
  <c r="G53" i="34"/>
  <c r="H53" i="34" s="1"/>
  <c r="I53" i="34"/>
  <c r="J53" i="34" s="1"/>
  <c r="W10" i="34"/>
  <c r="AA10" i="34"/>
  <c r="R49" i="34" s="1"/>
  <c r="U10" i="34"/>
  <c r="H8" i="81" l="1"/>
  <c r="H19" i="81" s="1"/>
  <c r="H23" i="81" s="1"/>
  <c r="R8" i="82"/>
  <c r="R11" i="82" s="1"/>
  <c r="R13" i="82" s="1"/>
  <c r="R14" i="82" s="1"/>
  <c r="K6" i="81" s="1"/>
  <c r="S22" i="82"/>
  <c r="I18" i="81"/>
  <c r="I13" i="81"/>
  <c r="I12" i="81" s="1"/>
  <c r="I16" i="81"/>
  <c r="I10" i="81"/>
  <c r="J14" i="81"/>
  <c r="J5" i="81"/>
  <c r="E49" i="34"/>
  <c r="R50" i="34"/>
  <c r="I8" i="81" l="1"/>
  <c r="I19" i="81" s="1"/>
  <c r="I23" i="81" s="1"/>
  <c r="S8" i="82"/>
  <c r="S11" i="82" s="1"/>
  <c r="S13" i="82" s="1"/>
  <c r="S14" i="82" s="1"/>
  <c r="L6" i="81" s="1"/>
  <c r="T22" i="82"/>
  <c r="J10" i="81"/>
  <c r="J18" i="81"/>
  <c r="J16" i="81"/>
  <c r="J13" i="81"/>
  <c r="J12" i="81" s="1"/>
  <c r="K14" i="81"/>
  <c r="K5" i="81"/>
  <c r="C50" i="34"/>
  <c r="B2" i="34" s="1"/>
  <c r="C49" i="34"/>
  <c r="E54" i="34"/>
  <c r="F54" i="34" s="1"/>
  <c r="E53" i="34"/>
  <c r="F53" i="34" s="1"/>
  <c r="I54" i="34"/>
  <c r="J54" i="34" s="1"/>
  <c r="C19" i="9"/>
  <c r="T8" i="82" l="1"/>
  <c r="T11" i="82" s="1"/>
  <c r="T13" i="82" s="1"/>
  <c r="T14" i="82" s="1"/>
  <c r="M6" i="81" s="1"/>
  <c r="U22" i="82"/>
  <c r="L14" i="81"/>
  <c r="L5" i="81"/>
  <c r="K10" i="81"/>
  <c r="K13" i="81"/>
  <c r="K12" i="81" s="1"/>
  <c r="K16" i="81"/>
  <c r="K18" i="81"/>
  <c r="J8" i="81"/>
  <c r="J19" i="81" s="1"/>
  <c r="J23" i="81" s="1"/>
  <c r="C21" i="9"/>
  <c r="C102" i="9"/>
  <c r="B3" i="34"/>
  <c r="C20" i="9"/>
  <c r="V22" i="82" l="1"/>
  <c r="U8" i="82"/>
  <c r="U11" i="82" s="1"/>
  <c r="U13" i="82" s="1"/>
  <c r="U14" i="82" s="1"/>
  <c r="N6" i="81" s="1"/>
  <c r="K8" i="81"/>
  <c r="K19" i="81" s="1"/>
  <c r="K23" i="81" s="1"/>
  <c r="M14" i="81"/>
  <c r="M5" i="81"/>
  <c r="L18" i="81"/>
  <c r="L16" i="81"/>
  <c r="L10" i="81"/>
  <c r="L13" i="81"/>
  <c r="L12" i="81" s="1"/>
  <c r="C103" i="9"/>
  <c r="L8" i="81" l="1"/>
  <c r="L19" i="81" s="1"/>
  <c r="L23" i="81" s="1"/>
  <c r="N14" i="81"/>
  <c r="N5" i="81"/>
  <c r="M10" i="81"/>
  <c r="M18" i="81"/>
  <c r="M13" i="81"/>
  <c r="M12" i="81" s="1"/>
  <c r="M16" i="81"/>
  <c r="W22" i="82"/>
  <c r="V8" i="82"/>
  <c r="V11" i="82" s="1"/>
  <c r="V13" i="82" s="1"/>
  <c r="V14" i="82" s="1"/>
  <c r="O6" i="81" s="1"/>
  <c r="X22" i="82" l="1"/>
  <c r="W8" i="82"/>
  <c r="W11" i="82" s="1"/>
  <c r="W13" i="82" s="1"/>
  <c r="W14" i="82" s="1"/>
  <c r="P6" i="81" s="1"/>
  <c r="M8" i="81"/>
  <c r="M19" i="81" s="1"/>
  <c r="M23" i="81" s="1"/>
  <c r="N10" i="81"/>
  <c r="N18" i="81"/>
  <c r="N13" i="81"/>
  <c r="N12" i="81" s="1"/>
  <c r="N16" i="81"/>
  <c r="O5" i="81"/>
  <c r="O14" i="81"/>
  <c r="P14" i="81" l="1"/>
  <c r="P5" i="81"/>
  <c r="Y22" i="82"/>
  <c r="X8" i="82"/>
  <c r="X11" i="82" s="1"/>
  <c r="X13" i="82" s="1"/>
  <c r="X14" i="82" s="1"/>
  <c r="Q6" i="81" s="1"/>
  <c r="O10" i="81"/>
  <c r="O16" i="81"/>
  <c r="O18" i="81"/>
  <c r="O13" i="81"/>
  <c r="O12" i="81" s="1"/>
  <c r="N8" i="81"/>
  <c r="N19" i="81" s="1"/>
  <c r="N23" i="81" s="1"/>
  <c r="Q14" i="81" l="1"/>
  <c r="Q5" i="81"/>
  <c r="Y8" i="82"/>
  <c r="Y11" i="82" s="1"/>
  <c r="Y13" i="82" s="1"/>
  <c r="Y14" i="82" s="1"/>
  <c r="R6" i="81" s="1"/>
  <c r="Z22" i="82"/>
  <c r="P16" i="81"/>
  <c r="P13" i="81"/>
  <c r="P12" i="81" s="1"/>
  <c r="P18" i="81"/>
  <c r="P10" i="81"/>
  <c r="O8" i="81"/>
  <c r="O19" i="81" s="1"/>
  <c r="O23" i="81" s="1"/>
  <c r="P8" i="81" l="1"/>
  <c r="P19" i="81" s="1"/>
  <c r="P23" i="81" s="1"/>
  <c r="AA22" i="82"/>
  <c r="Z8" i="82"/>
  <c r="Z11" i="82" s="1"/>
  <c r="Z13" i="82" s="1"/>
  <c r="Z14" i="82" s="1"/>
  <c r="S6" i="81" s="1"/>
  <c r="R14" i="81"/>
  <c r="R5" i="81"/>
  <c r="Q18" i="81"/>
  <c r="Q16" i="81"/>
  <c r="Q10" i="81"/>
  <c r="Q13" i="81"/>
  <c r="Q12" i="81" s="1"/>
  <c r="AB22" i="82" l="1"/>
  <c r="AA8" i="82"/>
  <c r="AA11" i="82" s="1"/>
  <c r="AA13" i="82" s="1"/>
  <c r="AA14" i="82" s="1"/>
  <c r="T6" i="81" s="1"/>
  <c r="R18" i="81"/>
  <c r="R16" i="81"/>
  <c r="R13" i="81"/>
  <c r="R12" i="81" s="1"/>
  <c r="R10" i="81"/>
  <c r="Q8" i="81"/>
  <c r="Q19" i="81" s="1"/>
  <c r="Q23" i="81" s="1"/>
  <c r="S14" i="81"/>
  <c r="S5" i="81"/>
  <c r="T14" i="81" l="1"/>
  <c r="T5" i="81"/>
  <c r="S18" i="81"/>
  <c r="S10" i="81"/>
  <c r="S16" i="81"/>
  <c r="S13" i="81"/>
  <c r="S12" i="81" s="1"/>
  <c r="R8" i="81"/>
  <c r="R19" i="81" s="1"/>
  <c r="R23" i="81" s="1"/>
  <c r="AC22" i="82"/>
  <c r="AB8" i="82"/>
  <c r="AB11" i="82" s="1"/>
  <c r="AB13" i="82" s="1"/>
  <c r="AB14" i="82" s="1"/>
  <c r="U6" i="81" s="1"/>
  <c r="T16" i="81" l="1"/>
  <c r="T13" i="81"/>
  <c r="T12" i="81" s="1"/>
  <c r="T18" i="81"/>
  <c r="T10" i="81"/>
  <c r="AC8" i="82"/>
  <c r="AC11" i="82" s="1"/>
  <c r="AC13" i="82" s="1"/>
  <c r="AC14" i="82" s="1"/>
  <c r="V6" i="81" s="1"/>
  <c r="AD22" i="82"/>
  <c r="S8" i="81"/>
  <c r="S19" i="81" s="1"/>
  <c r="S23" i="81" s="1"/>
  <c r="U14" i="81"/>
  <c r="U5" i="81"/>
  <c r="U10" i="81" l="1"/>
  <c r="U13" i="81"/>
  <c r="U12" i="81" s="1"/>
  <c r="U18" i="81"/>
  <c r="U16" i="81"/>
  <c r="T8" i="81"/>
  <c r="T19" i="81" s="1"/>
  <c r="T23" i="81" s="1"/>
  <c r="AE22" i="82"/>
  <c r="AD8" i="82"/>
  <c r="AD11" i="82" s="1"/>
  <c r="AD13" i="82" s="1"/>
  <c r="AD14" i="82" s="1"/>
  <c r="W6" i="81" s="1"/>
  <c r="V14" i="81"/>
  <c r="V5" i="81"/>
  <c r="U8" i="81" l="1"/>
  <c r="U19" i="81" s="1"/>
  <c r="U23" i="81" s="1"/>
  <c r="W5" i="81"/>
  <c r="W14" i="81"/>
  <c r="V18" i="81"/>
  <c r="V10" i="81"/>
  <c r="V13" i="81"/>
  <c r="V12" i="81" s="1"/>
  <c r="V16" i="81"/>
  <c r="AF22" i="82"/>
  <c r="AF8" i="82" s="1"/>
  <c r="AF11" i="82" s="1"/>
  <c r="AF13" i="82" s="1"/>
  <c r="AF14" i="82" s="1"/>
  <c r="Y6" i="81" s="1"/>
  <c r="AE8" i="82"/>
  <c r="AE11" i="82" s="1"/>
  <c r="AE13" i="82" s="1"/>
  <c r="AE14" i="82" s="1"/>
  <c r="X6" i="81" s="1"/>
  <c r="X5" i="81" l="1"/>
  <c r="X14" i="81"/>
  <c r="V8" i="81"/>
  <c r="V19" i="81" s="1"/>
  <c r="V23" i="81" s="1"/>
  <c r="Y14" i="81"/>
  <c r="Y5" i="81"/>
  <c r="Z5" i="81" s="1"/>
  <c r="W16" i="81"/>
  <c r="W10" i="81"/>
  <c r="W18" i="81"/>
  <c r="W13" i="81"/>
  <c r="W12" i="81" s="1"/>
  <c r="Z14" i="81" l="1"/>
  <c r="W8" i="81"/>
  <c r="W19" i="81" s="1"/>
  <c r="W23" i="81" s="1"/>
  <c r="Y18" i="81"/>
  <c r="Y13" i="81"/>
  <c r="Y10" i="81"/>
  <c r="Y16" i="81"/>
  <c r="X18" i="81"/>
  <c r="X16" i="81"/>
  <c r="X10" i="81"/>
  <c r="X13" i="81"/>
  <c r="X12" i="81" s="1"/>
  <c r="Z10" i="81" l="1"/>
  <c r="Y12" i="81"/>
  <c r="Z12" i="81" s="1"/>
  <c r="Z13" i="81"/>
  <c r="Z18" i="81"/>
  <c r="Z16" i="81"/>
  <c r="X8" i="81"/>
  <c r="X19" i="81" s="1"/>
  <c r="X23" i="81" s="1"/>
  <c r="Y8" i="81" l="1"/>
  <c r="Y19" i="81" s="1"/>
  <c r="Y23" i="81" s="1"/>
  <c r="Z23" i="81" s="1"/>
  <c r="E24" i="81" l="1"/>
  <c r="E26" i="81" s="1"/>
  <c r="D19" i="9" s="1"/>
  <c r="Z19" i="81"/>
  <c r="E27" i="81" l="1"/>
  <c r="D20" i="9" s="1"/>
  <c r="G20" i="9" s="1"/>
  <c r="C32" i="9" s="1"/>
  <c r="C35" i="9" s="1"/>
  <c r="C34" i="9" s="1"/>
  <c r="D21" i="9"/>
  <c r="D102" i="9"/>
  <c r="D22" i="9"/>
  <c r="G19" i="9"/>
  <c r="G21" i="9" l="1"/>
  <c r="G24" i="9"/>
  <c r="D103" i="9"/>
  <c r="G26" i="9" l="1"/>
  <c r="B53" i="72"/>
  <c r="B30" i="72"/>
  <c r="C105" i="9"/>
  <c r="I4" i="52"/>
  <c r="M55" i="9"/>
  <c r="D9" i="52"/>
  <c r="M48" i="9"/>
  <c r="H5" i="52"/>
  <c r="B21" i="72"/>
  <c r="D59" i="9"/>
  <c r="B52" i="72"/>
  <c r="B31" i="72"/>
  <c r="B20" i="72"/>
  <c r="H4" i="52"/>
  <c r="C104" i="9"/>
  <c r="H119" i="9"/>
  <c r="E97" i="9"/>
  <c r="C81" i="9"/>
  <c r="F4" i="52"/>
  <c r="B51" i="72"/>
  <c r="G4" i="52"/>
  <c r="D52" i="9"/>
  <c r="D53" i="9"/>
  <c r="D5" i="53"/>
  <c r="D6" i="53"/>
  <c r="B22" i="72"/>
  <c r="C96" i="9"/>
  <c r="E96" i="9"/>
  <c r="E81" i="9"/>
  <c r="D8" i="52"/>
  <c r="D122" i="9"/>
  <c r="D123" i="9"/>
  <c r="M54" i="9"/>
  <c r="P57" i="9"/>
  <c r="N58" i="9"/>
  <c r="C6" i="74"/>
  <c r="H108" i="9"/>
  <c r="D15" i="53"/>
  <c r="N60" i="9"/>
  <c r="N59" i="9"/>
  <c r="N61" i="9"/>
  <c r="D55" i="9"/>
  <c r="M53" i="9"/>
  <c r="N57" i="9"/>
  <c r="D4" i="52"/>
  <c r="B47" i="72"/>
  <c r="C93" i="9"/>
  <c r="C86" i="9"/>
  <c r="C80" i="9"/>
  <c r="E80" i="9"/>
  <c r="E4" i="52"/>
  <c r="B48" i="72"/>
  <c r="C85" i="9"/>
  <c r="C95" i="9"/>
  <c r="C97" i="9"/>
  <c r="D58" i="9"/>
  <c r="D56" i="9"/>
  <c r="H107" i="9"/>
  <c r="D13" i="53"/>
  <c r="D14" i="53"/>
  <c r="B32" i="72"/>
  <c r="C72" i="9"/>
  <c r="C79" i="9"/>
  <c r="C5" i="74"/>
  <c r="H102" i="9"/>
  <c r="D7" i="53"/>
  <c r="C78" i="9"/>
  <c r="C73" i="9"/>
  <c r="G118" i="9"/>
  <c r="F118" i="9"/>
  <c r="F119" i="9"/>
  <c r="F5" i="52"/>
  <c r="H101" i="9"/>
  <c r="D45" i="9"/>
  <c r="C64" i="9"/>
  <c r="C63" i="9"/>
  <c r="C67" i="9"/>
  <c r="C68" i="9"/>
  <c r="D54" i="9"/>
  <c r="H118" i="9"/>
  <c r="I118" i="9"/>
  <c r="E118" i="9"/>
  <c r="D118" i="9"/>
  <c r="D119" i="9"/>
  <c r="D5" i="52"/>
  <c r="B49"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22334</author>
    <author>Administrator</author>
  </authors>
  <commentList>
    <comment ref="C11" authorId="0" shapeId="0">
      <text>
        <r>
          <rPr>
            <b/>
            <sz val="9"/>
            <color rgb="FF000000"/>
            <rFont val="宋体"/>
            <family val="3"/>
            <charset val="134"/>
          </rPr>
          <t>22334:</t>
        </r>
        <r>
          <rPr>
            <sz val="9"/>
            <color rgb="FF000000"/>
            <rFont val="宋体"/>
            <family val="3"/>
            <charset val="134"/>
          </rPr>
          <t xml:space="preserve">
</t>
        </r>
        <r>
          <rPr>
            <sz val="9"/>
            <color rgb="FF000000"/>
            <rFont val="宋体"/>
            <family val="3"/>
            <charset val="134"/>
          </rPr>
          <t>按照房产原值的</t>
        </r>
        <r>
          <rPr>
            <sz val="9"/>
            <color rgb="FF000000"/>
            <rFont val="宋体"/>
            <family val="3"/>
            <charset val="134"/>
          </rPr>
          <t xml:space="preserve">0.011%
</t>
        </r>
      </text>
    </comment>
    <comment ref="C18" authorId="1" shapeId="0">
      <text>
        <r>
          <rPr>
            <sz val="9"/>
            <color rgb="FF000000"/>
            <rFont val="宋体"/>
            <family val="3"/>
            <charset val="134"/>
          </rPr>
          <t>印花税为租赁金额的</t>
        </r>
        <r>
          <rPr>
            <sz val="9"/>
            <color rgb="FF000000"/>
            <rFont val="宋体"/>
            <family val="3"/>
            <charset val="134"/>
          </rPr>
          <t xml:space="preserve">0.1%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rgb="FF000000"/>
            <rFont val="宋体"/>
            <family val="3"/>
            <charset val="134"/>
          </rPr>
          <t>其它城市请在右侧录入</t>
        </r>
        <r>
          <rPr>
            <sz val="14"/>
            <color rgb="FF000000"/>
            <rFont val="宋体"/>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rgb="FF000000"/>
            <rFont val="宋体"/>
            <family val="3"/>
            <charset val="134"/>
          </rPr>
          <t>名称在右侧单元格录入</t>
        </r>
        <r>
          <rPr>
            <sz val="12"/>
            <color rgb="FF000000"/>
            <rFont val="宋体"/>
            <family val="3"/>
            <charset val="134"/>
          </rPr>
          <t xml:space="preserve">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text>
        <r>
          <rPr>
            <sz val="11"/>
            <color rgb="FF000000"/>
            <rFont val="宋体"/>
            <family val="3"/>
            <charset val="134"/>
          </rPr>
          <t>有相同面积依据时，仅在土地面积依据处录入。</t>
        </r>
        <r>
          <rPr>
            <sz val="11"/>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rgb="FF000000"/>
            <rFont val="宋体"/>
            <family val="3"/>
            <charset val="134"/>
          </rPr>
          <t>依《国土证》或《不动产证》录入</t>
        </r>
        <r>
          <rPr>
            <sz val="9"/>
            <color rgb="FF000000"/>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<sst xmlns="http://schemas.openxmlformats.org/spreadsheetml/2006/main" count="8548" uniqueCount="3657">
  <si>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</si>
  <si>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</si>
  <si>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</si>
  <si>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</si>
  <si>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</si>
  <si>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</si>
  <si>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</si>
  <si>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</si>
  <si>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</si>
  <si>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</si>
  <si>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</si>
  <si>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</si>
  <si>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</si>
  <si>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</si>
  <si>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</si>
  <si>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</si>
  <si>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</si>
  <si>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</si>
  <si>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</si>
  <si>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</si>
  <si>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</si>
  <si>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</si>
  <si>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</si>
  <si>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</si>
  <si>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</si>
  <si>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</si>
  <si>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</si>
  <si>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</si>
  <si>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</si>
  <si>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</si>
  <si>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</si>
  <si>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</si>
  <si>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</si>
  <si>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</si>
  <si>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</si>
  <si>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</si>
  <si>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</si>
  <si>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</si>
  <si>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</si>
  <si>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</si>
  <si>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</si>
  <si>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</si>
  <si>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</si>
  <si>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</si>
  <si>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</si>
  <si>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</si>
  <si>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</si>
  <si>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</si>
  <si>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</si>
  <si>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</si>
  <si>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</si>
  <si>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</si>
  <si>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</si>
  <si>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</si>
  <si>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</si>
  <si>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</si>
  <si>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</si>
  <si>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</si>
  <si>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</si>
  <si>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</si>
  <si>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</si>
  <si>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</si>
  <si>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</si>
  <si>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</si>
  <si>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</si>
  <si>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</si>
  <si>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</si>
  <si>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</si>
  <si>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</si>
  <si>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</si>
  <si>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</si>
  <si>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</si>
  <si>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</si>
  <si>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</si>
  <si>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</si>
  <si>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</si>
  <si>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</si>
  <si>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</si>
  <si>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</si>
  <si>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</si>
  <si>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</si>
  <si>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</si>
  <si>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</si>
  <si>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</si>
  <si>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</si>
  <si>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</si>
  <si>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</si>
  <si>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</si>
  <si>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</si>
  <si>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</si>
  <si>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</si>
  <si>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</si>
  <si>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</si>
  <si>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</si>
  <si>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</si>
  <si>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</si>
  <si>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</si>
  <si>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</si>
  <si>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</si>
  <si>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</si>
  <si>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</si>
  <si>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</si>
  <si>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</si>
  <si>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</si>
  <si>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</si>
  <si>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</si>
  <si>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</si>
  <si>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</si>
  <si>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</si>
  <si>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</si>
  <si>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</si>
  <si>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</si>
  <si>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</si>
  <si>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</si>
  <si>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</si>
  <si>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</si>
  <si>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</si>
  <si>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</si>
  <si>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</si>
  <si>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</si>
  <si>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</si>
  <si>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</si>
  <si>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</si>
  <si>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</si>
  <si>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</si>
  <si>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</si>
  <si>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</si>
  <si>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</si>
  <si>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</si>
  <si>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</si>
  <si>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</si>
  <si>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</si>
  <si>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</si>
  <si>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</si>
  <si>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</si>
  <si>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</si>
  <si>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</si>
  <si>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</si>
  <si>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</si>
  <si>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</si>
  <si>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</si>
  <si>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</si>
  <si>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</si>
  <si>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</si>
  <si>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</si>
  <si>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</si>
  <si>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</si>
  <si>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</si>
  <si>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</si>
  <si>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</si>
  <si>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</si>
  <si>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</si>
  <si>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</si>
  <si>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</si>
  <si>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</si>
  <si>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</si>
  <si>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</si>
  <si>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</si>
  <si>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</si>
  <si>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</si>
  <si>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</si>
  <si>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</si>
  <si>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</si>
  <si>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</si>
  <si>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</si>
  <si>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</si>
  <si>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</si>
  <si>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</si>
  <si>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</si>
  <si>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</si>
  <si>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</si>
  <si>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</si>
  <si>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</si>
  <si>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</si>
  <si>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</si>
  <si>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</si>
  <si>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</si>
  <si>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</si>
  <si>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</si>
  <si>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</si>
  <si>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</si>
  <si>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</si>
  <si>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</si>
  <si>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</si>
  <si>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</si>
  <si>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</si>
  <si>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</si>
  <si>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</si>
  <si>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</si>
  <si>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</si>
  <si>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</si>
  <si>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</si>
  <si>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</si>
  <si>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</si>
  <si>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</si>
  <si>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</si>
  <si>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</si>
  <si>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</si>
  <si>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</si>
  <si>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</si>
  <si>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</si>
  <si>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</si>
  <si>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</si>
  <si>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</si>
  <si>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</si>
  <si>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</si>
  <si>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</si>
  <si>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</si>
  <si>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</si>
  <si>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</si>
  <si>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</si>
  <si>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</si>
  <si>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</si>
  <si>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</si>
  <si>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</si>
  <si>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</si>
  <si>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</si>
  <si>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</si>
  <si>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</si>
  <si>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</si>
  <si>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</si>
  <si>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</si>
  <si>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</si>
  <si>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</si>
  <si>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</si>
  <si>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</si>
  <si>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</si>
  <si>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</si>
  <si>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</si>
  <si>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</si>
  <si>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</si>
  <si>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</si>
  <si>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</si>
  <si>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</si>
  <si>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</si>
  <si>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</si>
  <si>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</si>
  <si>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</si>
  <si>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</si>
  <si>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</si>
  <si>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</si>
  <si>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</si>
  <si>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</si>
  <si>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</si>
  <si>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</si>
  <si>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</si>
  <si>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</si>
  <si>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</si>
  <si>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</si>
  <si>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</si>
  <si>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</si>
  <si>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</si>
  <si>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</si>
  <si>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</si>
  <si>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</si>
  <si>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</si>
  <si>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</si>
  <si>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</si>
  <si>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</si>
  <si>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</si>
  <si>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</si>
  <si>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</si>
  <si>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</si>
  <si>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</si>
  <si>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</si>
  <si>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</si>
  <si>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</si>
  <si>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</si>
  <si>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</si>
  <si>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</si>
  <si>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</si>
  <si>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</si>
  <si>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</si>
  <si>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</si>
  <si>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</si>
  <si>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</si>
  <si>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</si>
  <si>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</si>
  <si>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</si>
  <si>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</si>
  <si>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</si>
  <si>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</si>
  <si>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</si>
  <si>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</si>
  <si>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</si>
  <si>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</si>
  <si>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</si>
  <si>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</si>
  <si>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</si>
  <si>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</si>
  <si>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</si>
  <si>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</si>
  <si>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</si>
  <si>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</si>
  <si>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</si>
  <si>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</si>
  <si>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</si>
  <si>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</si>
  <si>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</si>
  <si>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</si>
  <si>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</si>
  <si>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</si>
  <si>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</si>
  <si>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</si>
  <si>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</si>
  <si>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</si>
  <si>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</si>
  <si>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</si>
  <si>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</si>
  <si>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2" type="noConversion"/>
  </si>
  <si>
    <r>
      <rPr>
        <sz val="10"/>
        <color indexed="8"/>
        <rFont val="宋体"/>
        <family val="3"/>
        <charset val="134"/>
      </rPr>
      <t>修正系数</t>
    </r>
    <phoneticPr fontId="75"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</si>
  <si>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</si>
  <si>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</si>
  <si>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</si>
  <si>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</si>
  <si>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</si>
  <si>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</si>
  <si>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</si>
  <si>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</si>
  <si>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</si>
  <si>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</si>
  <si>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</si>
  <si>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</si>
  <si>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</si>
  <si>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</si>
  <si>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</si>
  <si>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</si>
  <si>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</si>
  <si>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</si>
  <si>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</si>
  <si>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</si>
  <si>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</si>
  <si>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</si>
  <si>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</si>
  <si>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</si>
  <si>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</si>
  <si>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</si>
  <si>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</si>
  <si>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</si>
  <si>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</si>
  <si>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</si>
  <si>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</si>
  <si>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</si>
  <si>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</si>
  <si>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</si>
  <si>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</si>
  <si>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</si>
  <si>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</si>
  <si>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</si>
  <si>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</si>
  <si>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</si>
  <si>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</si>
  <si>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</si>
  <si>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</si>
  <si>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</si>
  <si>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</si>
  <si>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</si>
  <si>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</si>
  <si>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</si>
  <si>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</si>
  <si>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</si>
  <si>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</si>
  <si>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5" type="noConversion"/>
  </si>
  <si>
    <t>2.</t>
    <phoneticPr fontId="75" type="noConversion"/>
  </si>
  <si>
    <t>3.</t>
    <phoneticPr fontId="75"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</si>
  <si>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</si>
  <si>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</si>
  <si>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</si>
  <si>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</si>
  <si>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</si>
  <si>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</si>
  <si>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0" type="noConversion"/>
  </si>
  <si>
    <t>估价项目名称：</t>
    <phoneticPr fontId="80" type="noConversion"/>
  </si>
  <si>
    <t>估价委托人：</t>
    <phoneticPr fontId="80" type="noConversion"/>
  </si>
  <si>
    <t>房地产估价机构：</t>
    <phoneticPr fontId="80" type="noConversion"/>
  </si>
  <si>
    <t>北京康正宏基房地产评估有限公司</t>
    <phoneticPr fontId="80" type="noConversion"/>
  </si>
  <si>
    <t>注册房地产估价师：</t>
    <phoneticPr fontId="80" type="noConversion"/>
  </si>
  <si>
    <t>估价报告编号：</t>
    <phoneticPr fontId="80" type="noConversion"/>
  </si>
  <si>
    <t>估价目的</t>
    <phoneticPr fontId="82" type="noConversion"/>
  </si>
  <si>
    <t>优先受偿</t>
    <phoneticPr fontId="82" type="noConversion"/>
  </si>
  <si>
    <t>抵押</t>
    <phoneticPr fontId="82" type="noConversion"/>
  </si>
  <si>
    <t>2.估价师所知悉的法定优先受偿款</t>
    <phoneticPr fontId="82" type="noConversion"/>
  </si>
  <si>
    <t>2.估价师所知悉的除抵押担保权以外的法定优先受偿款</t>
    <phoneticPr fontId="82" type="noConversion"/>
  </si>
  <si>
    <t>价值类型及定义</t>
    <phoneticPr fontId="82" type="noConversion"/>
  </si>
  <si>
    <t>房地产价值</t>
    <phoneticPr fontId="82" type="noConversion"/>
  </si>
  <si>
    <t>房地产抵押价值</t>
    <phoneticPr fontId="82" type="noConversion"/>
  </si>
  <si>
    <t>已注销</t>
    <phoneticPr fontId="82" type="noConversion"/>
  </si>
  <si>
    <t>已注销及未注销</t>
    <phoneticPr fontId="82" type="noConversion"/>
  </si>
  <si>
    <t>抵押净值</t>
    <phoneticPr fontId="82" type="noConversion"/>
  </si>
  <si>
    <t>——</t>
    <phoneticPr fontId="16" type="noConversion"/>
  </si>
  <si>
    <t>XX</t>
  </si>
  <si>
    <t>附表：</t>
    <phoneticPr fontId="90"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</si>
  <si>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</si>
  <si>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</si>
  <si>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</si>
  <si>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</si>
  <si>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</si>
  <si>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</si>
  <si>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</si>
  <si>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</si>
  <si>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</si>
  <si>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</si>
  <si>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</si>
  <si>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</si>
  <si>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</si>
  <si>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</si>
  <si>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</si>
  <si>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</si>
  <si>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</si>
  <si>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</si>
  <si>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</si>
  <si>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</si>
  <si>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</si>
  <si>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</si>
  <si>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</si>
  <si>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</si>
  <si>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</si>
  <si>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</si>
  <si>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</si>
  <si>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</si>
  <si>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</si>
  <si>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</si>
  <si>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</si>
  <si>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</si>
  <si>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</si>
  <si>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</si>
  <si>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</si>
  <si>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</si>
  <si>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</si>
  <si>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</si>
  <si>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</si>
  <si>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</si>
  <si>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</si>
  <si>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</si>
  <si>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</si>
  <si>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</si>
  <si>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</si>
  <si>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</si>
  <si>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</si>
  <si>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</si>
  <si>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</si>
  <si>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</si>
  <si>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</si>
  <si>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</si>
  <si>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</si>
  <si>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</si>
  <si>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</si>
  <si>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</si>
  <si>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</si>
  <si>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</si>
  <si>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</si>
  <si>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</si>
  <si>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</si>
  <si>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</si>
  <si>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</si>
  <si>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</si>
  <si>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</si>
  <si>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</si>
  <si>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</si>
  <si>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</si>
  <si>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</si>
  <si>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</si>
  <si>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</si>
  <si>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</si>
  <si>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</si>
  <si>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</si>
  <si>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</si>
  <si>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</si>
  <si>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</si>
  <si>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</si>
  <si>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</si>
  <si>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</si>
  <si>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</si>
  <si>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</si>
  <si>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</si>
  <si>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</si>
  <si>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</si>
  <si>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</si>
  <si>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</si>
  <si>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</si>
  <si>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</si>
  <si>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</si>
  <si>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</si>
  <si>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</si>
  <si>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</si>
  <si>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</si>
  <si>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</si>
  <si>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</si>
  <si>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</si>
  <si>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</si>
  <si>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</si>
  <si>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</si>
  <si>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</si>
  <si>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</si>
  <si>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</si>
  <si>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</si>
  <si>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</si>
  <si>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</si>
  <si>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</si>
  <si>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</si>
  <si>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</si>
  <si>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</si>
  <si>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</si>
  <si>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</si>
  <si>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</si>
  <si>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</si>
  <si>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</si>
  <si>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</si>
  <si>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</si>
  <si>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</si>
  <si>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</si>
  <si>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</si>
  <si>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</si>
  <si>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</si>
  <si>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</si>
  <si>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</si>
  <si>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</si>
  <si>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</si>
  <si>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</si>
  <si>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</si>
  <si>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</si>
  <si>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</si>
  <si>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</si>
  <si>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</si>
  <si>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</si>
  <si>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</si>
  <si>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</si>
  <si>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</si>
  <si>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</si>
  <si>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</si>
  <si>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</si>
  <si>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</si>
  <si>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</si>
  <si>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</si>
  <si>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</si>
  <si>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</si>
  <si>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</si>
  <si>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</si>
  <si>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</si>
  <si>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</si>
  <si>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</si>
  <si>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</si>
  <si>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</si>
  <si>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</si>
  <si>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</si>
  <si>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</si>
  <si>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</si>
  <si>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</si>
  <si>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</si>
  <si>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</si>
  <si>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</si>
  <si>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</si>
  <si>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</si>
  <si>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</si>
  <si>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</si>
  <si>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</si>
  <si>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</si>
  <si>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</si>
  <si>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</si>
  <si>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</si>
  <si>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</si>
  <si>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</si>
  <si>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</si>
  <si>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</si>
  <si>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</si>
  <si>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</si>
  <si>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</si>
  <si>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</si>
  <si>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</si>
  <si>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</si>
  <si>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</si>
  <si>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</si>
  <si>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</si>
  <si>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</si>
  <si>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</si>
  <si>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</si>
  <si>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</si>
  <si>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</si>
  <si>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</si>
  <si>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</si>
  <si>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</si>
  <si>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</si>
  <si>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</si>
  <si>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2" type="noConversion"/>
  </si>
  <si>
    <t>本次估价的“抵押担保权已注销时的房地产抵押价值”是指估价对象在价值时点的“房地产价值”扣减估价师于价值时点所知悉的除抵押担保权以外的其他法定优先受偿款后的余额。</t>
    <phoneticPr fontId="82" type="noConversion"/>
  </si>
  <si>
    <t>本次估价的“抵押净值”是指估价对象“房地产抵押价值”减去估价对象在价值时点以“房地产销售收入”为基数计算的预计抵押权实现进行处置时需缴纳的各项费用、税金等相关费用后的价值。</t>
    <phoneticPr fontId="82"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</si>
  <si>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</si>
  <si>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</si>
  <si>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2"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</si>
  <si>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</si>
  <si>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</si>
  <si>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</si>
  <si>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</si>
  <si>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</si>
  <si>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</si>
  <si>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</si>
  <si>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</si>
  <si>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</si>
  <si>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</si>
  <si>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</si>
  <si>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</si>
  <si>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</si>
  <si>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</si>
  <si>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</si>
  <si>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</si>
  <si>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</si>
  <si>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</si>
  <si>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</si>
  <si>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</si>
  <si>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</si>
  <si>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</si>
  <si>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</si>
  <si>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</si>
  <si>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</si>
  <si>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</si>
  <si>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</si>
  <si>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</si>
  <si>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</si>
  <si>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</si>
  <si>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</si>
  <si>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</si>
  <si>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</si>
  <si>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</si>
  <si>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</si>
  <si>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</si>
  <si>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</si>
  <si>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</si>
  <si>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</si>
  <si>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</si>
  <si>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</si>
  <si>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</si>
  <si>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</si>
  <si>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</si>
  <si>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</si>
  <si>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</si>
  <si>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</si>
  <si>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</si>
  <si>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</si>
  <si>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</si>
  <si>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</si>
  <si>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</si>
  <si>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</si>
  <si>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</si>
  <si>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</si>
  <si>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</si>
  <si>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</si>
  <si>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</si>
  <si>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</si>
  <si>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</si>
  <si>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</si>
  <si>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</si>
  <si>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</si>
  <si>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</si>
  <si>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</si>
  <si>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</si>
  <si>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</si>
  <si>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</si>
  <si>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</si>
  <si>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</si>
  <si>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</si>
  <si>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</si>
  <si>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</si>
  <si>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</si>
  <si>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</si>
  <si>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</si>
  <si>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</si>
  <si>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</si>
  <si>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</si>
  <si>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</si>
  <si>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</si>
  <si>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</si>
  <si>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</si>
  <si>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</si>
  <si>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</si>
  <si>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</si>
  <si>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</si>
  <si>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</si>
  <si>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</si>
  <si>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</si>
  <si>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</si>
  <si>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</si>
  <si>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</si>
  <si>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</si>
  <si>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</si>
  <si>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</si>
  <si>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</si>
  <si>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</si>
  <si>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</si>
  <si>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</si>
  <si>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</si>
  <si>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</si>
  <si>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</si>
  <si>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</si>
  <si>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</si>
  <si>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</si>
  <si>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</si>
  <si>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</si>
  <si>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</si>
  <si>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</si>
  <si>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</si>
  <si>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</si>
  <si>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</si>
  <si>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</si>
  <si>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</si>
  <si>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</si>
  <si>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</si>
  <si>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</si>
  <si>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</si>
  <si>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</si>
  <si>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</si>
  <si>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</si>
  <si>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</si>
  <si>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</si>
  <si>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</si>
  <si>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</si>
  <si>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</si>
  <si>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</si>
  <si>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</si>
  <si>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</si>
  <si>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</si>
  <si>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</si>
  <si>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</si>
  <si>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</si>
  <si>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</si>
  <si>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</si>
  <si>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</si>
  <si>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</si>
  <si>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</si>
  <si>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</si>
  <si>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</si>
  <si>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</si>
  <si>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</si>
  <si>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</si>
  <si>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</si>
  <si>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</si>
  <si>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</si>
  <si>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</si>
  <si>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</si>
  <si>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</si>
  <si>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</si>
  <si>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</si>
  <si>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</si>
  <si>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</si>
  <si>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</si>
  <si>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</si>
  <si>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</si>
  <si>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</si>
  <si>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</si>
  <si>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</si>
  <si>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</si>
  <si>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</si>
  <si>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</si>
  <si>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</si>
  <si>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</si>
  <si>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</si>
  <si>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</si>
  <si>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</si>
  <si>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</si>
  <si>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</si>
  <si>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</si>
  <si>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</si>
  <si>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</si>
  <si>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</si>
  <si>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</si>
  <si>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</si>
  <si>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</si>
  <si>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</si>
  <si>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</si>
  <si>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</si>
  <si>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</si>
  <si>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</si>
  <si>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</si>
  <si>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</si>
  <si>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</si>
  <si>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</si>
  <si>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</si>
  <si>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</si>
  <si>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</si>
  <si>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</si>
  <si>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</si>
  <si>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</si>
  <si>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</si>
  <si>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</si>
  <si>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</si>
  <si>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</si>
  <si>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</si>
  <si>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</si>
  <si>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</si>
  <si>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</si>
  <si>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</si>
  <si>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</si>
  <si>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</si>
  <si>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</si>
  <si>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</si>
  <si>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</si>
  <si>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</si>
  <si>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</si>
  <si>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</si>
  <si>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</si>
  <si>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</si>
  <si>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</si>
  <si>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</si>
  <si>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</si>
  <si>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</si>
  <si>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</si>
  <si>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</si>
  <si>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</si>
  <si>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</si>
  <si>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</si>
  <si>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</si>
  <si>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</si>
  <si>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</si>
  <si>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</si>
  <si>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</si>
  <si>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</si>
  <si>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</si>
  <si>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</si>
  <si>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</si>
  <si>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</si>
  <si>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</si>
  <si>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</si>
  <si>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</si>
  <si>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</si>
  <si>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</si>
  <si>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</si>
  <si>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</si>
  <si>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</si>
  <si>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</si>
  <si>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</si>
  <si>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</si>
  <si>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</si>
  <si>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</si>
  <si>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</si>
  <si>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</si>
  <si>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</si>
  <si>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</si>
  <si>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</si>
  <si>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</si>
  <si>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</si>
  <si>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</si>
  <si>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</si>
  <si>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</si>
  <si>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</si>
  <si>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</si>
  <si>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</si>
  <si>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</si>
  <si>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</si>
  <si>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</si>
  <si>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</si>
  <si>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</si>
  <si>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</si>
  <si>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</si>
  <si>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</si>
  <si>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</si>
  <si>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</si>
  <si>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</si>
  <si>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</si>
  <si>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</si>
  <si>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</si>
  <si>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</si>
  <si>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</si>
  <si>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</si>
  <si>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</si>
  <si>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</si>
  <si>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</si>
  <si>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</si>
  <si>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</si>
  <si>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</si>
  <si>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</si>
  <si>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</si>
  <si>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</si>
  <si>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</si>
  <si>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</si>
  <si>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</si>
  <si>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</si>
  <si>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</si>
  <si>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</si>
  <si>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</si>
  <si>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</si>
  <si>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</si>
  <si>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</si>
  <si>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</si>
  <si>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</si>
  <si>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</si>
  <si>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</si>
  <si>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</si>
  <si>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</si>
  <si>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</si>
  <si>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</si>
  <si>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</si>
  <si>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</si>
  <si>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</si>
  <si>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</si>
  <si>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</si>
  <si>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</si>
  <si>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</si>
  <si>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2" type="noConversion"/>
  </si>
  <si>
    <r>
      <rPr>
        <sz val="14"/>
        <color theme="9" tint="-0.249977111117893"/>
        <rFont val="宋体"/>
        <family val="3"/>
        <charset val="134"/>
      </rPr>
      <t>（本页下方空白无内容）</t>
    </r>
  </si>
  <si>
    <r>
      <rPr>
        <b/>
        <sz val="18"/>
        <color theme="1"/>
        <rFont val="宋体"/>
        <family val="3"/>
        <charset val="134"/>
      </rPr>
      <t>评估意见函</t>
    </r>
    <phoneticPr fontId="82" type="noConversion"/>
  </si>
  <si>
    <r>
      <rPr>
        <b/>
        <sz val="14"/>
        <color rgb="FF000000"/>
        <rFont val="宋体"/>
        <family val="3"/>
        <charset val="134"/>
      </rPr>
      <t>估价对象：</t>
    </r>
    <phoneticPr fontId="82" type="noConversion"/>
  </si>
  <si>
    <r>
      <rPr>
        <b/>
        <i/>
        <sz val="14"/>
        <color theme="3" tint="0.39997558519241921"/>
        <rFont val="宋体"/>
        <family val="3"/>
        <charset val="134"/>
      </rPr>
      <t>现房：</t>
    </r>
    <phoneticPr fontId="82"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</si>
  <si>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3" type="noConversion"/>
  </si>
  <si>
    <r>
      <rPr>
        <b/>
        <i/>
        <sz val="14"/>
        <color theme="3" tint="0.39997558519241921"/>
        <rFont val="宋体"/>
        <family val="3"/>
        <charset val="134"/>
      </rPr>
      <t>在建：</t>
    </r>
    <phoneticPr fontId="82"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</si>
  <si>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3"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</si>
  <si>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</si>
  <si>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</si>
  <si>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</si>
  <si>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</si>
  <si>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rPr>
        <b/>
        <sz val="14"/>
        <color theme="1"/>
        <rFont val="宋体"/>
        <family val="3"/>
        <charset val="134"/>
      </rPr>
      <t>估价结果：</t>
    </r>
    <phoneticPr fontId="82" type="noConversion"/>
  </si>
  <si>
    <r>
      <t>1.</t>
    </r>
    <r>
      <rPr>
        <b/>
        <sz val="12"/>
        <color indexed="8"/>
        <rFont val="宋体"/>
        <family val="3"/>
        <charset val="134"/>
      </rPr>
      <t>房地产价值</t>
    </r>
    <phoneticPr fontId="82" type="noConversion"/>
  </si>
  <si>
    <r>
      <rPr>
        <b/>
        <sz val="12"/>
        <color theme="1"/>
        <rFont val="宋体"/>
        <family val="3"/>
        <charset val="134"/>
      </rPr>
      <t>总价</t>
    </r>
    <phoneticPr fontId="82" type="noConversion"/>
  </si>
  <si>
    <r>
      <rPr>
        <b/>
        <sz val="12"/>
        <color theme="1"/>
        <rFont val="宋体"/>
        <family val="3"/>
        <charset val="134"/>
      </rPr>
      <t>大写金额</t>
    </r>
    <phoneticPr fontId="84" type="noConversion"/>
  </si>
  <si>
    <r>
      <rPr>
        <sz val="12"/>
        <color theme="1"/>
        <rFont val="宋体"/>
        <family val="3"/>
        <charset val="134"/>
      </rPr>
      <t>单价</t>
    </r>
    <phoneticPr fontId="82" type="noConversion"/>
  </si>
  <si>
    <r>
      <rPr>
        <b/>
        <sz val="12"/>
        <color rgb="FF000000"/>
        <rFont val="宋体"/>
        <family val="3"/>
        <charset val="134"/>
      </rPr>
      <t>总额</t>
    </r>
    <phoneticPr fontId="82" type="noConversion"/>
  </si>
  <si>
    <r>
      <rPr>
        <sz val="12"/>
        <color rgb="FF000000"/>
        <rFont val="宋体"/>
        <family val="3"/>
        <charset val="134"/>
      </rPr>
      <t>总额</t>
    </r>
    <phoneticPr fontId="82" type="noConversion"/>
  </si>
  <si>
    <r>
      <rPr>
        <sz val="14"/>
        <color theme="1"/>
        <rFont val="宋体"/>
        <family val="3"/>
        <charset val="134"/>
      </rPr>
      <t>（转下页）</t>
    </r>
    <phoneticPr fontId="84"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</si>
  <si>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2" type="noConversion"/>
  </si>
  <si>
    <r>
      <rPr>
        <b/>
        <sz val="14"/>
        <color theme="1"/>
        <rFont val="宋体"/>
        <family val="3"/>
        <charset val="134"/>
      </rPr>
      <t>结果表</t>
    </r>
    <r>
      <rPr>
        <b/>
        <sz val="14"/>
        <color theme="1"/>
        <rFont val="Arial"/>
        <family val="2"/>
      </rPr>
      <t>-1</t>
    </r>
    <phoneticPr fontId="84"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</si>
  <si>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2" type="noConversion"/>
  </si>
  <si>
    <r>
      <rPr>
        <sz val="12"/>
        <color rgb="FF000000"/>
        <rFont val="宋体"/>
        <family val="3"/>
        <charset val="134"/>
      </rPr>
      <t>总额</t>
    </r>
    <phoneticPr fontId="82"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</si>
  <si>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2" type="noConversion"/>
  </si>
  <si>
    <r>
      <rPr>
        <sz val="12"/>
        <color theme="1"/>
        <rFont val="宋体"/>
        <family val="3"/>
        <charset val="134"/>
      </rPr>
      <t>单价</t>
    </r>
    <phoneticPr fontId="82" type="noConversion"/>
  </si>
  <si>
    <r>
      <rPr>
        <b/>
        <sz val="12"/>
        <color theme="1"/>
        <rFont val="宋体"/>
        <family val="3"/>
        <charset val="134"/>
      </rPr>
      <t>总价</t>
    </r>
    <phoneticPr fontId="82" type="noConversion"/>
  </si>
  <si>
    <r>
      <rPr>
        <b/>
        <sz val="12"/>
        <color theme="1"/>
        <rFont val="宋体"/>
        <family val="3"/>
        <charset val="134"/>
      </rPr>
      <t>大写金额</t>
    </r>
    <phoneticPr fontId="84"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</si>
  <si>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4"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</si>
  <si>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</si>
  <si>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</si>
  <si>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</si>
  <si>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4" type="noConversion"/>
  </si>
  <si>
    <r>
      <rPr>
        <sz val="12"/>
        <color indexed="8"/>
        <rFont val="宋体"/>
        <family val="3"/>
        <charset val="134"/>
      </rPr>
      <t>建筑面积</t>
    </r>
    <phoneticPr fontId="82"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</si>
  <si>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2" type="noConversion"/>
  </si>
  <si>
    <r>
      <rPr>
        <sz val="12"/>
        <color indexed="8"/>
        <rFont val="宋体"/>
        <family val="3"/>
        <charset val="134"/>
      </rPr>
      <t>楼面单价</t>
    </r>
    <phoneticPr fontId="82"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</si>
  <si>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</si>
  <si>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</si>
  <si>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</si>
  <si>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</si>
  <si>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</si>
  <si>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</si>
  <si>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</si>
  <si>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89"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</si>
  <si>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</si>
  <si>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</si>
  <si>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8"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</si>
  <si>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89"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</si>
  <si>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</si>
  <si>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6"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</si>
  <si>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</si>
  <si>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</si>
  <si>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</si>
  <si>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</si>
  <si>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</si>
  <si>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</si>
  <si>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</si>
  <si>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</si>
  <si>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</si>
  <si>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</si>
  <si>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</si>
  <si>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</si>
  <si>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</si>
  <si>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</si>
  <si>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</si>
  <si>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</si>
  <si>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</si>
  <si>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</si>
  <si>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</si>
  <si>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</si>
  <si>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</si>
  <si>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</si>
  <si>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</si>
  <si>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</si>
  <si>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</si>
  <si>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</si>
  <si>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</si>
  <si>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</si>
  <si>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</si>
  <si>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</si>
  <si>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</si>
  <si>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</si>
  <si>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</si>
  <si>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</si>
  <si>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</si>
  <si>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</si>
  <si>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</si>
  <si>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</si>
  <si>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</si>
  <si>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</si>
  <si>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</si>
  <si>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</si>
  <si>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</si>
  <si>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</si>
  <si>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2"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</si>
  <si>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</si>
  <si>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</si>
  <si>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</si>
  <si>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</si>
  <si>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</si>
  <si>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</si>
  <si>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</si>
  <si>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</si>
  <si>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2"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</si>
  <si>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</si>
  <si>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</si>
  <si>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</si>
  <si>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</si>
  <si>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</si>
  <si>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</si>
  <si>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2"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</si>
  <si>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</si>
  <si>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</si>
  <si>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</si>
  <si>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</si>
  <si>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</si>
  <si>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</si>
  <si>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2"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</si>
  <si>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</si>
  <si>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</si>
  <si>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</si>
  <si>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</si>
  <si>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</si>
  <si>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2"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</si>
  <si>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</si>
  <si>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</si>
  <si>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</si>
  <si>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</si>
  <si>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</si>
  <si>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</si>
  <si>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</si>
  <si>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</si>
  <si>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</si>
  <si>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</si>
  <si>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</si>
  <si>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</si>
  <si>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</si>
  <si>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</si>
  <si>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</si>
  <si>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</si>
  <si>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</si>
  <si>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</si>
  <si>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</si>
  <si>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</si>
  <si>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</si>
  <si>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</si>
  <si>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</si>
  <si>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</si>
  <si>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</si>
  <si>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</si>
  <si>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</si>
  <si>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</si>
  <si>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</si>
  <si>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</si>
  <si>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</si>
  <si>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</si>
  <si>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</si>
  <si>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39" type="noConversion"/>
  </si>
  <si>
    <r>
      <rPr>
        <sz val="11"/>
        <color indexed="8"/>
        <rFont val="宋体"/>
        <family val="3"/>
        <charset val="134"/>
        <scheme val="minor"/>
      </rPr>
      <t>自住商品房</t>
    </r>
    <phoneticPr fontId="39" type="noConversion"/>
  </si>
  <si>
    <r>
      <rPr>
        <sz val="10"/>
        <color indexed="8"/>
        <rFont val="宋体"/>
        <family val="3"/>
        <charset val="134"/>
      </rPr>
      <t>权利状况（抵押）</t>
    </r>
    <phoneticPr fontId="82" type="noConversion"/>
  </si>
  <si>
    <r>
      <rPr>
        <sz val="10"/>
        <color indexed="8"/>
        <rFont val="宋体"/>
        <family val="3"/>
        <charset val="134"/>
      </rPr>
      <t>其他资料</t>
    </r>
    <phoneticPr fontId="82"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</si>
  <si>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</si>
  <si>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</si>
  <si>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2" type="noConversion"/>
  </si>
  <si>
    <r>
      <rPr>
        <sz val="10"/>
        <color indexed="8"/>
        <rFont val="宋体"/>
        <family val="3"/>
        <charset val="134"/>
      </rPr>
      <t>权利范围</t>
    </r>
    <phoneticPr fontId="82" type="noConversion"/>
  </si>
  <si>
    <r>
      <rPr>
        <sz val="10"/>
        <color indexed="8"/>
        <rFont val="宋体"/>
        <family val="3"/>
        <charset val="134"/>
      </rPr>
      <t>权利价值</t>
    </r>
    <phoneticPr fontId="82"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</si>
  <si>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</si>
  <si>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</si>
  <si>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</si>
  <si>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</si>
  <si>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</si>
  <si>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</si>
  <si>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</si>
  <si>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</si>
  <si>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</si>
  <si>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</si>
  <si>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</si>
  <si>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</si>
  <si>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</si>
  <si>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</si>
  <si>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</si>
  <si>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</si>
  <si>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</si>
  <si>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</si>
  <si>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</si>
  <si>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</si>
  <si>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</si>
  <si>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</si>
  <si>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</si>
  <si>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</si>
  <si>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</si>
  <si>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</si>
  <si>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</si>
  <si>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</si>
  <si>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</si>
  <si>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</si>
  <si>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</si>
  <si>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</si>
  <si>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</si>
  <si>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</si>
  <si>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</si>
  <si>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</si>
  <si>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</si>
  <si>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</si>
  <si>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</si>
  <si>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</si>
  <si>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</si>
  <si>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</si>
  <si>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</si>
  <si>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</si>
  <si>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</si>
  <si>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</si>
  <si>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</si>
  <si>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</si>
  <si>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</si>
  <si>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</si>
  <si>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</si>
  <si>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</si>
  <si>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</si>
  <si>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</si>
  <si>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</si>
  <si>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</si>
  <si>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</si>
  <si>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</si>
  <si>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</si>
  <si>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</si>
  <si>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</si>
  <si>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</si>
  <si>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</si>
  <si>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</si>
  <si>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</si>
  <si>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</si>
  <si>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</si>
  <si>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</si>
  <si>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</si>
  <si>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</si>
  <si>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</si>
  <si>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</si>
  <si>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</si>
  <si>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</si>
  <si>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</si>
  <si>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</si>
  <si>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</si>
  <si>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</si>
  <si>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</si>
  <si>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</si>
  <si>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</si>
  <si>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</si>
  <si>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</si>
  <si>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</si>
  <si>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</si>
  <si>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</si>
  <si>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</si>
  <si>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</si>
  <si>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</si>
  <si>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</si>
  <si>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</si>
  <si>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</si>
  <si>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</si>
  <si>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</si>
  <si>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</si>
  <si>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</si>
  <si>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</si>
  <si>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</si>
  <si>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</si>
  <si>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</si>
  <si>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</si>
  <si>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</si>
  <si>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</si>
  <si>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</si>
  <si>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</si>
  <si>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</si>
  <si>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</si>
  <si>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</si>
  <si>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</si>
  <si>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</si>
  <si>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</si>
  <si>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</si>
  <si>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</si>
  <si>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</si>
  <si>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</si>
  <si>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</si>
  <si>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</si>
  <si>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</si>
  <si>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</si>
  <si>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</si>
  <si>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</si>
  <si>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</si>
  <si>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</si>
  <si>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</si>
  <si>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</si>
  <si>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</si>
  <si>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</si>
  <si>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</si>
  <si>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</si>
  <si>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</si>
  <si>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</si>
  <si>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</si>
  <si>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</si>
  <si>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</si>
  <si>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</si>
  <si>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</si>
  <si>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</si>
  <si>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</si>
  <si>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</si>
  <si>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</si>
  <si>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</si>
  <si>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</si>
  <si>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</si>
  <si>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</si>
  <si>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</si>
  <si>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</si>
  <si>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</si>
  <si>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</si>
  <si>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</si>
  <si>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</si>
  <si>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</si>
  <si>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</si>
  <si>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</si>
  <si>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</si>
  <si>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</si>
  <si>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</si>
  <si>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</si>
  <si>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</si>
  <si>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</si>
  <si>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</si>
  <si>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</si>
  <si>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</si>
  <si>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</si>
  <si>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</si>
  <si>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</si>
  <si>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</si>
  <si>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</si>
  <si>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</si>
  <si>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</si>
  <si>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</si>
  <si>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</si>
  <si>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</si>
  <si>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</si>
  <si>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</si>
  <si>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</si>
  <si>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</si>
  <si>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</si>
  <si>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</si>
  <si>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</si>
  <si>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</si>
  <si>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</si>
  <si>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</si>
  <si>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</si>
  <si>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</si>
  <si>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</si>
  <si>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</si>
  <si>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</si>
  <si>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</si>
  <si>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</si>
  <si>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</si>
  <si>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</si>
  <si>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</si>
  <si>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</si>
  <si>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</si>
  <si>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</si>
  <si>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</si>
  <si>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</si>
  <si>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</si>
  <si>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</si>
  <si>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</si>
  <si>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</si>
  <si>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</si>
  <si>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</si>
  <si>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</si>
  <si>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</si>
  <si>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</si>
  <si>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</si>
  <si>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</si>
  <si>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</si>
  <si>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</si>
  <si>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</si>
  <si>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</si>
  <si>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</si>
  <si>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</si>
  <si>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</si>
  <si>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</si>
  <si>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</si>
  <si>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</si>
  <si>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</si>
  <si>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</si>
  <si>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</si>
  <si>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</si>
  <si>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</si>
  <si>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</si>
  <si>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</si>
  <si>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</si>
  <si>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</si>
  <si>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</si>
  <si>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</si>
  <si>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</si>
  <si>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</si>
  <si>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</si>
  <si>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</si>
  <si>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</si>
  <si>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</si>
  <si>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</si>
  <si>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</si>
  <si>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</si>
  <si>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</si>
  <si>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</si>
  <si>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</si>
  <si>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</si>
  <si>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</si>
  <si>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</si>
  <si>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</si>
  <si>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7" type="noConversion"/>
  </si>
  <si>
    <r>
      <rPr>
        <sz val="11"/>
        <color indexed="8"/>
        <rFont val="宋体"/>
        <family val="3"/>
        <charset val="134"/>
      </rPr>
      <t>土地价值</t>
    </r>
    <phoneticPr fontId="8" type="noConversion"/>
  </si>
  <si>
    <r>
      <rPr>
        <sz val="10"/>
        <color indexed="8"/>
        <rFont val="宋体"/>
        <family val="3"/>
        <charset val="134"/>
      </rPr>
      <t>土地价值</t>
    </r>
    <phoneticPr fontId="87" type="noConversion"/>
  </si>
  <si>
    <r>
      <rPr>
        <sz val="11"/>
        <color indexed="8"/>
        <rFont val="宋体"/>
        <family val="3"/>
        <charset val="134"/>
      </rPr>
      <t>建筑物价值</t>
    </r>
    <phoneticPr fontId="8" type="noConversion"/>
  </si>
  <si>
    <r>
      <rPr>
        <sz val="10"/>
        <color indexed="8"/>
        <rFont val="宋体"/>
        <family val="3"/>
        <charset val="134"/>
      </rPr>
      <t>建筑物价值</t>
    </r>
    <phoneticPr fontId="87"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</si>
  <si>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</si>
  <si>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</si>
  <si>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</si>
  <si>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</si>
  <si>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</si>
  <si>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</si>
  <si>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</si>
  <si>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</si>
  <si>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</si>
  <si>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</si>
  <si>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</si>
  <si>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</si>
  <si>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</si>
  <si>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</si>
  <si>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</si>
  <si>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</si>
  <si>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</si>
  <si>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</si>
  <si>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</si>
  <si>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</si>
  <si>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</si>
  <si>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</si>
  <si>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</si>
  <si>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</si>
  <si>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</si>
  <si>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</si>
  <si>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</si>
  <si>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</si>
  <si>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</si>
  <si>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</si>
  <si>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</si>
  <si>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</si>
  <si>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</si>
  <si>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</si>
  <si>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</si>
  <si>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</si>
  <si>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</si>
  <si>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</si>
  <si>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</si>
  <si>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</si>
  <si>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</si>
  <si>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</si>
  <si>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</si>
  <si>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</si>
  <si>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</si>
  <si>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</si>
  <si>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</si>
  <si>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</si>
  <si>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</si>
  <si>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</si>
  <si>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</si>
  <si>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</si>
  <si>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</si>
  <si>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</si>
  <si>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</si>
  <si>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</si>
  <si>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</si>
  <si>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</si>
  <si>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</si>
  <si>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</si>
  <si>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</si>
  <si>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</si>
  <si>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</si>
  <si>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</si>
  <si>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</si>
  <si>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</si>
  <si>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</si>
  <si>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</si>
  <si>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</si>
  <si>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</si>
  <si>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</si>
  <si>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</si>
  <si>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</si>
  <si>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</si>
  <si>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</si>
  <si>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</si>
  <si>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</si>
  <si>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</si>
  <si>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</si>
  <si>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</si>
  <si>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</si>
  <si>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</si>
  <si>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</si>
  <si>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</si>
  <si>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</si>
  <si>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</si>
  <si>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</si>
  <si>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</si>
  <si>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</si>
  <si>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</si>
  <si>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</si>
  <si>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</si>
  <si>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</si>
  <si>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</si>
  <si>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</si>
  <si>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</si>
  <si>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</si>
  <si>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</si>
  <si>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</si>
  <si>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</si>
  <si>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</si>
  <si>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</si>
  <si>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</si>
  <si>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</si>
  <si>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</si>
  <si>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</si>
  <si>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</si>
  <si>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</si>
  <si>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</si>
  <si>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</si>
  <si>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</si>
  <si>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</si>
  <si>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</si>
  <si>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</si>
  <si>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</si>
  <si>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</si>
  <si>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</si>
  <si>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</si>
  <si>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</si>
  <si>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</si>
  <si>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</si>
  <si>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</si>
  <si>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</si>
  <si>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</si>
  <si>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</si>
  <si>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</si>
  <si>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</si>
  <si>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</si>
  <si>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</si>
  <si>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</si>
  <si>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</si>
  <si>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</si>
  <si>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</si>
  <si>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</si>
  <si>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</si>
  <si>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</si>
  <si>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</si>
  <si>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</si>
  <si>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</si>
  <si>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</si>
  <si>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</si>
  <si>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1"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</si>
  <si>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</si>
  <si>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</si>
  <si>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</si>
  <si>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</si>
  <si>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</si>
  <si>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</si>
  <si>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</si>
  <si>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</si>
  <si>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</si>
  <si>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</si>
  <si>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</si>
  <si>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</si>
  <si>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</si>
  <si>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</si>
  <si>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</si>
  <si>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</si>
  <si>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</si>
  <si>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</si>
  <si>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</si>
  <si>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</si>
  <si>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</si>
  <si>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</si>
  <si>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</si>
  <si>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</si>
  <si>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</si>
  <si>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</si>
  <si>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</si>
  <si>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</si>
  <si>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</si>
  <si>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</si>
  <si>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</si>
  <si>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</si>
  <si>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</si>
  <si>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</si>
  <si>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</si>
  <si>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</si>
  <si>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</si>
  <si>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</si>
  <si>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</si>
  <si>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</si>
  <si>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</si>
  <si>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</si>
  <si>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</si>
  <si>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</si>
  <si>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</si>
  <si>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</si>
  <si>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</si>
  <si>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</si>
  <si>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</si>
  <si>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</si>
  <si>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</si>
  <si>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</si>
  <si>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</si>
  <si>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</si>
  <si>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</si>
  <si>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</si>
  <si>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</si>
  <si>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</si>
  <si>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</si>
  <si>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</si>
  <si>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</si>
  <si>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</si>
  <si>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</si>
  <si>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</si>
  <si>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</si>
  <si>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</si>
  <si>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</si>
  <si>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</si>
  <si>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</si>
  <si>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</si>
  <si>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</si>
  <si>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</si>
  <si>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</si>
  <si>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</si>
  <si>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</si>
  <si>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</si>
  <si>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</si>
  <si>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</si>
  <si>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</si>
  <si>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</si>
  <si>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</si>
  <si>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</si>
  <si>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</si>
  <si>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</si>
  <si>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</si>
  <si>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</si>
  <si>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</si>
  <si>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</si>
  <si>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</si>
  <si>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</si>
  <si>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</si>
  <si>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</si>
  <si>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</si>
  <si>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</si>
  <si>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</si>
  <si>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</si>
  <si>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</si>
  <si>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</si>
  <si>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</si>
  <si>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</si>
  <si>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</si>
  <si>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</si>
  <si>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</si>
  <si>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</si>
  <si>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</si>
  <si>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</si>
  <si>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</si>
  <si>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</si>
  <si>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</si>
  <si>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</si>
  <si>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</si>
  <si>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</si>
  <si>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</si>
  <si>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</si>
  <si>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</si>
  <si>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</si>
  <si>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</si>
  <si>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</si>
  <si>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</si>
  <si>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</si>
  <si>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</si>
  <si>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</si>
  <si>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</si>
  <si>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</si>
  <si>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</si>
  <si>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</si>
  <si>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</si>
  <si>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</si>
  <si>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</si>
  <si>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</si>
  <si>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</si>
  <si>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</si>
  <si>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</si>
  <si>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</si>
  <si>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</si>
  <si>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</si>
  <si>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</si>
  <si>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</si>
  <si>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</si>
  <si>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</si>
  <si>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</si>
  <si>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</si>
  <si>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</si>
  <si>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</si>
  <si>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</si>
  <si>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</si>
  <si>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</si>
  <si>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</si>
  <si>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</si>
  <si>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</si>
  <si>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</si>
  <si>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</si>
  <si>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</si>
  <si>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</si>
  <si>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</si>
  <si>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</si>
  <si>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</si>
  <si>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</si>
  <si>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</si>
  <si>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</si>
  <si>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</si>
  <si>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</si>
  <si>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</si>
  <si>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</si>
  <si>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</si>
  <si>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</si>
  <si>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</si>
  <si>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</si>
  <si>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</si>
  <si>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</si>
  <si>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</si>
  <si>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</si>
  <si>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</si>
  <si>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</si>
  <si>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</si>
  <si>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</si>
  <si>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</si>
  <si>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</si>
  <si>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</si>
  <si>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</si>
  <si>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</si>
  <si>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</si>
  <si>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</si>
  <si>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</si>
  <si>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</si>
  <si>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</si>
  <si>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</si>
  <si>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</si>
  <si>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</si>
  <si>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</si>
  <si>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</si>
  <si>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</si>
  <si>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</si>
  <si>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</si>
  <si>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</si>
  <si>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</si>
  <si>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</si>
  <si>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</si>
  <si>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</si>
  <si>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</si>
  <si>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</si>
  <si>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</si>
  <si>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</si>
  <si>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</si>
  <si>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</si>
  <si>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</si>
  <si>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</si>
  <si>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</si>
  <si>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</si>
  <si>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</si>
  <si>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</si>
  <si>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</si>
  <si>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</si>
  <si>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</si>
  <si>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</si>
  <si>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</si>
  <si>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</si>
  <si>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</si>
  <si>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</si>
  <si>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</si>
  <si>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</si>
  <si>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</si>
  <si>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</si>
  <si>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</si>
  <si>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</si>
  <si>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</si>
  <si>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</si>
  <si>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</si>
  <si>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</si>
  <si>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</si>
  <si>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</si>
  <si>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</si>
  <si>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</si>
  <si>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</si>
  <si>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</si>
  <si>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</si>
  <si>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</si>
  <si>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</si>
  <si>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</si>
  <si>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</si>
  <si>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</si>
  <si>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</si>
  <si>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</si>
  <si>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</si>
  <si>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</si>
  <si>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</si>
  <si>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</si>
  <si>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</si>
  <si>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</si>
  <si>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</si>
  <si>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</si>
  <si>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</si>
  <si>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</si>
  <si>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</si>
  <si>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</si>
  <si>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</si>
  <si>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</si>
  <si>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</si>
  <si>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</si>
  <si>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</si>
  <si>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</si>
  <si>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</si>
  <si>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</si>
  <si>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</si>
  <si>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</si>
  <si>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</si>
  <si>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</si>
  <si>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</si>
  <si>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</si>
  <si>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</si>
  <si>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</si>
  <si>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</si>
  <si>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</si>
  <si>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</si>
  <si>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</si>
  <si>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</si>
  <si>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</si>
  <si>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</si>
  <si>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</si>
  <si>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</si>
  <si>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</si>
  <si>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</si>
  <si>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</si>
  <si>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</si>
  <si>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</si>
  <si>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</si>
  <si>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</si>
  <si>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</si>
  <si>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</si>
  <si>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</si>
  <si>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</si>
  <si>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</si>
  <si>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</si>
  <si>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</si>
  <si>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</si>
  <si>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</si>
  <si>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</si>
  <si>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</si>
  <si>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</si>
  <si>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</si>
  <si>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</si>
  <si>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</si>
  <si>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</si>
  <si>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</si>
  <si>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</si>
  <si>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</si>
  <si>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</si>
  <si>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</si>
  <si>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</si>
  <si>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</si>
  <si>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</si>
  <si>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</si>
  <si>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</si>
  <si>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</si>
  <si>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</si>
  <si>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</si>
  <si>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</si>
  <si>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</si>
  <si>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</si>
  <si>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</si>
  <si>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</si>
  <si>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</si>
  <si>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</si>
  <si>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</si>
  <si>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</si>
  <si>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</si>
  <si>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</si>
  <si>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</si>
  <si>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</si>
  <si>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</si>
  <si>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</si>
  <si>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</si>
  <si>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</si>
  <si>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</si>
  <si>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</si>
  <si>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</si>
  <si>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</si>
  <si>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</si>
  <si>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</si>
  <si>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</si>
  <si>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</si>
  <si>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</si>
  <si>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</si>
  <si>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</si>
  <si>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</si>
  <si>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</si>
  <si>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</si>
  <si>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</si>
  <si>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</si>
  <si>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</si>
  <si>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</si>
  <si>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</si>
  <si>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</si>
  <si>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</si>
  <si>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</si>
  <si>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</si>
  <si>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</si>
  <si>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</si>
  <si>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</si>
  <si>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</si>
  <si>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</si>
  <si>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</si>
  <si>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</si>
  <si>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</si>
  <si>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</si>
  <si>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</si>
  <si>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</si>
  <si>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</si>
  <si>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</si>
  <si>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</si>
  <si>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</si>
  <si>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</si>
  <si>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</si>
  <si>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</si>
  <si>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</si>
  <si>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</si>
  <si>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</si>
  <si>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</si>
  <si>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</si>
  <si>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</si>
  <si>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</si>
  <si>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</si>
  <si>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</si>
  <si>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</si>
  <si>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</si>
  <si>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</si>
  <si>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</si>
  <si>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</si>
  <si>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</si>
  <si>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</si>
  <si>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</si>
  <si>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</si>
  <si>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</si>
  <si>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</si>
  <si>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</si>
  <si>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</si>
  <si>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</si>
  <si>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</si>
  <si>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</si>
  <si>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</si>
  <si>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</si>
  <si>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</si>
  <si>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</si>
  <si>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</si>
  <si>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</si>
  <si>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</si>
  <si>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</si>
  <si>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</si>
  <si>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</si>
  <si>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</si>
  <si>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</si>
  <si>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</si>
  <si>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</si>
  <si>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</si>
  <si>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</si>
  <si>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</si>
  <si>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</si>
  <si>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</si>
  <si>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</si>
  <si>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</si>
  <si>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</si>
  <si>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</si>
  <si>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</si>
  <si>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</si>
  <si>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</si>
  <si>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</si>
  <si>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</si>
  <si>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</si>
  <si>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</si>
  <si>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</si>
  <si>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</si>
  <si>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</si>
  <si>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</si>
  <si>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</si>
  <si>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</si>
  <si>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</si>
  <si>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</si>
  <si>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</si>
  <si>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</si>
  <si>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</si>
  <si>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</si>
  <si>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</si>
  <si>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</si>
  <si>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</si>
  <si>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</si>
  <si>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</si>
  <si>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</si>
  <si>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</si>
  <si>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</si>
  <si>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</si>
  <si>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</si>
  <si>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</si>
  <si>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</si>
  <si>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</si>
  <si>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</si>
  <si>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</si>
  <si>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</si>
  <si>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</si>
  <si>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</si>
  <si>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</si>
  <si>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</si>
  <si>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</si>
  <si>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</si>
  <si>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</si>
  <si>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</si>
  <si>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</si>
  <si>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</si>
  <si>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</si>
  <si>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</si>
  <si>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</si>
  <si>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</si>
  <si>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</si>
  <si>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</si>
  <si>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</si>
  <si>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</si>
  <si>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</si>
  <si>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</si>
  <si>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</si>
  <si>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</si>
  <si>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</si>
  <si>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</si>
  <si>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</si>
  <si>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</si>
  <si>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</si>
  <si>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</si>
  <si>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</si>
  <si>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</si>
  <si>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</si>
  <si>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</si>
  <si>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</si>
  <si>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</si>
  <si>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</si>
  <si>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</si>
  <si>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</si>
  <si>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</si>
  <si>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5"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</si>
  <si>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</si>
  <si>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</si>
  <si>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</si>
  <si>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</si>
  <si>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</si>
  <si>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</si>
  <si>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</si>
  <si>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</si>
  <si>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</si>
  <si>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</si>
  <si>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</si>
  <si>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</si>
  <si>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</si>
  <si>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</si>
  <si>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</si>
  <si>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</si>
  <si>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</si>
  <si>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</si>
  <si>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</si>
  <si>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</si>
  <si>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</si>
  <si>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</si>
  <si>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</si>
  <si>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</si>
  <si>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</si>
  <si>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</si>
  <si>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</si>
  <si>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</si>
  <si>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</si>
  <si>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</si>
  <si>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</si>
  <si>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</si>
  <si>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</si>
  <si>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</si>
  <si>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</si>
  <si>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</si>
  <si>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</si>
  <si>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</si>
  <si>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</si>
  <si>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</si>
  <si>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</si>
  <si>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</si>
  <si>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</si>
  <si>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</si>
  <si>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</si>
  <si>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</si>
  <si>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</si>
  <si>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</si>
  <si>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</si>
  <si>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</si>
  <si>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</si>
  <si>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</si>
  <si>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</si>
  <si>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</si>
  <si>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5" type="noConversion"/>
  </si>
  <si>
    <r>
      <rPr>
        <sz val="10"/>
        <rFont val="宋体"/>
        <family val="3"/>
        <charset val="134"/>
      </rPr>
      <t>相差季度数</t>
    </r>
    <phoneticPr fontId="75"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</si>
  <si>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</si>
  <si>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</si>
  <si>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</si>
  <si>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5"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</si>
  <si>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</si>
  <si>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</si>
  <si>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</si>
  <si>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</si>
  <si>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5"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</si>
  <si>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</si>
  <si>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</si>
  <si>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5"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</si>
  <si>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</si>
  <si>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</si>
  <si>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</si>
  <si>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</si>
  <si>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</si>
  <si>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</si>
  <si>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</si>
  <si>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</si>
  <si>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</si>
  <si>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</si>
  <si>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</si>
  <si>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</si>
  <si>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</si>
  <si>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</si>
  <si>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</si>
  <si>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</si>
  <si>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</si>
  <si>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</si>
  <si>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</si>
  <si>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</si>
  <si>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</si>
  <si>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5"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</si>
  <si>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</si>
  <si>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</si>
  <si>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</si>
  <si>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</si>
  <si>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</si>
  <si>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</si>
  <si>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</si>
  <si>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</si>
  <si>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</si>
  <si>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5" type="noConversion"/>
  </si>
  <si>
    <r>
      <rPr>
        <sz val="10"/>
        <color rgb="FFFF0000"/>
        <rFont val="宋体"/>
        <family val="3"/>
        <charset val="134"/>
      </rPr>
      <t>各因素幅度控制</t>
    </r>
    <r>
      <rPr>
        <sz val="10"/>
        <color rgb="FFFF0000"/>
        <rFont val="Arial"/>
        <family val="2"/>
      </rPr>
      <t>(±)</t>
    </r>
    <phoneticPr fontId="75"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</si>
  <si>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</si>
  <si>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</si>
  <si>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</si>
  <si>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</si>
  <si>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5"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</si>
  <si>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</si>
  <si>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</si>
  <si>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5"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</si>
  <si>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</si>
  <si>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</si>
  <si>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</si>
  <si>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</si>
  <si>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5"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</si>
  <si>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</si>
  <si>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</si>
  <si>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</si>
  <si>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</si>
  <si>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</si>
  <si>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</si>
  <si>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</si>
  <si>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</si>
  <si>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</si>
  <si>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</si>
  <si>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</si>
  <si>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</si>
  <si>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</si>
  <si>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</si>
  <si>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</si>
  <si>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</si>
  <si>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</si>
  <si>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</si>
  <si>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</si>
  <si>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</si>
  <si>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</si>
  <si>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</si>
  <si>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</si>
  <si>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</si>
  <si>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</si>
  <si>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</si>
  <si>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</si>
  <si>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</si>
  <si>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</si>
  <si>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</si>
  <si>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</si>
  <si>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</si>
  <si>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</si>
  <si>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</si>
  <si>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</si>
  <si>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</si>
  <si>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</si>
  <si>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</si>
  <si>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</si>
  <si>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</si>
  <si>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</si>
  <si>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</si>
  <si>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</si>
  <si>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</si>
  <si>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</si>
  <si>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</si>
  <si>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</si>
  <si>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</si>
  <si>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</si>
  <si>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</si>
  <si>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</si>
  <si>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</si>
  <si>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</si>
  <si>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</si>
  <si>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</si>
  <si>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</si>
  <si>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</si>
  <si>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</si>
  <si>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</si>
  <si>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</si>
  <si>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</si>
  <si>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</si>
  <si>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</si>
  <si>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</si>
  <si>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</si>
  <si>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</si>
  <si>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</si>
  <si>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</si>
  <si>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</si>
  <si>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</si>
  <si>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</si>
  <si>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</si>
  <si>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</si>
  <si>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</si>
  <si>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</si>
  <si>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</si>
  <si>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</si>
  <si>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</si>
  <si>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</si>
  <si>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</si>
  <si>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</si>
  <si>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</si>
  <si>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</si>
  <si>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</si>
  <si>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</si>
  <si>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</si>
  <si>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</si>
  <si>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</si>
  <si>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</si>
  <si>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</si>
  <si>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</si>
  <si>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</si>
  <si>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</si>
  <si>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</si>
  <si>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</si>
  <si>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</si>
  <si>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</si>
  <si>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</si>
  <si>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</si>
  <si>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</si>
  <si>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</si>
  <si>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</si>
  <si>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</si>
  <si>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</si>
  <si>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</si>
  <si>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</si>
  <si>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2" type="noConversion"/>
  </si>
  <si>
    <r>
      <rPr>
        <sz val="10"/>
        <color indexed="8"/>
        <rFont val="宋体"/>
        <family val="3"/>
        <charset val="134"/>
      </rPr>
      <t>价值时点</t>
    </r>
    <phoneticPr fontId="82" type="noConversion"/>
  </si>
  <si>
    <r>
      <rPr>
        <sz val="10"/>
        <color indexed="8"/>
        <rFont val="宋体"/>
        <family val="3"/>
        <charset val="134"/>
      </rPr>
      <t>签字估价师</t>
    </r>
    <phoneticPr fontId="82" type="noConversion"/>
  </si>
  <si>
    <r>
      <rPr>
        <sz val="10"/>
        <color indexed="8"/>
        <rFont val="宋体"/>
        <family val="3"/>
        <charset val="134"/>
      </rPr>
      <t>估价委托人</t>
    </r>
    <r>
      <rPr>
        <sz val="10"/>
        <color indexed="8"/>
        <rFont val="Arial"/>
        <family val="2"/>
      </rPr>
      <t xml:space="preserve">  </t>
    </r>
    <phoneticPr fontId="80"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</si>
  <si>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0" type="noConversion"/>
  </si>
  <si>
    <r>
      <rPr>
        <sz val="10"/>
        <color indexed="8"/>
        <rFont val="宋体"/>
        <family val="3"/>
        <charset val="134"/>
      </rPr>
      <t>借款方</t>
    </r>
    <phoneticPr fontId="6" type="noConversion"/>
  </si>
  <si>
    <r>
      <rPr>
        <sz val="10"/>
        <color indexed="8"/>
        <rFont val="宋体"/>
        <family val="3"/>
        <charset val="134"/>
      </rPr>
      <t>估价目的</t>
    </r>
    <phoneticPr fontId="80" type="noConversion"/>
  </si>
  <si>
    <r>
      <rPr>
        <sz val="10"/>
        <color indexed="8"/>
        <rFont val="宋体"/>
        <family val="3"/>
        <charset val="134"/>
      </rPr>
      <t>抵押结果包含：</t>
    </r>
    <phoneticPr fontId="82" type="noConversion"/>
  </si>
  <si>
    <r>
      <rPr>
        <sz val="10"/>
        <color indexed="8"/>
        <rFont val="宋体"/>
        <family val="3"/>
        <charset val="134"/>
      </rPr>
      <t>价值类型</t>
    </r>
    <phoneticPr fontId="80" type="noConversion"/>
  </si>
  <si>
    <r>
      <rPr>
        <sz val="10"/>
        <color indexed="8"/>
        <rFont val="宋体"/>
        <family val="3"/>
        <charset val="134"/>
      </rPr>
      <t>项目所在城市</t>
    </r>
    <phoneticPr fontId="6" type="noConversion"/>
  </si>
  <si>
    <r>
      <rPr>
        <sz val="10"/>
        <color indexed="8"/>
        <rFont val="宋体"/>
        <family val="3"/>
        <charset val="134"/>
      </rPr>
      <t>坐落</t>
    </r>
    <phoneticPr fontId="80" type="noConversion"/>
  </si>
  <si>
    <r>
      <rPr>
        <sz val="10"/>
        <color indexed="8"/>
        <rFont val="宋体"/>
        <family val="3"/>
        <charset val="134"/>
      </rPr>
      <t>不动产权利人</t>
    </r>
    <phoneticPr fontId="6" type="noConversion"/>
  </si>
  <si>
    <r>
      <rPr>
        <sz val="10"/>
        <color indexed="8"/>
        <rFont val="宋体"/>
        <family val="3"/>
        <charset val="134"/>
      </rPr>
      <t>土地性质</t>
    </r>
    <phoneticPr fontId="80"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</si>
  <si>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</si>
  <si>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</si>
  <si>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</si>
  <si>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</si>
  <si>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</si>
  <si>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</si>
  <si>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</si>
  <si>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</si>
  <si>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</si>
  <si>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</si>
  <si>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0" type="noConversion"/>
  </si>
  <si>
    <r>
      <rPr>
        <sz val="10"/>
        <color indexed="8"/>
        <rFont val="宋体"/>
        <family val="3"/>
        <charset val="134"/>
      </rPr>
      <t>剩余土地年限</t>
    </r>
    <phoneticPr fontId="6" type="noConversion"/>
  </si>
  <si>
    <r>
      <rPr>
        <sz val="10"/>
        <color indexed="8"/>
        <rFont val="宋体"/>
        <family val="3"/>
        <charset val="134"/>
      </rPr>
      <t>面积指标</t>
    </r>
    <phoneticPr fontId="80" type="noConversion"/>
  </si>
  <si>
    <r>
      <rPr>
        <sz val="10"/>
        <color indexed="8"/>
        <rFont val="宋体"/>
        <family val="3"/>
        <charset val="134"/>
      </rPr>
      <t>建筑面积</t>
    </r>
    <phoneticPr fontId="80" type="noConversion"/>
  </si>
  <si>
    <r>
      <rPr>
        <sz val="10"/>
        <color indexed="8"/>
        <rFont val="宋体"/>
        <family val="3"/>
        <charset val="134"/>
      </rPr>
      <t>面积依据</t>
    </r>
    <phoneticPr fontId="8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</si>
  <si>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</si>
  <si>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</si>
  <si>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0" type="noConversion"/>
  </si>
  <si>
    <r>
      <rPr>
        <sz val="10"/>
        <color indexed="8"/>
        <rFont val="宋体"/>
        <family val="3"/>
        <charset val="134"/>
      </rPr>
      <t>面积依据</t>
    </r>
    <phoneticPr fontId="80"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</si>
  <si>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</si>
  <si>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2" type="noConversion"/>
  </si>
  <si>
    <r>
      <rPr>
        <sz val="10"/>
        <color indexed="8"/>
        <rFont val="宋体"/>
        <family val="3"/>
        <charset val="134"/>
      </rPr>
      <t>权属证件是否登记权利价值</t>
    </r>
    <phoneticPr fontId="82" type="noConversion"/>
  </si>
  <si>
    <r>
      <rPr>
        <sz val="10"/>
        <color indexed="8"/>
        <rFont val="宋体"/>
        <family val="3"/>
        <charset val="134"/>
      </rPr>
      <t>依据</t>
    </r>
    <phoneticPr fontId="82" type="noConversion"/>
  </si>
  <si>
    <r>
      <rPr>
        <sz val="10"/>
        <color indexed="8"/>
        <rFont val="宋体"/>
        <family val="3"/>
        <charset val="134"/>
      </rPr>
      <t>权属文件</t>
    </r>
    <phoneticPr fontId="82" type="noConversion"/>
  </si>
  <si>
    <r>
      <rPr>
        <sz val="10"/>
        <color indexed="8"/>
        <rFont val="宋体"/>
        <family val="3"/>
        <charset val="134"/>
      </rPr>
      <t>他项权证</t>
    </r>
    <phoneticPr fontId="82" type="noConversion"/>
  </si>
  <si>
    <r>
      <rPr>
        <sz val="10"/>
        <color indexed="8"/>
        <rFont val="宋体"/>
        <family val="3"/>
        <charset val="134"/>
      </rPr>
      <t>抵押情况描述</t>
    </r>
    <phoneticPr fontId="82" type="noConversion"/>
  </si>
  <si>
    <r>
      <rPr>
        <sz val="10"/>
        <color indexed="8"/>
        <rFont val="宋体"/>
        <family val="3"/>
        <charset val="134"/>
      </rPr>
      <t>《房屋所有权证》</t>
    </r>
  </si>
  <si>
    <r>
      <rPr>
        <sz val="10"/>
        <color theme="9" tint="-0.249977111117893"/>
        <rFont val="宋体"/>
        <family val="3"/>
        <charset val="134"/>
      </rPr>
      <t>《房屋他项权利证书》</t>
    </r>
    <phoneticPr fontId="82" type="noConversion"/>
  </si>
  <si>
    <r>
      <rPr>
        <sz val="10"/>
        <color indexed="8"/>
        <rFont val="宋体"/>
        <family val="3"/>
        <charset val="134"/>
      </rPr>
      <t>《国有土地使用权》</t>
    </r>
  </si>
  <si>
    <r>
      <rPr>
        <sz val="10"/>
        <color indexed="8"/>
        <rFont val="宋体"/>
        <family val="3"/>
        <charset val="134"/>
      </rPr>
      <t>抵押信息</t>
    </r>
    <phoneticPr fontId="82" type="noConversion"/>
  </si>
  <si>
    <r>
      <rPr>
        <sz val="10"/>
        <color indexed="8"/>
        <rFont val="宋体"/>
        <family val="3"/>
        <charset val="134"/>
      </rPr>
      <t>设定日期</t>
    </r>
    <phoneticPr fontId="82"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</si>
  <si>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</si>
  <si>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</si>
  <si>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</si>
  <si>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</si>
  <si>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</si>
  <si>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</si>
  <si>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</si>
  <si>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7" type="noConversion"/>
  </si>
  <si>
    <r>
      <rPr>
        <sz val="10"/>
        <color indexed="8"/>
        <rFont val="宋体"/>
        <family val="3"/>
        <charset val="134"/>
      </rPr>
      <t>二通</t>
    </r>
    <phoneticPr fontId="87" type="noConversion"/>
  </si>
  <si>
    <r>
      <rPr>
        <sz val="10"/>
        <color indexed="8"/>
        <rFont val="宋体"/>
        <family val="3"/>
        <charset val="134"/>
      </rPr>
      <t>三通</t>
    </r>
    <phoneticPr fontId="87" type="noConversion"/>
  </si>
  <si>
    <r>
      <rPr>
        <sz val="10"/>
        <color indexed="8"/>
        <rFont val="宋体"/>
        <family val="3"/>
        <charset val="134"/>
      </rPr>
      <t>四通</t>
    </r>
    <phoneticPr fontId="87" type="noConversion"/>
  </si>
  <si>
    <r>
      <rPr>
        <sz val="10"/>
        <color indexed="8"/>
        <rFont val="宋体"/>
        <family val="3"/>
        <charset val="134"/>
      </rPr>
      <t>五通</t>
    </r>
    <phoneticPr fontId="87" type="noConversion"/>
  </si>
  <si>
    <r>
      <rPr>
        <sz val="10"/>
        <color indexed="8"/>
        <rFont val="宋体"/>
        <family val="3"/>
        <charset val="134"/>
      </rPr>
      <t>六通</t>
    </r>
    <phoneticPr fontId="87" type="noConversion"/>
  </si>
  <si>
    <r>
      <rPr>
        <sz val="10"/>
        <color indexed="8"/>
        <rFont val="宋体"/>
        <family val="3"/>
        <charset val="134"/>
      </rPr>
      <t>七通</t>
    </r>
    <phoneticPr fontId="87" type="noConversion"/>
  </si>
  <si>
    <r>
      <rPr>
        <sz val="10"/>
        <color indexed="8"/>
        <rFont val="宋体"/>
        <family val="3"/>
        <charset val="134"/>
      </rPr>
      <t>估价对象</t>
    </r>
    <phoneticPr fontId="87"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</si>
  <si>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</si>
  <si>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</si>
  <si>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</si>
  <si>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</si>
  <si>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</si>
  <si>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</si>
  <si>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</si>
  <si>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</si>
  <si>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</si>
  <si>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</si>
  <si>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</si>
  <si>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</si>
  <si>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</si>
  <si>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</si>
  <si>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</si>
  <si>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</si>
  <si>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</si>
  <si>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</si>
  <si>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</si>
  <si>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</si>
  <si>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</si>
  <si>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</si>
  <si>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</si>
  <si>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</si>
  <si>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</si>
  <si>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</si>
  <si>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</si>
  <si>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</si>
  <si>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39"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</si>
  <si>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</si>
  <si>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</si>
  <si>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</si>
  <si>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39"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</si>
  <si>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</si>
  <si>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</si>
  <si>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</si>
  <si>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</si>
  <si>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3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</si>
  <si>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</si>
  <si>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9"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</si>
  <si>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</si>
  <si>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</si>
  <si>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</si>
  <si>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</si>
  <si>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</si>
  <si>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</si>
  <si>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</si>
  <si>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</si>
  <si>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</si>
  <si>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</si>
  <si>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</si>
  <si>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</si>
  <si>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</si>
  <si>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</si>
  <si>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</si>
  <si>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</si>
  <si>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39"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</si>
  <si>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</si>
  <si>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</si>
  <si>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</si>
  <si>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</si>
  <si>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</si>
  <si>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</si>
  <si>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</si>
  <si>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</si>
  <si>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</si>
  <si>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</si>
  <si>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</si>
  <si>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</si>
  <si>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</si>
  <si>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</si>
  <si>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</si>
  <si>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</si>
  <si>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</si>
  <si>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</si>
  <si>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</si>
  <si>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</si>
  <si>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</si>
  <si>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</si>
  <si>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</si>
  <si>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</si>
  <si>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</si>
  <si>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</si>
  <si>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</si>
  <si>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</si>
  <si>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</si>
  <si>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</si>
  <si>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</si>
  <si>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</si>
  <si>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</si>
  <si>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</si>
  <si>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</si>
  <si>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</si>
  <si>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</si>
  <si>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</si>
  <si>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</si>
  <si>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</si>
  <si>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</si>
  <si>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</si>
  <si>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</si>
  <si>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</si>
  <si>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</si>
  <si>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</si>
  <si>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</si>
  <si>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</si>
  <si>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</si>
  <si>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</si>
  <si>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</si>
  <si>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</si>
  <si>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</si>
  <si>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</si>
  <si>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</si>
  <si>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</si>
  <si>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</si>
  <si>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</si>
  <si>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</si>
  <si>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</si>
  <si>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</si>
  <si>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</si>
  <si>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</si>
  <si>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</si>
  <si>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</si>
  <si>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</si>
  <si>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</si>
  <si>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</si>
  <si>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</si>
  <si>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</si>
  <si>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</si>
  <si>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</si>
  <si>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</si>
  <si>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</si>
  <si>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</si>
  <si>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</si>
  <si>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</si>
  <si>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</si>
  <si>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</si>
  <si>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</si>
  <si>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</si>
  <si>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</si>
  <si>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</si>
  <si>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</si>
  <si>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</si>
  <si>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</si>
  <si>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</si>
  <si>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</si>
  <si>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</si>
  <si>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</si>
  <si>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</si>
  <si>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</si>
  <si>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</si>
  <si>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</si>
  <si>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</si>
  <si>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</si>
  <si>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</si>
  <si>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</si>
  <si>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</si>
  <si>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</si>
  <si>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</si>
  <si>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</si>
  <si>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</si>
  <si>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</si>
  <si>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</si>
  <si>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</si>
  <si>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</si>
  <si>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</si>
  <si>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</si>
  <si>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</si>
  <si>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</si>
  <si>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</si>
  <si>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</si>
  <si>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</si>
  <si>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</si>
  <si>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</si>
  <si>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</si>
  <si>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</si>
  <si>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</si>
  <si>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</si>
  <si>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</si>
  <si>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</si>
  <si>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</si>
  <si>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</si>
  <si>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</si>
  <si>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</si>
  <si>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</si>
  <si>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</si>
  <si>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</si>
  <si>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</si>
  <si>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</si>
  <si>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</si>
  <si>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</si>
  <si>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</si>
  <si>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</si>
  <si>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</si>
  <si>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</si>
  <si>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</si>
  <si>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</si>
  <si>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</si>
  <si>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</si>
  <si>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</si>
  <si>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</si>
  <si>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</si>
  <si>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</si>
  <si>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</si>
  <si>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</si>
  <si>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</si>
  <si>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</si>
  <si>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</si>
  <si>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</si>
  <si>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</si>
  <si>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</si>
  <si>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</si>
  <si>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</si>
  <si>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1"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</si>
  <si>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</si>
  <si>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</si>
  <si>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</si>
  <si>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</si>
  <si>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</si>
  <si>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</si>
  <si>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</si>
  <si>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</si>
  <si>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</si>
  <si>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</si>
  <si>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</si>
  <si>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</si>
  <si>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</si>
  <si>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</si>
  <si>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</si>
  <si>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</si>
  <si>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</si>
  <si>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</si>
  <si>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</si>
  <si>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</si>
  <si>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</si>
  <si>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</si>
  <si>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</si>
  <si>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</si>
  <si>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</si>
  <si>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</si>
  <si>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</si>
  <si>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</si>
  <si>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</si>
  <si>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</si>
  <si>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</si>
  <si>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</si>
  <si>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</si>
  <si>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</si>
  <si>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</si>
  <si>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</si>
  <si>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</si>
  <si>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</si>
  <si>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</si>
  <si>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</si>
  <si>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</si>
  <si>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</si>
  <si>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</si>
  <si>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</si>
  <si>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</si>
  <si>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</si>
  <si>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</si>
  <si>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</si>
  <si>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</si>
  <si>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</si>
  <si>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</si>
  <si>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</si>
  <si>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</si>
  <si>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</si>
  <si>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</si>
  <si>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</si>
  <si>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</si>
  <si>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</si>
  <si>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</si>
  <si>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</si>
  <si>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</si>
  <si>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</si>
  <si>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</si>
  <si>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</si>
  <si>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</si>
  <si>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</si>
  <si>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</si>
  <si>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</si>
  <si>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</si>
  <si>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</si>
  <si>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</si>
  <si>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</si>
  <si>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</si>
  <si>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</si>
  <si>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</si>
  <si>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</si>
  <si>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</si>
  <si>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</si>
  <si>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</si>
  <si>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</si>
  <si>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</si>
  <si>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</si>
  <si>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</si>
  <si>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</si>
  <si>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</si>
  <si>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</si>
  <si>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</si>
  <si>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</si>
  <si>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</si>
  <si>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</si>
  <si>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</si>
  <si>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</si>
  <si>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</si>
  <si>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</si>
  <si>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</si>
  <si>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</si>
  <si>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</si>
  <si>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</si>
  <si>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</si>
  <si>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</si>
  <si>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</si>
  <si>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</si>
  <si>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</si>
  <si>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</si>
  <si>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</si>
  <si>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</si>
  <si>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</si>
  <si>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</si>
  <si>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</si>
  <si>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</si>
  <si>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</si>
  <si>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</si>
  <si>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</si>
  <si>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</si>
  <si>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</si>
  <si>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</si>
  <si>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</si>
  <si>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</si>
  <si>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</si>
  <si>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</si>
  <si>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</si>
  <si>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</si>
  <si>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</si>
  <si>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</si>
  <si>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</si>
  <si>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</si>
  <si>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</si>
  <si>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</si>
  <si>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</si>
  <si>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</si>
  <si>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</si>
  <si>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</si>
  <si>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</si>
  <si>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</si>
  <si>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</si>
  <si>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</si>
  <si>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</si>
  <si>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</si>
  <si>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</si>
  <si>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</si>
  <si>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</si>
  <si>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</si>
  <si>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</si>
  <si>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</si>
  <si>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</si>
  <si>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</si>
  <si>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</si>
  <si>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</si>
  <si>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</si>
  <si>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</si>
  <si>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</si>
  <si>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</si>
  <si>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</si>
  <si>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</si>
  <si>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</si>
  <si>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</si>
  <si>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</si>
  <si>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</si>
  <si>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</si>
  <si>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</si>
  <si>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</si>
  <si>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</si>
  <si>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</si>
  <si>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</si>
  <si>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</si>
  <si>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</si>
  <si>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</si>
  <si>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</si>
  <si>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</si>
  <si>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</si>
  <si>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</si>
  <si>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</si>
  <si>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</si>
  <si>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</si>
  <si>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</si>
  <si>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</si>
  <si>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</si>
  <si>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</si>
  <si>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</si>
  <si>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</si>
  <si>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</si>
  <si>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</si>
  <si>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</si>
  <si>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</si>
  <si>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</si>
  <si>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</si>
  <si>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</si>
  <si>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</si>
  <si>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</si>
  <si>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</si>
  <si>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</si>
  <si>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</si>
  <si>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</si>
  <si>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</si>
  <si>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</si>
  <si>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</si>
  <si>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</si>
  <si>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</si>
  <si>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</si>
  <si>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</si>
  <si>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</si>
  <si>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</si>
  <si>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</si>
  <si>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</si>
  <si>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</si>
  <si>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</si>
  <si>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</si>
  <si>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</si>
  <si>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</si>
  <si>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</si>
  <si>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</si>
  <si>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</si>
  <si>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</si>
  <si>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</si>
  <si>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</si>
  <si>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</si>
  <si>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</si>
  <si>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</si>
  <si>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</si>
  <si>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</si>
  <si>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</si>
  <si>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</si>
  <si>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</si>
  <si>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</si>
  <si>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</si>
  <si>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</si>
  <si>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</si>
  <si>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</si>
  <si>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</si>
  <si>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</si>
  <si>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</si>
  <si>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</si>
  <si>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</si>
  <si>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</si>
  <si>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</si>
  <si>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</si>
  <si>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</si>
  <si>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</si>
  <si>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</si>
  <si>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</si>
  <si>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</si>
  <si>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</si>
  <si>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</si>
  <si>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</si>
  <si>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</si>
  <si>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</si>
  <si>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</si>
  <si>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</si>
  <si>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</si>
  <si>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</si>
  <si>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</si>
  <si>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</si>
  <si>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</si>
  <si>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</si>
  <si>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</si>
  <si>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</si>
  <si>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</si>
  <si>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</si>
  <si>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</si>
  <si>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</si>
  <si>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</si>
  <si>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</si>
  <si>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</si>
  <si>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</si>
  <si>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</si>
  <si>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</si>
  <si>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</si>
  <si>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</si>
  <si>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</si>
  <si>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</si>
  <si>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</si>
  <si>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</si>
  <si>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</si>
  <si>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</si>
  <si>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</si>
  <si>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</si>
  <si>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</si>
  <si>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</si>
  <si>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</si>
  <si>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</si>
  <si>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</si>
  <si>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</si>
  <si>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</si>
  <si>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</si>
  <si>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</si>
  <si>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</si>
  <si>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</si>
  <si>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</si>
  <si>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</si>
  <si>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</si>
  <si>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</si>
  <si>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</si>
  <si>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</si>
  <si>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</si>
  <si>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</si>
  <si>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</si>
  <si>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</si>
  <si>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</si>
  <si>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</si>
  <si>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</si>
  <si>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</si>
  <si>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</si>
  <si>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</si>
  <si>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</si>
  <si>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</si>
  <si>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</si>
  <si>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</si>
  <si>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</si>
  <si>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</si>
  <si>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</si>
  <si>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</si>
  <si>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</si>
  <si>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</si>
  <si>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</si>
  <si>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</si>
  <si>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</si>
  <si>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</si>
  <si>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</si>
  <si>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</si>
  <si>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</si>
  <si>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</si>
  <si>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</si>
  <si>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</si>
  <si>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</si>
  <si>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</si>
  <si>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</si>
  <si>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</si>
  <si>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</si>
  <si>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</si>
  <si>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</si>
  <si>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</si>
  <si>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</si>
  <si>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</si>
  <si>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</si>
  <si>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</si>
  <si>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</si>
  <si>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</si>
  <si>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</si>
  <si>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</si>
  <si>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</si>
  <si>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</si>
  <si>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</si>
  <si>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</si>
  <si>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</si>
  <si>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</si>
  <si>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</si>
  <si>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</si>
  <si>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</si>
  <si>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</si>
  <si>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</si>
  <si>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</si>
  <si>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</si>
  <si>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</si>
  <si>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</si>
  <si>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</si>
  <si>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</si>
  <si>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</si>
  <si>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</si>
  <si>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</si>
  <si>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</si>
  <si>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</si>
  <si>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</si>
  <si>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</si>
  <si>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</si>
  <si>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</si>
  <si>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</si>
  <si>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</si>
  <si>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</si>
  <si>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</si>
  <si>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</si>
  <si>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</si>
  <si>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</si>
  <si>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</si>
  <si>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</si>
  <si>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</si>
  <si>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</si>
  <si>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</si>
  <si>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</si>
  <si>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</si>
  <si>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</si>
  <si>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</si>
  <si>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</si>
  <si>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</si>
  <si>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</si>
  <si>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</si>
  <si>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</si>
  <si>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</si>
  <si>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</si>
  <si>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</si>
  <si>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</si>
  <si>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</si>
  <si>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</si>
  <si>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</si>
  <si>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</si>
  <si>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</si>
  <si>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</si>
  <si>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</si>
  <si>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</si>
  <si>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</si>
  <si>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</si>
  <si>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</si>
  <si>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</si>
  <si>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</si>
  <si>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</si>
  <si>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</si>
  <si>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</si>
  <si>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</si>
  <si>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</si>
  <si>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</si>
  <si>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</si>
  <si>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</si>
  <si>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</si>
  <si>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</si>
  <si>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</si>
  <si>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</si>
  <si>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</si>
  <si>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</si>
  <si>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</si>
  <si>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</si>
  <si>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</si>
  <si>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</si>
  <si>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</si>
  <si>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</si>
  <si>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</si>
  <si>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</si>
  <si>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</si>
  <si>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</si>
  <si>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</si>
  <si>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</si>
  <si>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</si>
  <si>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</si>
  <si>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</si>
  <si>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</si>
  <si>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</si>
  <si>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</si>
  <si>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</si>
  <si>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</si>
  <si>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</si>
  <si>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</si>
  <si>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</si>
  <si>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</si>
  <si>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</si>
  <si>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</si>
  <si>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</si>
  <si>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</si>
  <si>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</si>
  <si>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</si>
  <si>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</si>
  <si>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</si>
  <si>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</si>
  <si>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</si>
  <si>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</si>
  <si>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</si>
  <si>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</si>
  <si>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</si>
  <si>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</si>
  <si>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</si>
  <si>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</si>
  <si>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</si>
  <si>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</si>
  <si>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</si>
  <si>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</si>
  <si>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</si>
  <si>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</si>
  <si>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</si>
  <si>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</si>
  <si>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</si>
  <si>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</si>
  <si>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</si>
  <si>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</si>
  <si>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</si>
  <si>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</si>
  <si>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</si>
  <si>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</si>
  <si>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</si>
  <si>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</si>
  <si>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</si>
  <si>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</si>
  <si>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</si>
  <si>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</si>
  <si>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</si>
  <si>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</si>
  <si>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</si>
  <si>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</si>
  <si>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</si>
  <si>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</si>
  <si>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</si>
  <si>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</si>
  <si>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</si>
  <si>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</si>
  <si>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</si>
  <si>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</si>
  <si>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</si>
  <si>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</si>
  <si>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</si>
  <si>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</si>
  <si>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</si>
  <si>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</si>
  <si>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</si>
  <si>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</si>
  <si>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</si>
  <si>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</si>
  <si>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</si>
  <si>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</si>
  <si>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</si>
  <si>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</si>
  <si>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</si>
  <si>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</si>
  <si>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</si>
  <si>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</si>
  <si>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</si>
  <si>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</si>
  <si>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</si>
  <si>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</si>
  <si>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</si>
  <si>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</si>
  <si>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</si>
  <si>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</si>
  <si>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</si>
  <si>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</si>
  <si>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</si>
  <si>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</si>
  <si>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</si>
  <si>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</si>
  <si>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</si>
  <si>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</si>
  <si>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</si>
  <si>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</si>
  <si>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</si>
  <si>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</si>
  <si>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</si>
  <si>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</si>
  <si>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</si>
  <si>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</si>
  <si>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</si>
  <si>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</si>
  <si>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</si>
  <si>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</si>
  <si>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</si>
  <si>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</si>
  <si>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</si>
  <si>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</si>
  <si>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</si>
  <si>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</si>
  <si>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</si>
  <si>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</si>
  <si>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</si>
  <si>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</si>
  <si>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</si>
  <si>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</si>
  <si>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</si>
  <si>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</si>
  <si>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</si>
  <si>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</si>
  <si>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</si>
  <si>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</si>
  <si>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</si>
  <si>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</si>
  <si>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</si>
  <si>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</si>
  <si>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</si>
  <si>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</si>
  <si>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</si>
  <si>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</si>
  <si>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</si>
  <si>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</si>
  <si>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</si>
  <si>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</si>
  <si>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</si>
  <si>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</si>
  <si>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</si>
  <si>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</si>
  <si>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</si>
  <si>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</si>
  <si>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</si>
  <si>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</si>
  <si>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</si>
  <si>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</si>
  <si>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</si>
  <si>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</si>
  <si>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</si>
  <si>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</si>
  <si>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</si>
  <si>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</si>
  <si>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</si>
  <si>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</si>
  <si>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</si>
  <si>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</si>
  <si>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</si>
  <si>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</si>
  <si>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</si>
  <si>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</si>
  <si>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</si>
  <si>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</si>
  <si>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</si>
  <si>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</si>
  <si>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</si>
  <si>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</si>
  <si>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</si>
  <si>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</si>
  <si>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</si>
  <si>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</si>
  <si>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</si>
  <si>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</si>
  <si>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</si>
  <si>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</si>
  <si>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</si>
  <si>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</si>
  <si>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</si>
  <si>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</si>
  <si>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</si>
  <si>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</si>
  <si>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</si>
  <si>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</si>
  <si>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</si>
  <si>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</si>
  <si>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</si>
  <si>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</si>
  <si>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</si>
  <si>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</si>
  <si>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</si>
  <si>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</si>
  <si>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</si>
  <si>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</si>
  <si>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</si>
  <si>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</si>
  <si>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</si>
  <si>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</si>
  <si>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</si>
  <si>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</si>
  <si>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</si>
  <si>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</si>
  <si>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</si>
  <si>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</si>
  <si>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</si>
  <si>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</si>
  <si>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</si>
  <si>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</si>
  <si>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</si>
  <si>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</si>
  <si>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</si>
  <si>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</si>
  <si>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</si>
  <si>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</si>
  <si>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</si>
  <si>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</si>
  <si>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</si>
  <si>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</si>
  <si>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</si>
  <si>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</si>
  <si>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</si>
  <si>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</si>
  <si>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</si>
  <si>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</si>
  <si>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</si>
  <si>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</si>
  <si>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</si>
  <si>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</si>
  <si>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</si>
  <si>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</si>
  <si>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</si>
  <si>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</si>
  <si>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</si>
  <si>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</si>
  <si>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</si>
  <si>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</si>
  <si>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</si>
  <si>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</si>
  <si>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</si>
  <si>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</si>
  <si>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</si>
  <si>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</si>
  <si>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</si>
  <si>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</si>
  <si>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</si>
  <si>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</si>
  <si>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</si>
  <si>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</si>
  <si>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</si>
  <si>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</si>
  <si>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</si>
  <si>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</si>
  <si>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</si>
  <si>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</si>
  <si>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</si>
  <si>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</si>
  <si>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</si>
  <si>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</si>
  <si>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</si>
  <si>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</si>
  <si>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</si>
  <si>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</si>
  <si>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</si>
  <si>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</si>
  <si>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</si>
  <si>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</si>
  <si>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</si>
  <si>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</si>
  <si>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</si>
  <si>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</si>
  <si>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</si>
  <si>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</si>
  <si>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</si>
  <si>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</si>
  <si>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</si>
  <si>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</si>
  <si>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</si>
  <si>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</si>
  <si>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</si>
  <si>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</si>
  <si>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</si>
  <si>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</si>
  <si>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</si>
  <si>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</si>
  <si>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</si>
  <si>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</si>
  <si>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</si>
  <si>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</si>
  <si>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</si>
  <si>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</si>
  <si>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</si>
  <si>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</si>
  <si>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</si>
  <si>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</si>
  <si>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</si>
  <si>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</si>
  <si>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</si>
  <si>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</si>
  <si>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</si>
  <si>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</si>
  <si>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</si>
  <si>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</si>
  <si>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</si>
  <si>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</si>
  <si>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</si>
  <si>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</si>
  <si>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</si>
  <si>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</si>
  <si>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</si>
  <si>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</si>
  <si>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</si>
  <si>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</si>
  <si>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</si>
  <si>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</si>
  <si>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</si>
  <si>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</si>
  <si>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</si>
  <si>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</si>
  <si>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</si>
  <si>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</si>
  <si>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</si>
  <si>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</si>
  <si>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</si>
  <si>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</si>
  <si>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</si>
  <si>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</si>
  <si>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</si>
  <si>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</si>
  <si>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</si>
  <si>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</si>
  <si>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</si>
  <si>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</si>
  <si>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</si>
  <si>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</si>
  <si>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</si>
  <si>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</si>
  <si>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</si>
  <si>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</si>
  <si>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</si>
  <si>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</si>
  <si>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</si>
  <si>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</si>
  <si>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</si>
  <si>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</si>
  <si>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</si>
  <si>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</si>
  <si>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</si>
  <si>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</si>
  <si>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</si>
  <si>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</si>
  <si>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</si>
  <si>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</si>
  <si>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</si>
  <si>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</si>
  <si>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</si>
  <si>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</si>
  <si>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</si>
  <si>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</si>
  <si>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</si>
  <si>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</si>
  <si>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</si>
  <si>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</si>
  <si>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</si>
  <si>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</si>
  <si>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</si>
  <si>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</si>
  <si>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</si>
  <si>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</si>
  <si>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</si>
  <si>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5" type="noConversion"/>
  </si>
  <si>
    <t>（3）</t>
    <phoneticPr fontId="7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</si>
  <si>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</si>
  <si>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</si>
  <si>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</si>
  <si>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5"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</si>
  <si>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</si>
  <si>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</si>
  <si>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5"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</si>
  <si>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</si>
  <si>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</si>
  <si>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</si>
  <si>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</si>
  <si>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</si>
  <si>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</si>
  <si>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</si>
  <si>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</si>
  <si>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5"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</si>
  <si>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</si>
  <si>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</si>
  <si>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</si>
  <si>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</si>
  <si>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</si>
  <si>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</si>
  <si>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5" type="noConversion"/>
  </si>
  <si>
    <t>公共服务</t>
    <phoneticPr fontId="75"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</si>
  <si>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</si>
  <si>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</si>
  <si>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</si>
  <si>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</si>
  <si>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</si>
  <si>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</si>
  <si>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</si>
  <si>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</si>
  <si>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</si>
  <si>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</si>
  <si>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</si>
  <si>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</si>
  <si>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</si>
  <si>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</si>
  <si>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</si>
  <si>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</si>
  <si>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</si>
  <si>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</si>
  <si>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</si>
  <si>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</si>
  <si>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</si>
  <si>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</si>
  <si>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</si>
  <si>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</si>
  <si>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</si>
  <si>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</si>
  <si>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</si>
  <si>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</si>
  <si>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</si>
  <si>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</si>
  <si>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</si>
  <si>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</si>
  <si>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</si>
  <si>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</si>
  <si>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</si>
  <si>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</si>
  <si>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</si>
  <si>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</si>
  <si>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</si>
  <si>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</si>
  <si>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</si>
  <si>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</si>
  <si>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</si>
  <si>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</si>
  <si>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</si>
  <si>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</si>
  <si>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</si>
  <si>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</si>
  <si>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</si>
  <si>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</si>
  <si>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</si>
  <si>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</si>
  <si>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</si>
  <si>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</si>
  <si>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</si>
  <si>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</si>
  <si>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</si>
  <si>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</si>
  <si>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</si>
  <si>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</si>
  <si>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</si>
  <si>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</si>
  <si>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</si>
  <si>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</si>
  <si>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</si>
  <si>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</si>
  <si>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</si>
  <si>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</si>
  <si>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</si>
  <si>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</si>
  <si>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</si>
  <si>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</si>
  <si>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</si>
  <si>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</si>
  <si>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</si>
  <si>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</si>
  <si>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</si>
  <si>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</si>
  <si>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</si>
  <si>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</si>
  <si>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</si>
  <si>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</si>
  <si>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</si>
  <si>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</si>
  <si>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</si>
  <si>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</si>
  <si>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</si>
  <si>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</si>
  <si>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</si>
  <si>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</si>
  <si>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</si>
  <si>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</si>
  <si>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</si>
  <si>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</si>
  <si>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</si>
  <si>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</si>
  <si>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</si>
  <si>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</si>
  <si>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</si>
  <si>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</si>
  <si>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</si>
  <si>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</si>
  <si>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</si>
  <si>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</si>
  <si>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</si>
  <si>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</si>
  <si>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</si>
  <si>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</si>
  <si>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</si>
  <si>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</si>
  <si>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</si>
  <si>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</si>
  <si>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</si>
  <si>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</si>
  <si>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</si>
  <si>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</si>
  <si>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</si>
  <si>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</si>
  <si>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企业</t>
  </si>
  <si>
    <t>名称</t>
  </si>
  <si>
    <t>层数</t>
  </si>
  <si>
    <t>建筑面积</t>
  </si>
  <si>
    <t>套内面积</t>
  </si>
  <si>
    <t>规划用途</t>
  </si>
  <si>
    <t>地上/地下</t>
  </si>
  <si>
    <t>人防</t>
  </si>
  <si>
    <t>地下</t>
  </si>
  <si>
    <t>总建面(含人防）</t>
  </si>
  <si>
    <t>人防面积</t>
  </si>
  <si>
    <t>产权证面积</t>
  </si>
  <si>
    <t>地上产权面积</t>
  </si>
  <si>
    <t>地下产权面积</t>
  </si>
  <si>
    <t>地上</t>
  </si>
  <si>
    <t>共有宗地面积</t>
    <phoneticPr fontId="133" type="noConversion"/>
  </si>
  <si>
    <t>宗地出让面积</t>
    <phoneticPr fontId="133" type="noConversion"/>
  </si>
  <si>
    <t>出让宗地规划总建筑面积</t>
    <phoneticPr fontId="133" type="noConversion"/>
  </si>
  <si>
    <t>地上规划建筑建筑面积</t>
    <phoneticPr fontId="133" type="noConversion"/>
  </si>
  <si>
    <t>地下规划建筑建筑面积</t>
    <phoneticPr fontId="133" type="noConversion"/>
  </si>
  <si>
    <t>土地使用权出让金</t>
    <phoneticPr fontId="133" type="noConversion"/>
  </si>
  <si>
    <t>土地出让合同</t>
    <phoneticPr fontId="133" type="noConversion"/>
  </si>
  <si>
    <t>商业</t>
    <phoneticPr fontId="133" type="noConversion"/>
  </si>
  <si>
    <t>地下车库</t>
    <phoneticPr fontId="133" type="noConversion"/>
  </si>
  <si>
    <t>设备</t>
    <phoneticPr fontId="133" type="noConversion"/>
  </si>
  <si>
    <t>人防</t>
    <phoneticPr fontId="133" type="noConversion"/>
  </si>
  <si>
    <t>变更</t>
    <phoneticPr fontId="133" type="noConversion"/>
  </si>
  <si>
    <t>地下仓储</t>
    <phoneticPr fontId="133" type="noConversion"/>
  </si>
  <si>
    <t>地下办公-物业管理用房</t>
    <phoneticPr fontId="133" type="noConversion"/>
  </si>
  <si>
    <t>补充协议</t>
    <phoneticPr fontId="133" type="noConversion"/>
  </si>
  <si>
    <t>原合同</t>
    <phoneticPr fontId="133" type="noConversion"/>
  </si>
  <si>
    <t>设备用房</t>
    <phoneticPr fontId="133" type="noConversion"/>
  </si>
  <si>
    <t>自行车库</t>
    <phoneticPr fontId="133" type="noConversion"/>
  </si>
  <si>
    <t>地上容积率</t>
    <phoneticPr fontId="133" type="noConversion"/>
  </si>
  <si>
    <t>计容容积率</t>
    <phoneticPr fontId="133" type="noConversion"/>
  </si>
  <si>
    <t>B座分摊土地面积</t>
    <phoneticPr fontId="133" type="noConversion"/>
  </si>
  <si>
    <t>A座分摊土地面积</t>
    <phoneticPr fontId="133" type="noConversion"/>
  </si>
  <si>
    <t>与共有宗地面积差额</t>
    <phoneticPr fontId="133" type="noConversion"/>
  </si>
  <si>
    <t>是</t>
  </si>
  <si>
    <t>地上商业及附属设施</t>
  </si>
  <si>
    <t>地上商业及附属设施</t>
    <phoneticPr fontId="16" type="noConversion"/>
  </si>
  <si>
    <t>地上商业+附属设施</t>
    <phoneticPr fontId="133" type="noConversion"/>
  </si>
  <si>
    <t>合计</t>
  </si>
  <si>
    <t>单价</t>
    <phoneticPr fontId="133" type="noConversion"/>
  </si>
  <si>
    <t>现值</t>
  </si>
  <si>
    <t>折现系数</t>
  </si>
  <si>
    <t>折现期</t>
  </si>
  <si>
    <t>折现率</t>
  </si>
  <si>
    <t>净收益</t>
  </si>
  <si>
    <t>印花税</t>
  </si>
  <si>
    <t>房产税</t>
  </si>
  <si>
    <t>增值税附加合计</t>
    <phoneticPr fontId="133" type="noConversion"/>
  </si>
  <si>
    <t>地方教育费附加（2%）</t>
  </si>
  <si>
    <t>教育费附加（3%）</t>
  </si>
  <si>
    <t>城市维护建设税（7%）</t>
  </si>
  <si>
    <t>保险费</t>
  </si>
  <si>
    <t>项目</t>
  </si>
  <si>
    <t>序号</t>
  </si>
  <si>
    <t>单位：万元</t>
  </si>
  <si>
    <t>净收益预测（万元）</t>
  </si>
  <si>
    <t>租期内租金收入（元）</t>
  </si>
  <si>
    <t>空置率</t>
  </si>
  <si>
    <t>租金收入（元）</t>
  </si>
  <si>
    <t>租赁到期日</t>
  </si>
  <si>
    <t>租赁起始日</t>
  </si>
  <si>
    <t>单价（元/平方米/日）</t>
  </si>
  <si>
    <t>2044年租金收入</t>
  </si>
  <si>
    <t>2043年租金收入</t>
  </si>
  <si>
    <t>2042年租金收入</t>
  </si>
  <si>
    <t>2041年租金收入</t>
  </si>
  <si>
    <t>2040年租金收入</t>
  </si>
  <si>
    <t>2039年租金收入</t>
  </si>
  <si>
    <t>2038年租金收入</t>
  </si>
  <si>
    <t>2037年租金收入</t>
  </si>
  <si>
    <t>2036年租金收入</t>
  </si>
  <si>
    <t>2035年租金收入</t>
  </si>
  <si>
    <t>2034年租金收入</t>
  </si>
  <si>
    <t>2033年租期内租金收入</t>
  </si>
  <si>
    <t>2032年租期内租金收入</t>
  </si>
  <si>
    <t>2031年租期内租金收入</t>
  </si>
  <si>
    <t>2030年租期内租金收入</t>
  </si>
  <si>
    <t>2029年租期内租金收入</t>
  </si>
  <si>
    <t>2028年租期内租金收入</t>
  </si>
  <si>
    <t>2027年租期内租金收入</t>
  </si>
  <si>
    <t>2026年租期内租金收入</t>
  </si>
  <si>
    <t>2025年租期内租金收入</t>
  </si>
  <si>
    <t>2024年租期内租金收入</t>
  </si>
  <si>
    <t>合同信息</t>
  </si>
  <si>
    <t>截止日期</t>
    <phoneticPr fontId="133" type="noConversion"/>
  </si>
  <si>
    <t>开始日期</t>
    <phoneticPr fontId="133" type="noConversion"/>
  </si>
  <si>
    <t>品牌简称</t>
  </si>
  <si>
    <t>铺号</t>
  </si>
  <si>
    <t>楼层</t>
  </si>
  <si>
    <t>起租日</t>
    <phoneticPr fontId="133" type="noConversion"/>
  </si>
  <si>
    <t>租赁范围</t>
    <phoneticPr fontId="133" type="noConversion"/>
  </si>
  <si>
    <t>地下1层至地上6层</t>
    <phoneticPr fontId="133" type="noConversion"/>
  </si>
  <si>
    <t>租赁面积</t>
  </si>
  <si>
    <t>租赁面积</t>
    <phoneticPr fontId="133" type="noConversion"/>
  </si>
  <si>
    <t>租赁期间</t>
  </si>
  <si>
    <t>含税年租金（元）</t>
  </si>
  <si>
    <t>不含税年租金（元）</t>
  </si>
  <si>
    <t>地上2层至地上6层（F2-F6）租金明细</t>
  </si>
  <si>
    <t>第一个计租年度</t>
  </si>
  <si>
    <t>第二个计租年度</t>
  </si>
  <si>
    <t>第三个计租年度</t>
  </si>
  <si>
    <t>第四个计租年度</t>
  </si>
  <si>
    <t>地上1层（F1）租金明细</t>
  </si>
  <si>
    <t>地下1层（B1）租金明细</t>
  </si>
  <si>
    <t>含税单价（元/平方米/月）</t>
    <phoneticPr fontId="133" type="noConversion"/>
  </si>
  <si>
    <t>不含税单价（元/平方米/月）</t>
    <phoneticPr fontId="133" type="noConversion"/>
  </si>
  <si>
    <t>年度</t>
    <phoneticPr fontId="133" type="noConversion"/>
  </si>
  <si>
    <t>不含税单价（元/平方米/日）</t>
    <phoneticPr fontId="133" type="noConversion"/>
  </si>
  <si>
    <t>-1至6层（含夹层）</t>
    <phoneticPr fontId="133" type="noConversion"/>
  </si>
  <si>
    <t>租期</t>
    <phoneticPr fontId="133" type="noConversion"/>
  </si>
  <si>
    <t>截止日</t>
    <phoneticPr fontId="133" type="noConversion"/>
  </si>
  <si>
    <t>面积/个数</t>
    <phoneticPr fontId="133" type="noConversion"/>
  </si>
  <si>
    <t>租金</t>
  </si>
  <si>
    <t>单价（元/个/月）</t>
    <phoneticPr fontId="133" type="noConversion"/>
  </si>
  <si>
    <t>楼层</t>
    <phoneticPr fontId="133" type="noConversion"/>
  </si>
  <si>
    <t>空置率</t>
    <phoneticPr fontId="133" type="noConversion"/>
  </si>
  <si>
    <t>租金增长率</t>
    <phoneticPr fontId="133" type="noConversion"/>
  </si>
  <si>
    <t>租金单价</t>
    <phoneticPr fontId="133" type="noConversion"/>
  </si>
  <si>
    <t>元/平方米/日</t>
    <phoneticPr fontId="133" type="noConversion"/>
  </si>
  <si>
    <t>元/个/月</t>
    <phoneticPr fontId="133" type="noConversion"/>
  </si>
  <si>
    <t>2044年租金收入</t>
    <phoneticPr fontId="133" type="noConversion"/>
  </si>
  <si>
    <t>租金收入</t>
    <phoneticPr fontId="133" type="noConversion"/>
  </si>
  <si>
    <t>租赁收入合计（不含税）</t>
    <phoneticPr fontId="133" type="noConversion"/>
  </si>
  <si>
    <t>运营费用合计（不含税）</t>
    <phoneticPr fontId="133" type="noConversion"/>
  </si>
  <si>
    <t>费率/税率</t>
    <phoneticPr fontId="133" type="noConversion"/>
  </si>
  <si>
    <t>管理费</t>
    <phoneticPr fontId="133" type="noConversion"/>
  </si>
  <si>
    <t>维修费</t>
    <phoneticPr fontId="133" type="noConversion"/>
  </si>
  <si>
    <t>土地税</t>
    <phoneticPr fontId="133" type="noConversion"/>
  </si>
  <si>
    <t>租赁收入合计</t>
    <phoneticPr fontId="133" type="noConversion"/>
  </si>
  <si>
    <t>保险合同</t>
    <phoneticPr fontId="133" type="noConversion"/>
  </si>
  <si>
    <t>增值税率</t>
    <phoneticPr fontId="133" type="noConversion"/>
  </si>
  <si>
    <t>三个月含税年度租金水平</t>
    <phoneticPr fontId="133" type="noConversion"/>
  </si>
  <si>
    <t>押金利息收入（不含车位）</t>
    <phoneticPr fontId="133" type="noConversion"/>
  </si>
  <si>
    <t>产权车位个数</t>
    <phoneticPr fontId="133" type="noConversion"/>
  </si>
  <si>
    <t>押金利息收入</t>
    <phoneticPr fontId="133" type="noConversion"/>
  </si>
  <si>
    <t>收益法现值合计</t>
    <phoneticPr fontId="133" type="noConversion"/>
  </si>
  <si>
    <t>项目名称</t>
  </si>
  <si>
    <t>单价（元/平方米）</t>
  </si>
  <si>
    <t>内容</t>
    <phoneticPr fontId="133" type="noConversion"/>
  </si>
  <si>
    <t>费率</t>
  </si>
  <si>
    <t>建安工程造价</t>
  </si>
  <si>
    <t>综合单价</t>
  </si>
  <si>
    <t>红线内市政</t>
  </si>
  <si>
    <t>按建安工程造价的5%</t>
    <phoneticPr fontId="133" type="noConversion"/>
  </si>
  <si>
    <t>建造成本</t>
  </si>
  <si>
    <t>前二项之和</t>
  </si>
  <si>
    <t>管理费用</t>
  </si>
  <si>
    <t>按建安工程造价的2%计</t>
    <phoneticPr fontId="133" type="noConversion"/>
  </si>
  <si>
    <t>专业人士费用</t>
  </si>
  <si>
    <t>按建造成本的2%计</t>
    <phoneticPr fontId="133" type="noConversion"/>
  </si>
  <si>
    <t>小计</t>
  </si>
  <si>
    <t>前三项之和</t>
  </si>
  <si>
    <t>贷款利息</t>
  </si>
  <si>
    <t>建设期按2年计</t>
    <phoneticPr fontId="133" type="noConversion"/>
  </si>
  <si>
    <t>利润</t>
  </si>
  <si>
    <t>按小计的10%计取</t>
    <phoneticPr fontId="133" type="noConversion"/>
  </si>
  <si>
    <t>建安综合成本</t>
  </si>
  <si>
    <t>百位取整</t>
    <phoneticPr fontId="3" type="noConversion"/>
  </si>
  <si>
    <t>项目</t>
    <phoneticPr fontId="133" type="noConversion"/>
  </si>
  <si>
    <t>评估基准日</t>
    <phoneticPr fontId="133" type="noConversion"/>
  </si>
  <si>
    <t>房屋重置单价</t>
    <phoneticPr fontId="133" type="noConversion"/>
  </si>
  <si>
    <t>建筑面积</t>
    <phoneticPr fontId="133" type="noConversion"/>
  </si>
  <si>
    <t>土地终止日期</t>
    <phoneticPr fontId="133" type="noConversion"/>
  </si>
  <si>
    <t>土地剩余年限</t>
    <phoneticPr fontId="133" type="noConversion"/>
  </si>
  <si>
    <t>房屋建成年代</t>
    <phoneticPr fontId="133" type="noConversion"/>
  </si>
  <si>
    <t>房屋残值现值</t>
    <phoneticPr fontId="133" type="noConversion"/>
  </si>
  <si>
    <t>房屋重置全新价（万元）</t>
    <phoneticPr fontId="133" type="noConversion"/>
  </si>
  <si>
    <t>土地到期时房屋使用年限</t>
    <phoneticPr fontId="133" type="noConversion"/>
  </si>
  <si>
    <t>土地到期时房屋剩余年限</t>
    <phoneticPr fontId="133" type="noConversion"/>
  </si>
  <si>
    <t>土地到期时房屋成新率</t>
    <phoneticPr fontId="133" type="noConversion"/>
  </si>
  <si>
    <t>基准日房屋年限成新率</t>
    <phoneticPr fontId="133" type="noConversion"/>
  </si>
  <si>
    <t>基准日房屋观察成新率</t>
    <phoneticPr fontId="133" type="noConversion"/>
  </si>
  <si>
    <t>综合成新率</t>
    <phoneticPr fontId="133" type="noConversion"/>
  </si>
  <si>
    <t>单价（元/平方米）</t>
    <phoneticPr fontId="133" type="noConversion"/>
  </si>
  <si>
    <t>收益法总值</t>
    <phoneticPr fontId="133" type="noConversion"/>
  </si>
  <si>
    <t>收益期外现值（万元）</t>
    <phoneticPr fontId="133" type="noConversion"/>
  </si>
  <si>
    <t>比较法-办公</t>
  </si>
  <si>
    <t>收益法</t>
  </si>
  <si>
    <t>现房</t>
  </si>
  <si>
    <t>项目全部</t>
  </si>
  <si>
    <t>主体竣工备案表</t>
    <phoneticPr fontId="133" type="noConversion"/>
  </si>
  <si>
    <t>项目模式</t>
  </si>
  <si>
    <t>售价</t>
  </si>
  <si>
    <t>正常</t>
  </si>
  <si>
    <t>商业</t>
    <phoneticPr fontId="31" type="noConversion"/>
  </si>
  <si>
    <t>较好</t>
  </si>
  <si>
    <t>七通</t>
  </si>
  <si>
    <t>城市次干道-七圣北路</t>
    <phoneticPr fontId="31" type="noConversion"/>
  </si>
  <si>
    <t>城市高速路</t>
  </si>
  <si>
    <t>城市快速路</t>
  </si>
  <si>
    <t>城市主干道</t>
  </si>
  <si>
    <t>城市次干道</t>
  </si>
  <si>
    <t>城市支路</t>
  </si>
  <si>
    <t>较好</t>
    <phoneticPr fontId="133" type="noConversion"/>
  </si>
  <si>
    <t>一般</t>
    <phoneticPr fontId="133" type="noConversion"/>
  </si>
  <si>
    <t>超高层办公楼</t>
    <phoneticPr fontId="133" type="noConversion"/>
  </si>
  <si>
    <t>高层办公楼</t>
    <phoneticPr fontId="133" type="noConversion"/>
  </si>
  <si>
    <t>多层办公楼</t>
    <phoneticPr fontId="133" type="noConversion"/>
  </si>
  <si>
    <t>钢混</t>
  </si>
  <si>
    <t>钢混</t>
    <phoneticPr fontId="31" type="noConversion"/>
  </si>
  <si>
    <t>精装修</t>
  </si>
  <si>
    <t>精装修</t>
    <phoneticPr fontId="31" type="noConversion"/>
  </si>
  <si>
    <t>甲级</t>
  </si>
  <si>
    <t>甲级</t>
    <phoneticPr fontId="31" type="noConversion"/>
  </si>
  <si>
    <t>乙级</t>
    <phoneticPr fontId="31" type="noConversion"/>
  </si>
  <si>
    <t>物业公司管理</t>
  </si>
  <si>
    <t>物业公司管理</t>
    <phoneticPr fontId="31" type="noConversion"/>
  </si>
  <si>
    <t>六通</t>
  </si>
  <si>
    <t>五通</t>
  </si>
  <si>
    <t>普通装修</t>
  </si>
  <si>
    <t>简单装修</t>
  </si>
  <si>
    <t>毛坯</t>
  </si>
  <si>
    <t>多层办公楼</t>
  </si>
  <si>
    <t>朝阳区朝阳门南大街10号</t>
    <phoneticPr fontId="3" type="noConversion"/>
  </si>
  <si>
    <t>东直门南大街1号</t>
    <phoneticPr fontId="3" type="noConversion"/>
  </si>
  <si>
    <t>朝阳区建国路118号</t>
    <phoneticPr fontId="3" type="noConversion"/>
  </si>
  <si>
    <t>一般</t>
  </si>
  <si>
    <t>城市次干道-骆驼湾街</t>
    <phoneticPr fontId="31" type="noConversion"/>
  </si>
  <si>
    <t>超高层办公楼</t>
  </si>
  <si>
    <t>计价面积</t>
    <phoneticPr fontId="133" type="noConversion"/>
  </si>
  <si>
    <t>时间</t>
    <phoneticPr fontId="133" type="noConversion"/>
  </si>
  <si>
    <t>卖方</t>
    <phoneticPr fontId="133" type="noConversion"/>
  </si>
  <si>
    <t>买方</t>
    <phoneticPr fontId="133" type="noConversion"/>
  </si>
  <si>
    <t>中国金融出版社中心</t>
    <phoneticPr fontId="133" type="noConversion"/>
  </si>
  <si>
    <t>2022-4</t>
    <phoneticPr fontId="133" type="noConversion"/>
  </si>
  <si>
    <t>资产交易</t>
    <phoneticPr fontId="133" type="noConversion"/>
  </si>
  <si>
    <t>华润</t>
    <phoneticPr fontId="133" type="noConversion"/>
  </si>
  <si>
    <t>中国金融出版社</t>
    <phoneticPr fontId="133" type="noConversion"/>
  </si>
  <si>
    <t>通用时代中心B、C座</t>
    <phoneticPr fontId="133" type="noConversion"/>
  </si>
  <si>
    <t>境内股权交易</t>
    <phoneticPr fontId="133" type="noConversion"/>
  </si>
  <si>
    <t>中国通用技术集团</t>
    <phoneticPr fontId="133" type="noConversion"/>
  </si>
  <si>
    <t>国寿资本</t>
    <phoneticPr fontId="133" type="noConversion"/>
  </si>
  <si>
    <t>20-30（年）</t>
    <phoneticPr fontId="31" type="noConversion"/>
  </si>
  <si>
    <t>房屋状态</t>
    <phoneticPr fontId="31" type="noConversion"/>
  </si>
  <si>
    <t>现房</t>
    <phoneticPr fontId="31" type="noConversion"/>
  </si>
  <si>
    <t>期房</t>
    <phoneticPr fontId="31" type="noConversion"/>
  </si>
  <si>
    <t>高层办公楼</t>
  </si>
  <si>
    <r>
      <rPr>
        <sz val="11"/>
        <rFont val="SimSun"/>
        <family val="3"/>
        <charset val="134"/>
      </rPr>
      <t>城市主干道</t>
    </r>
    <r>
      <rPr>
        <sz val="11"/>
        <rFont val="Arial"/>
        <family val="2"/>
      </rPr>
      <t>—</t>
    </r>
    <r>
      <rPr>
        <sz val="11"/>
        <rFont val="SimSun"/>
        <family val="3"/>
        <charset val="134"/>
      </rPr>
      <t>右安门外大街</t>
    </r>
    <phoneticPr fontId="31" type="noConversion"/>
  </si>
  <si>
    <r>
      <t>40-50</t>
    </r>
    <r>
      <rPr>
        <sz val="11"/>
        <color rgb="FF000000"/>
        <rFont val="SimSun"/>
        <family val="3"/>
        <charset val="134"/>
      </rPr>
      <t>（年）</t>
    </r>
    <phoneticPr fontId="31" type="noConversion"/>
  </si>
  <si>
    <t>https://www.xzlsd.com/office_detail/1653.html</t>
    <phoneticPr fontId="133" type="noConversion"/>
  </si>
  <si>
    <t>https://www.xzlsd.com/office_detail/534.html</t>
    <phoneticPr fontId="133" type="noConversion"/>
  </si>
  <si>
    <t>https://www.xzlsd.com/office_detail/3444.html</t>
    <phoneticPr fontId="133" type="noConversion"/>
  </si>
  <si>
    <t>https://www.xzlsd.com/office_detail/2028.html</t>
    <phoneticPr fontId="133" type="noConversion"/>
  </si>
  <si>
    <t>商业用房平均每层面积</t>
    <phoneticPr fontId="133" type="noConversion"/>
  </si>
  <si>
    <t>凤凰置地广场</t>
    <phoneticPr fontId="133" type="noConversion"/>
  </si>
  <si>
    <t>启皓大厦</t>
    <phoneticPr fontId="133" type="noConversion"/>
  </si>
  <si>
    <t>环球贸易中心</t>
    <phoneticPr fontId="133" type="noConversion"/>
  </si>
  <si>
    <r>
      <t>30-40</t>
    </r>
    <r>
      <rPr>
        <sz val="11"/>
        <color rgb="FF000000"/>
        <rFont val="SimSun"/>
        <family val="3"/>
        <charset val="134"/>
      </rPr>
      <t>（年）</t>
    </r>
    <phoneticPr fontId="31" type="noConversion"/>
  </si>
  <si>
    <r>
      <rPr>
        <sz val="11"/>
        <rFont val="Arial"/>
        <family val="3"/>
      </rPr>
      <t>城市次干道</t>
    </r>
    <r>
      <rPr>
        <sz val="11"/>
        <rFont val="Arial"/>
        <family val="2"/>
      </rPr>
      <t>-新源南路</t>
    </r>
    <phoneticPr fontId="31" type="noConversion"/>
  </si>
  <si>
    <r>
      <rPr>
        <sz val="11"/>
        <rFont val="SimSun"/>
        <family val="3"/>
        <charset val="134"/>
      </rPr>
      <t>城市主干道</t>
    </r>
    <r>
      <rPr>
        <sz val="11"/>
        <rFont val="Arial"/>
        <family val="2"/>
      </rPr>
      <t>—京密路</t>
    </r>
    <phoneticPr fontId="31" type="noConversion"/>
  </si>
  <si>
    <t>单套模式</t>
  </si>
  <si>
    <t>元/车位</t>
  </si>
  <si>
    <t>华瑞大厦</t>
    <phoneticPr fontId="133" type="noConversion"/>
  </si>
  <si>
    <t>城市快速路-北三环</t>
    <phoneticPr fontId="31" type="noConversion"/>
  </si>
  <si>
    <t>较充足</t>
    <phoneticPr fontId="31" type="noConversion"/>
  </si>
  <si>
    <t>一般</t>
    <phoneticPr fontId="31" type="noConversion"/>
  </si>
  <si>
    <t>一般</t>
    <phoneticPr fontId="31" type="noConversion"/>
  </si>
  <si>
    <t>一般</t>
    <phoneticPr fontId="31" type="noConversion"/>
  </si>
  <si>
    <t>较充足</t>
    <phoneticPr fontId="31" type="noConversion"/>
  </si>
  <si>
    <t>A座</t>
  </si>
  <si>
    <t>现状用途</t>
  </si>
  <si>
    <t>商业配套</t>
  </si>
  <si>
    <t>合计</t>
    <phoneticPr fontId="133" type="noConversion"/>
  </si>
  <si>
    <t>地下车库-整体出租部分</t>
  </si>
  <si>
    <t>地下车库-整体出租部分</t>
    <phoneticPr fontId="16" type="noConversion"/>
  </si>
  <si>
    <t>旭宇</t>
    <phoneticPr fontId="8" type="noConversion"/>
  </si>
  <si>
    <t>德臣</t>
    <phoneticPr fontId="8" type="noConversion"/>
  </si>
  <si>
    <t>-2停车位</t>
    <phoneticPr fontId="1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</si>
</sst>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3" formatCode="_ * #,##0.00_ ;_ * \-#,##0.00_ ;_ * &quot;-&quot;??_ ;_ @_ "/>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 numFmtId="197" formatCode="#,##0.00_ "/>
    <numFmt numFmtId="198" formatCode="_ * #,##0_ ;_ * \-#,##0_ ;_ * &quot;-&quot;??_ ;_ @_ "/>
    <numFmt numFmtId="199" formatCode="_ * #,##0.0000_ ;_ * \-#,##0.0000_ ;_ * &quot;-&quot;??_ ;_ @_ "/>
    <numFmt numFmtId="200" formatCode="#,##0_ "/>
    <numFmt numFmtId="201" formatCode="_-* #,##0_-;\-* #,##0_-;_-* &quot;-&quot;??_-;_-@_-"/>
    <numFmt numFmtId="202" formatCode="_ * #,##0.000_ ;_ * \-#,##0.000_ ;_ * &quot;-&quot;??_ ;_ @_ "/>
    <numFmt numFmtId="203" formatCode="_(* #,##0_);_(* \(#,##0\);_(* &quot;-&quot;??_);_(@_)"/>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000000"/>
      <name val="宋体"/>
      <family val="3"/>
      <charset val="134"/>
    </font>
    <font>
      <sz val="9"/>
      <color rgb="FF000000"/>
      <name val="宋体"/>
      <family val="3"/>
      <charset val="134"/>
    </font>
    <font>
      <sz val="9"/>
      <color rgb="FFFF0000"/>
      <name val="宋体"/>
      <family val="3"/>
      <charset val="134"/>
      <scheme val="minor"/>
    </font>
    <font>
      <b/>
      <sz val="11"/>
      <color rgb="FF000000"/>
      <name val="宋体"/>
      <family val="3"/>
      <charset val="134"/>
    </font>
    <font>
      <sz val="8"/>
      <color theme="1"/>
      <name val="宋体"/>
      <family val="3"/>
      <charset val="134"/>
      <scheme val="minor"/>
    </font>
    <font>
      <sz val="10"/>
      <name val="Frutiger 45 Light"/>
      <family val="1"/>
    </font>
    <font>
      <b/>
      <sz val="9"/>
      <name val="宋体"/>
      <family val="3"/>
      <charset val="134"/>
      <scheme val="minor"/>
    </font>
    <font>
      <u/>
      <sz val="11"/>
      <color theme="10"/>
      <name val="宋体"/>
      <family val="3"/>
      <charset val="134"/>
      <scheme val="minor"/>
    </font>
    <font>
      <b/>
      <sz val="9"/>
      <color rgb="FF000000"/>
      <name val="宋体"/>
      <family val="3"/>
      <charset val="134"/>
    </font>
    <font>
      <b/>
      <sz val="20"/>
      <color theme="1"/>
      <name val="宋体"/>
      <family val="3"/>
      <charset val="134"/>
      <scheme val="minor"/>
    </font>
    <font>
      <sz val="6"/>
      <color rgb="FFFFFFFF"/>
      <name val="CIDFont+F1"/>
    </font>
    <font>
      <sz val="6"/>
      <color theme="1"/>
      <name val="CIDFont+F2"/>
    </font>
    <font>
      <sz val="11"/>
      <color rgb="FF000000"/>
      <name val="SimSun"/>
      <family val="3"/>
      <charset val="134"/>
    </font>
    <font>
      <sz val="11"/>
      <name val="SimSun"/>
      <family val="3"/>
      <charset val="134"/>
    </font>
    <font>
      <sz val="11"/>
      <name val="Arial"/>
      <family val="3"/>
      <charset val="134"/>
    </font>
    <font>
      <sz val="11"/>
      <name val="Arial"/>
      <family val="3"/>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4">
    <xf numFmtId="0" fontId="0" fillId="0" borderId="0">
      <alignment vertical="center"/>
    </xf>
    <xf numFmtId="0" fontId="94" fillId="0" borderId="0">
      <alignment vertical="center"/>
    </xf>
    <xf numFmtId="0" fontId="94" fillId="0" borderId="0"/>
    <xf numFmtId="0" fontId="94" fillId="0" borderId="0">
      <alignment vertical="center"/>
    </xf>
    <xf numFmtId="0" fontId="36" fillId="0" borderId="0"/>
    <xf numFmtId="0" fontId="94" fillId="0" borderId="0">
      <alignment vertical="center"/>
    </xf>
    <xf numFmtId="0" fontId="94" fillId="0" borderId="0"/>
    <xf numFmtId="0" fontId="94" fillId="0" borderId="0">
      <alignment vertical="center"/>
    </xf>
    <xf numFmtId="0" fontId="94" fillId="0" borderId="0">
      <alignment vertical="center"/>
    </xf>
    <xf numFmtId="0" fontId="2" fillId="0" borderId="0">
      <alignment vertical="center"/>
    </xf>
    <xf numFmtId="0" fontId="94"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4" fillId="0" borderId="0">
      <alignment vertical="center"/>
    </xf>
    <xf numFmtId="0" fontId="1" fillId="0" borderId="0">
      <alignment vertical="center"/>
    </xf>
    <xf numFmtId="9" fontId="243" fillId="0" borderId="0" applyFont="0" applyFill="0" applyBorder="0" applyAlignment="0" applyProtection="0">
      <alignment vertical="center"/>
    </xf>
    <xf numFmtId="193" fontId="94" fillId="0" borderId="0">
      <alignment vertical="center"/>
    </xf>
    <xf numFmtId="176" fontId="267" fillId="0" borderId="0" applyFont="0" applyFill="0" applyBorder="0" applyAlignment="0" applyProtection="0">
      <alignment vertical="center"/>
    </xf>
    <xf numFmtId="0" fontId="146" fillId="0" borderId="0"/>
    <xf numFmtId="43" fontId="94" fillId="0" borderId="0" applyFont="0" applyFill="0" applyBorder="0" applyAlignment="0" applyProtection="0">
      <alignment vertical="center"/>
    </xf>
    <xf numFmtId="9" fontId="146" fillId="0" borderId="0" applyFont="0" applyFill="0" applyBorder="0" applyAlignment="0" applyProtection="0">
      <alignment vertical="center"/>
    </xf>
    <xf numFmtId="9" fontId="94" fillId="0" borderId="0" applyFont="0" applyFill="0" applyBorder="0" applyAlignment="0" applyProtection="0">
      <alignment vertical="center"/>
    </xf>
    <xf numFmtId="0" fontId="94" fillId="0" borderId="0">
      <alignment vertical="center"/>
    </xf>
    <xf numFmtId="0" fontId="273" fillId="0" borderId="0" applyNumberFormat="0" applyFill="0">
      <alignment vertical="center"/>
    </xf>
    <xf numFmtId="0" fontId="94" fillId="0" borderId="0"/>
    <xf numFmtId="0" fontId="146" fillId="0" borderId="0"/>
    <xf numFmtId="9" fontId="94" fillId="0" borderId="0" applyFont="0" applyFill="0" applyBorder="0" applyAlignment="0" applyProtection="0">
      <alignment vertical="center"/>
    </xf>
    <xf numFmtId="0" fontId="275" fillId="0" borderId="0" applyNumberFormat="0" applyFill="0" applyBorder="0" applyAlignment="0" applyProtection="0">
      <alignment vertical="center"/>
    </xf>
    <xf numFmtId="0" fontId="158" fillId="0" borderId="0"/>
    <xf numFmtId="9" fontId="158" fillId="0" borderId="0" applyFont="0" applyFill="0" applyBorder="0" applyAlignment="0" applyProtection="0">
      <alignment vertical="center"/>
    </xf>
    <xf numFmtId="176" fontId="158" fillId="0" borderId="0" applyFont="0" applyFill="0" applyBorder="0" applyAlignment="0" applyProtection="0">
      <alignment vertical="center"/>
    </xf>
    <xf numFmtId="43" fontId="94" fillId="0" borderId="0" applyFont="0" applyFill="0" applyBorder="0" applyAlignment="0" applyProtection="0">
      <alignment vertical="center"/>
    </xf>
  </cellStyleXfs>
  <cellXfs count="40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7" fillId="6" borderId="0" xfId="0" applyFont="1" applyFill="1" applyAlignment="1" applyProtection="1">
      <alignment horizontal="center" vertical="center"/>
    </xf>
    <xf numFmtId="0" fontId="97" fillId="6" borderId="0" xfId="0" applyFont="1" applyFill="1" applyProtection="1">
      <alignment vertical="center"/>
    </xf>
    <xf numFmtId="0" fontId="45" fillId="6" borderId="5" xfId="0" applyFont="1" applyFill="1" applyBorder="1" applyAlignment="1" applyProtection="1">
      <alignment vertical="center"/>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6" fillId="6" borderId="1" xfId="0"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xf>
    <xf numFmtId="180" fontId="46" fillId="0" borderId="1" xfId="0" applyNumberFormat="1" applyFont="1" applyBorder="1" applyAlignment="1" applyProtection="1">
      <alignment horizontal="center" vertical="center" wrapText="1"/>
      <protection locked="0"/>
    </xf>
    <xf numFmtId="180" fontId="98" fillId="6" borderId="1" xfId="0" applyNumberFormat="1" applyFont="1" applyFill="1" applyBorder="1" applyAlignment="1" applyProtection="1">
      <alignment horizontal="center" vertical="center" wrapText="1"/>
    </xf>
    <xf numFmtId="0" fontId="46" fillId="6" borderId="5" xfId="0" applyFont="1" applyFill="1" applyBorder="1" applyAlignment="1" applyProtection="1">
      <alignment horizontal="left" vertical="center"/>
    </xf>
    <xf numFmtId="177" fontId="46"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wrapText="1"/>
    </xf>
    <xf numFmtId="177" fontId="46" fillId="6" borderId="9" xfId="0" applyNumberFormat="1" applyFont="1" applyFill="1" applyBorder="1" applyAlignment="1" applyProtection="1">
      <alignment horizontal="center" vertical="center" wrapText="1"/>
    </xf>
    <xf numFmtId="177" fontId="46" fillId="6" borderId="10"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6" borderId="23" xfId="0" applyNumberFormat="1"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46" fillId="0" borderId="0" xfId="0" applyFont="1" applyAlignment="1" applyProtection="1">
      <alignment horizontal="center" vertical="center"/>
      <protection locked="0"/>
    </xf>
    <xf numFmtId="0" fontId="46" fillId="6" borderId="35" xfId="0" applyFont="1" applyFill="1" applyBorder="1" applyAlignment="1" applyProtection="1">
      <alignment horizontal="center" vertical="center"/>
    </xf>
    <xf numFmtId="0" fontId="46" fillId="6" borderId="2" xfId="0" applyFont="1" applyFill="1" applyBorder="1" applyAlignment="1" applyProtection="1">
      <alignment horizontal="center" vertical="center"/>
    </xf>
    <xf numFmtId="0" fontId="46" fillId="6" borderId="2" xfId="0" applyFont="1" applyFill="1" applyBorder="1" applyAlignment="1" applyProtection="1">
      <alignment horizontal="center" vertical="center" wrapText="1"/>
    </xf>
    <xf numFmtId="0" fontId="46" fillId="6" borderId="15" xfId="0"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0" fontId="43" fillId="0" borderId="2" xfId="0" applyFont="1" applyBorder="1" applyAlignment="1" applyProtection="1">
      <alignment horizontal="center" vertical="center" wrapText="1"/>
      <protection locked="0"/>
    </xf>
    <xf numFmtId="177" fontId="43" fillId="6" borderId="1" xfId="0" applyNumberFormat="1" applyFont="1" applyFill="1" applyBorder="1" applyAlignment="1" applyProtection="1">
      <alignment horizontal="center" vertical="center" wrapText="1"/>
    </xf>
    <xf numFmtId="177" fontId="43" fillId="0" borderId="2" xfId="0" applyNumberFormat="1" applyFont="1" applyFill="1" applyBorder="1" applyAlignment="1" applyProtection="1">
      <alignment horizontal="center" vertical="center" wrapText="1"/>
      <protection locked="0"/>
    </xf>
    <xf numFmtId="177" fontId="43" fillId="6" borderId="2" xfId="0" applyNumberFormat="1" applyFont="1" applyFill="1" applyBorder="1" applyAlignment="1" applyProtection="1">
      <alignment horizontal="center" vertical="center" wrapText="1"/>
    </xf>
    <xf numFmtId="177" fontId="43" fillId="6" borderId="13" xfId="0" applyNumberFormat="1" applyFont="1" applyFill="1" applyBorder="1" applyAlignment="1" applyProtection="1">
      <alignment horizontal="center" vertical="center" wrapText="1"/>
    </xf>
    <xf numFmtId="177" fontId="43" fillId="0" borderId="1" xfId="0" applyNumberFormat="1" applyFont="1" applyBorder="1" applyAlignment="1" applyProtection="1">
      <alignment vertical="center" wrapText="1"/>
      <protection locked="0"/>
    </xf>
    <xf numFmtId="177" fontId="43" fillId="0" borderId="1" xfId="0" applyNumberFormat="1" applyFont="1" applyBorder="1" applyAlignment="1" applyProtection="1">
      <alignment horizontal="center" vertical="center" wrapText="1"/>
      <protection locked="0"/>
    </xf>
    <xf numFmtId="177" fontId="43" fillId="0" borderId="2" xfId="0" applyNumberFormat="1" applyFont="1" applyBorder="1" applyAlignment="1" applyProtection="1">
      <alignment horizontal="center" vertical="center" wrapText="1"/>
      <protection locked="0"/>
    </xf>
    <xf numFmtId="0" fontId="43" fillId="6" borderId="3" xfId="0" applyFont="1" applyFill="1" applyBorder="1" applyAlignment="1" applyProtection="1">
      <alignment horizontal="center" vertical="center" wrapText="1"/>
    </xf>
    <xf numFmtId="177" fontId="43" fillId="6" borderId="24"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5" fillId="6" borderId="13" xfId="0" applyFont="1" applyFill="1" applyBorder="1" applyAlignment="1" applyProtection="1">
      <alignment vertical="center"/>
    </xf>
    <xf numFmtId="0" fontId="43" fillId="6" borderId="11" xfId="0" applyFont="1" applyFill="1" applyBorder="1" applyAlignment="1" applyProtection="1">
      <alignment vertical="center"/>
    </xf>
    <xf numFmtId="0" fontId="43" fillId="6" borderId="1" xfId="0" applyFont="1" applyFill="1" applyBorder="1" applyAlignment="1" applyProtection="1">
      <alignment vertical="center"/>
    </xf>
    <xf numFmtId="177" fontId="43" fillId="6" borderId="24" xfId="0" applyNumberFormat="1" applyFont="1" applyFill="1" applyBorder="1" applyAlignment="1" applyProtection="1">
      <alignment vertical="center"/>
    </xf>
    <xf numFmtId="0" fontId="43" fillId="6" borderId="13" xfId="0" applyFont="1" applyFill="1" applyBorder="1" applyAlignment="1" applyProtection="1">
      <alignment vertical="center"/>
    </xf>
    <xf numFmtId="0" fontId="43" fillId="6" borderId="24" xfId="0" applyFont="1" applyFill="1" applyBorder="1" applyAlignment="1" applyProtection="1">
      <alignment vertical="center"/>
    </xf>
    <xf numFmtId="0" fontId="43" fillId="0" borderId="24" xfId="0" applyFont="1" applyFill="1" applyBorder="1" applyAlignment="1" applyProtection="1">
      <alignment vertical="center"/>
      <protection locked="0"/>
    </xf>
    <xf numFmtId="0" fontId="43" fillId="6" borderId="61" xfId="0" applyFont="1" applyFill="1" applyBorder="1" applyAlignment="1" applyProtection="1">
      <alignment vertical="center"/>
    </xf>
    <xf numFmtId="180" fontId="43" fillId="6" borderId="1" xfId="0" applyNumberFormat="1"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177" fontId="43" fillId="6" borderId="1" xfId="0" applyNumberFormat="1" applyFont="1" applyFill="1" applyBorder="1" applyAlignment="1" applyProtection="1">
      <alignment vertical="center"/>
    </xf>
    <xf numFmtId="0" fontId="46" fillId="0" borderId="1" xfId="0" applyFont="1" applyBorder="1" applyAlignment="1" applyProtection="1">
      <alignment horizontal="center" vertical="center"/>
      <protection locked="0"/>
    </xf>
    <xf numFmtId="178" fontId="43" fillId="0" borderId="3" xfId="1" applyNumberFormat="1" applyFont="1" applyFill="1" applyBorder="1" applyAlignment="1" applyProtection="1">
      <alignment vertical="center"/>
      <protection locked="0"/>
    </xf>
    <xf numFmtId="0" fontId="43" fillId="6" borderId="3" xfId="0" applyFont="1" applyFill="1" applyBorder="1" applyProtection="1">
      <alignment vertical="center"/>
    </xf>
    <xf numFmtId="0" fontId="43" fillId="6" borderId="48" xfId="0" applyFont="1" applyFill="1" applyBorder="1" applyProtection="1">
      <alignment vertical="center"/>
    </xf>
    <xf numFmtId="0" fontId="43" fillId="6" borderId="22" xfId="0" applyFont="1" applyFill="1" applyBorder="1" applyProtection="1">
      <alignment vertical="center"/>
    </xf>
    <xf numFmtId="0" fontId="43" fillId="6" borderId="61" xfId="0" applyFont="1" applyFill="1" applyBorder="1" applyProtection="1">
      <alignment vertical="center"/>
    </xf>
    <xf numFmtId="0" fontId="45" fillId="6" borderId="27" xfId="0" applyFont="1" applyFill="1" applyBorder="1" applyAlignment="1" applyProtection="1">
      <alignment vertical="center" wrapText="1"/>
    </xf>
    <xf numFmtId="0" fontId="43" fillId="6" borderId="29" xfId="0" applyFont="1" applyFill="1" applyBorder="1" applyAlignment="1" applyProtection="1">
      <alignment horizontal="center" vertical="center" wrapText="1"/>
    </xf>
    <xf numFmtId="0" fontId="43" fillId="6" borderId="10" xfId="0" applyFont="1" applyFill="1" applyBorder="1" applyAlignment="1" applyProtection="1">
      <alignment horizontal="center" vertical="center" wrapText="1"/>
    </xf>
    <xf numFmtId="0" fontId="43" fillId="6" borderId="28" xfId="0" applyFont="1" applyFill="1" applyBorder="1" applyAlignment="1" applyProtection="1">
      <alignment horizontal="center" vertical="center" wrapText="1"/>
    </xf>
    <xf numFmtId="180"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82" fontId="43" fillId="0" borderId="1" xfId="0" applyNumberFormat="1" applyFont="1" applyFill="1" applyBorder="1" applyAlignment="1" applyProtection="1">
      <alignment horizontal="center" vertical="center"/>
      <protection locked="0"/>
    </xf>
    <xf numFmtId="0" fontId="43" fillId="6" borderId="1" xfId="1" applyNumberFormat="1" applyFont="1" applyFill="1" applyBorder="1" applyAlignment="1" applyProtection="1">
      <alignment horizontal="center" vertical="center"/>
    </xf>
    <xf numFmtId="0" fontId="43" fillId="6" borderId="5" xfId="0" applyNumberFormat="1" applyFont="1" applyFill="1" applyBorder="1" applyAlignment="1" applyProtection="1">
      <alignment horizontal="center" vertical="center"/>
    </xf>
    <xf numFmtId="180" fontId="43" fillId="6" borderId="23" xfId="1" applyNumberFormat="1" applyFont="1" applyFill="1" applyBorder="1" applyAlignment="1" applyProtection="1">
      <alignment horizontal="center" vertical="center"/>
    </xf>
    <xf numFmtId="182" fontId="43" fillId="0" borderId="1" xfId="0" applyNumberFormat="1" applyFont="1" applyBorder="1" applyAlignment="1" applyProtection="1">
      <alignment vertical="center"/>
      <protection locked="0"/>
    </xf>
    <xf numFmtId="182" fontId="43" fillId="0" borderId="24" xfId="0" applyNumberFormat="1" applyFont="1" applyBorder="1" applyAlignment="1" applyProtection="1">
      <alignment vertical="center"/>
      <protection locked="0"/>
    </xf>
    <xf numFmtId="0" fontId="43" fillId="0" borderId="3" xfId="0" applyFont="1" applyBorder="1" applyAlignment="1" applyProtection="1">
      <alignment vertical="center"/>
      <protection locked="0"/>
    </xf>
    <xf numFmtId="182" fontId="43" fillId="0" borderId="5" xfId="0" applyNumberFormat="1" applyFont="1" applyBorder="1" applyAlignment="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5" borderId="3"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83" fontId="43" fillId="0" borderId="1" xfId="0" applyNumberFormat="1" applyFont="1" applyBorder="1" applyAlignment="1" applyProtection="1">
      <alignment horizontal="center" vertical="center"/>
      <protection locked="0"/>
    </xf>
    <xf numFmtId="182" fontId="43" fillId="0" borderId="24" xfId="0" applyNumberFormat="1" applyFont="1" applyBorder="1" applyAlignment="1" applyProtection="1">
      <alignment horizontal="center" vertical="center"/>
      <protection locked="0"/>
    </xf>
    <xf numFmtId="9" fontId="43" fillId="0" borderId="5" xfId="0" applyNumberFormat="1" applyFont="1" applyFill="1" applyBorder="1" applyAlignment="1" applyProtection="1">
      <alignment horizontal="center" vertical="center"/>
      <protection locked="0"/>
    </xf>
    <xf numFmtId="178" fontId="43" fillId="0" borderId="1" xfId="1" applyNumberFormat="1" applyFont="1" applyFill="1" applyBorder="1" applyAlignment="1" applyProtection="1">
      <alignment horizontal="center" vertical="center"/>
      <protection locked="0"/>
    </xf>
    <xf numFmtId="10" fontId="43" fillId="0" borderId="1" xfId="1" applyNumberFormat="1" applyFont="1" applyFill="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83" fontId="43" fillId="0" borderId="1" xfId="0" applyNumberFormat="1" applyFont="1" applyFill="1" applyBorder="1" applyAlignment="1" applyProtection="1">
      <alignment horizontal="center" vertical="center"/>
      <protection locked="0"/>
    </xf>
    <xf numFmtId="182" fontId="43" fillId="0" borderId="24" xfId="0" applyNumberFormat="1" applyFont="1" applyFill="1" applyBorder="1" applyAlignment="1" applyProtection="1">
      <alignment horizontal="center" vertical="center"/>
      <protection locked="0"/>
    </xf>
    <xf numFmtId="0" fontId="45" fillId="6" borderId="32" xfId="1" applyFont="1" applyFill="1" applyBorder="1" applyAlignment="1" applyProtection="1">
      <alignment vertical="center"/>
    </xf>
    <xf numFmtId="0" fontId="45" fillId="6" borderId="32" xfId="1" applyFont="1" applyFill="1" applyBorder="1" applyAlignment="1" applyProtection="1">
      <alignment horizontal="center" vertical="center"/>
    </xf>
    <xf numFmtId="182" fontId="45" fillId="6" borderId="32" xfId="1" applyNumberFormat="1" applyFont="1" applyFill="1" applyBorder="1" applyAlignment="1" applyProtection="1">
      <alignment vertical="center"/>
    </xf>
    <xf numFmtId="0" fontId="45" fillId="6" borderId="49" xfId="1" applyFont="1" applyFill="1" applyBorder="1" applyAlignment="1" applyProtection="1">
      <alignment vertical="center"/>
    </xf>
    <xf numFmtId="177" fontId="43" fillId="6" borderId="25" xfId="0" applyNumberFormat="1" applyFont="1" applyFill="1" applyBorder="1" applyAlignment="1" applyProtection="1">
      <alignment horizontal="center" vertical="center"/>
    </xf>
    <xf numFmtId="0" fontId="43" fillId="6" borderId="32" xfId="1" applyNumberFormat="1" applyFont="1" applyFill="1" applyBorder="1" applyAlignment="1" applyProtection="1">
      <alignment horizontal="center" vertical="center"/>
    </xf>
    <xf numFmtId="10" fontId="43" fillId="6" borderId="32" xfId="1" applyNumberFormat="1" applyFont="1" applyFill="1" applyBorder="1" applyAlignment="1" applyProtection="1">
      <alignment horizontal="center" vertical="center"/>
    </xf>
    <xf numFmtId="9" fontId="43" fillId="6" borderId="33" xfId="0" applyNumberFormat="1" applyFont="1" applyFill="1" applyBorder="1" applyAlignment="1" applyProtection="1">
      <alignment horizontal="center" vertical="center"/>
    </xf>
    <xf numFmtId="180" fontId="43" fillId="6" borderId="66" xfId="1" applyNumberFormat="1" applyFont="1" applyFill="1" applyBorder="1" applyAlignment="1" applyProtection="1">
      <alignment horizontal="center" vertical="center"/>
    </xf>
    <xf numFmtId="0" fontId="43" fillId="6" borderId="68" xfId="1" applyNumberFormat="1" applyFont="1" applyFill="1" applyBorder="1" applyAlignment="1" applyProtection="1">
      <alignment horizontal="center" vertical="center"/>
    </xf>
    <xf numFmtId="0" fontId="43" fillId="6" borderId="25" xfId="0" applyFont="1" applyFill="1" applyBorder="1" applyAlignment="1" applyProtection="1">
      <alignment vertical="center"/>
    </xf>
    <xf numFmtId="0" fontId="43" fillId="6" borderId="32" xfId="0" applyFont="1" applyFill="1" applyBorder="1" applyAlignment="1" applyProtection="1">
      <alignment vertical="center"/>
    </xf>
    <xf numFmtId="0" fontId="43" fillId="6" borderId="49" xfId="0" applyFont="1" applyFill="1" applyBorder="1" applyAlignment="1" applyProtection="1">
      <alignment vertical="center"/>
    </xf>
    <xf numFmtId="0" fontId="43" fillId="6" borderId="66" xfId="0" applyFont="1" applyFill="1" applyBorder="1" applyAlignment="1" applyProtection="1">
      <alignment vertical="center"/>
    </xf>
    <xf numFmtId="0" fontId="43" fillId="6" borderId="33" xfId="0" applyFont="1" applyFill="1" applyBorder="1" applyAlignment="1" applyProtection="1">
      <alignment vertical="center"/>
    </xf>
    <xf numFmtId="177" fontId="50" fillId="0" borderId="10" xfId="1" applyNumberFormat="1" applyFont="1" applyFill="1" applyBorder="1" applyAlignment="1" applyProtection="1">
      <alignment horizontal="center" vertical="center"/>
      <protection locked="0"/>
    </xf>
    <xf numFmtId="177" fontId="43" fillId="0" borderId="24" xfId="1" applyNumberFormat="1" applyFont="1" applyFill="1" applyBorder="1" applyAlignment="1" applyProtection="1">
      <alignment horizontal="center" vertical="center"/>
      <protection locked="0"/>
    </xf>
    <xf numFmtId="177" fontId="50" fillId="6" borderId="24" xfId="1" applyNumberFormat="1" applyFont="1" applyFill="1" applyBorder="1" applyAlignment="1" applyProtection="1">
      <alignment horizontal="center" vertical="center"/>
    </xf>
    <xf numFmtId="177" fontId="50" fillId="6" borderId="49" xfId="1" applyNumberFormat="1" applyFont="1" applyFill="1" applyBorder="1" applyAlignment="1" applyProtection="1">
      <alignment horizontal="center" vertical="center"/>
    </xf>
    <xf numFmtId="0" fontId="52" fillId="0" borderId="10" xfId="1"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52" fillId="0" borderId="24" xfId="1" applyNumberFormat="1" applyFont="1" applyFill="1" applyBorder="1" applyAlignment="1" applyProtection="1">
      <alignment horizontal="center" vertical="center"/>
      <protection locked="0"/>
    </xf>
    <xf numFmtId="0" fontId="50" fillId="6" borderId="24" xfId="1" applyNumberFormat="1" applyFont="1" applyFill="1" applyBorder="1" applyAlignment="1" applyProtection="1">
      <alignment horizontal="center" vertical="center"/>
    </xf>
    <xf numFmtId="0" fontId="52" fillId="0" borderId="49" xfId="1"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182" fontId="46" fillId="0" borderId="49" xfId="0" applyNumberFormat="1" applyFont="1" applyFill="1" applyBorder="1" applyAlignment="1" applyProtection="1">
      <alignment horizontal="center" vertical="center"/>
      <protection locked="0"/>
    </xf>
    <xf numFmtId="182" fontId="46" fillId="0" borderId="8" xfId="0" applyNumberFormat="1" applyFont="1" applyFill="1" applyBorder="1" applyAlignment="1" applyProtection="1">
      <alignment horizontal="center" vertical="center"/>
      <protection locked="0"/>
    </xf>
    <xf numFmtId="10" fontId="43" fillId="6" borderId="10" xfId="0" applyNumberFormat="1" applyFont="1" applyFill="1" applyBorder="1" applyAlignment="1" applyProtection="1">
      <alignment horizontal="center" vertical="center"/>
    </xf>
    <xf numFmtId="10" fontId="43" fillId="0" borderId="61" xfId="0" applyNumberFormat="1" applyFont="1" applyFill="1" applyBorder="1" applyAlignment="1" applyProtection="1">
      <alignment horizontal="center" vertical="center"/>
      <protection locked="0"/>
    </xf>
    <xf numFmtId="183" fontId="43" fillId="6" borderId="61" xfId="0" applyNumberFormat="1" applyFont="1" applyFill="1" applyBorder="1" applyAlignment="1" applyProtection="1">
      <alignment horizontal="center" vertical="center"/>
    </xf>
    <xf numFmtId="10" fontId="43" fillId="2" borderId="61" xfId="0" applyNumberFormat="1" applyFont="1" applyFill="1" applyBorder="1" applyAlignment="1" applyProtection="1">
      <alignment horizontal="center" vertical="center"/>
      <protection locked="0"/>
    </xf>
    <xf numFmtId="10" fontId="43" fillId="0" borderId="49" xfId="0" applyNumberFormat="1" applyFont="1" applyFill="1" applyBorder="1" applyAlignment="1" applyProtection="1">
      <alignment horizontal="center" vertical="center"/>
      <protection locked="0"/>
    </xf>
    <xf numFmtId="10" fontId="43" fillId="0" borderId="53" xfId="0" applyNumberFormat="1" applyFont="1" applyFill="1" applyBorder="1" applyAlignment="1" applyProtection="1">
      <alignment horizontal="center" vertical="center"/>
      <protection locked="0"/>
    </xf>
    <xf numFmtId="10" fontId="43" fillId="6" borderId="62" xfId="0" applyNumberFormat="1" applyFont="1" applyFill="1" applyBorder="1" applyAlignment="1" applyProtection="1">
      <alignment horizontal="center" vertical="center"/>
    </xf>
    <xf numFmtId="10" fontId="43" fillId="6" borderId="49" xfId="0" applyNumberFormat="1" applyFont="1" applyFill="1" applyBorder="1" applyAlignment="1" applyProtection="1">
      <alignment horizontal="center" vertical="center"/>
    </xf>
    <xf numFmtId="179" fontId="43" fillId="6" borderId="62" xfId="0" applyNumberFormat="1" applyFont="1" applyFill="1" applyBorder="1" applyAlignment="1" applyProtection="1">
      <alignment horizontal="center" vertical="center"/>
    </xf>
    <xf numFmtId="0" fontId="43" fillId="0" borderId="49" xfId="0" applyFont="1" applyBorder="1" applyAlignment="1" applyProtection="1">
      <alignment vertical="center"/>
      <protection locked="0"/>
    </xf>
    <xf numFmtId="0" fontId="43" fillId="6" borderId="10" xfId="0" applyNumberFormat="1" applyFont="1" applyFill="1" applyBorder="1" applyAlignment="1" applyProtection="1">
      <alignment horizontal="center" vertical="center" wrapText="1"/>
    </xf>
    <xf numFmtId="0" fontId="43" fillId="6" borderId="24" xfId="0" applyNumberFormat="1" applyFont="1" applyFill="1" applyBorder="1" applyAlignment="1" applyProtection="1">
      <alignment horizontal="center" vertical="center" wrapText="1"/>
    </xf>
    <xf numFmtId="0" fontId="43" fillId="6" borderId="49" xfId="0" applyNumberFormat="1" applyFont="1" applyFill="1" applyBorder="1" applyAlignment="1" applyProtection="1">
      <alignment horizontal="center" vertical="center" wrapText="1"/>
    </xf>
    <xf numFmtId="0" fontId="46" fillId="6" borderId="0" xfId="0" applyFont="1" applyFill="1" applyProtection="1">
      <alignment vertical="center"/>
      <protection locked="0"/>
    </xf>
    <xf numFmtId="0" fontId="46" fillId="0" borderId="0" xfId="0" applyFont="1" applyProtection="1">
      <alignment vertical="center"/>
      <protection locked="0"/>
    </xf>
    <xf numFmtId="0" fontId="46" fillId="6" borderId="5" xfId="0" applyFont="1" applyFill="1" applyBorder="1" applyAlignment="1" applyProtection="1">
      <alignment vertical="center"/>
    </xf>
    <xf numFmtId="0" fontId="43" fillId="6" borderId="2" xfId="0" applyFont="1" applyFill="1" applyBorder="1" applyAlignment="1" applyProtection="1">
      <alignment horizontal="center" vertical="center"/>
    </xf>
    <xf numFmtId="180" fontId="43" fillId="6" borderId="13" xfId="0" applyNumberFormat="1" applyFont="1" applyFill="1" applyBorder="1" applyAlignment="1" applyProtection="1">
      <alignment horizontal="center" vertical="center"/>
    </xf>
    <xf numFmtId="0" fontId="97" fillId="6" borderId="9" xfId="0" applyFont="1" applyFill="1" applyBorder="1" applyAlignment="1" applyProtection="1">
      <alignment horizontal="center" vertical="center"/>
    </xf>
    <xf numFmtId="0" fontId="97" fillId="6" borderId="10" xfId="0" applyFont="1" applyFill="1" applyBorder="1" applyAlignment="1" applyProtection="1">
      <alignment horizontal="center" vertical="center"/>
    </xf>
    <xf numFmtId="0" fontId="43" fillId="6" borderId="28" xfId="0" applyFont="1" applyFill="1" applyBorder="1" applyAlignment="1" applyProtection="1">
      <alignment horizontal="right" vertical="center"/>
    </xf>
    <xf numFmtId="0" fontId="97" fillId="6" borderId="1" xfId="0" applyFont="1" applyFill="1" applyBorder="1" applyAlignment="1" applyProtection="1">
      <alignment horizontal="center" vertical="center"/>
    </xf>
    <xf numFmtId="0" fontId="97" fillId="6" borderId="24" xfId="0" applyFont="1" applyFill="1" applyBorder="1" applyAlignment="1" applyProtection="1">
      <alignment horizontal="center" vertical="center"/>
    </xf>
    <xf numFmtId="0" fontId="43" fillId="6" borderId="5" xfId="0" applyFont="1" applyFill="1" applyBorder="1" applyAlignment="1" applyProtection="1">
      <alignment horizontal="right" vertical="center"/>
    </xf>
    <xf numFmtId="0" fontId="43" fillId="6" borderId="33" xfId="0" applyFont="1" applyFill="1" applyBorder="1" applyAlignment="1" applyProtection="1">
      <alignment horizontal="right" vertical="center"/>
    </xf>
    <xf numFmtId="0" fontId="43" fillId="6" borderId="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24" xfId="0" applyFont="1" applyFill="1" applyBorder="1" applyAlignment="1" applyProtection="1">
      <alignment horizontal="center" vertical="center"/>
      <protection locked="0"/>
    </xf>
    <xf numFmtId="0" fontId="43" fillId="6" borderId="29" xfId="0" applyFont="1" applyFill="1" applyBorder="1" applyAlignment="1" applyProtection="1">
      <alignment horizontal="center" vertical="center"/>
    </xf>
    <xf numFmtId="0" fontId="45" fillId="0" borderId="10" xfId="0" applyFont="1" applyFill="1" applyBorder="1" applyAlignment="1" applyProtection="1">
      <alignment horizontal="center" vertical="center"/>
      <protection locked="0"/>
    </xf>
    <xf numFmtId="0" fontId="46" fillId="6" borderId="1" xfId="0" applyFont="1" applyFill="1" applyBorder="1" applyProtection="1">
      <alignment vertical="center"/>
    </xf>
    <xf numFmtId="0" fontId="45" fillId="0" borderId="24" xfId="0" applyFont="1" applyFill="1" applyBorder="1" applyAlignment="1" applyProtection="1">
      <alignment horizontal="center" vertical="center"/>
      <protection locked="0"/>
    </xf>
    <xf numFmtId="0" fontId="45" fillId="6" borderId="4" xfId="0" applyFont="1" applyFill="1" applyBorder="1" applyAlignment="1" applyProtection="1">
      <alignment horizontal="center"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24" xfId="0" applyFont="1" applyFill="1" applyBorder="1" applyAlignment="1" applyProtection="1">
      <alignment horizontal="center" vertical="center"/>
      <protection locked="0"/>
    </xf>
    <xf numFmtId="0" fontId="46" fillId="0" borderId="25" xfId="0" applyFont="1" applyBorder="1" applyProtection="1">
      <alignment vertical="center"/>
      <protection locked="0"/>
    </xf>
    <xf numFmtId="0" fontId="46" fillId="0" borderId="32" xfId="0" applyFont="1" applyBorder="1" applyProtection="1">
      <alignment vertical="center"/>
      <protection locked="0"/>
    </xf>
    <xf numFmtId="0" fontId="46" fillId="0" borderId="49" xfId="0" applyFont="1" applyBorder="1" applyProtection="1">
      <alignment vertical="center"/>
      <protection locked="0"/>
    </xf>
    <xf numFmtId="0" fontId="46" fillId="6" borderId="13" xfId="0" applyFont="1" applyFill="1" applyBorder="1" applyAlignment="1" applyProtection="1">
      <alignment vertical="center"/>
    </xf>
    <xf numFmtId="0" fontId="46" fillId="6" borderId="36" xfId="0" applyFont="1" applyFill="1" applyBorder="1" applyAlignment="1" applyProtection="1">
      <alignment horizontal="right" vertical="center"/>
    </xf>
    <xf numFmtId="9" fontId="46" fillId="5" borderId="36" xfId="0" applyNumberFormat="1" applyFont="1" applyFill="1" applyBorder="1" applyAlignment="1" applyProtection="1">
      <alignment horizontal="center" vertical="center"/>
      <protection locked="0"/>
    </xf>
    <xf numFmtId="0" fontId="46" fillId="6" borderId="22" xfId="0" applyFont="1" applyFill="1" applyBorder="1" applyProtection="1">
      <alignment vertical="center"/>
    </xf>
    <xf numFmtId="0" fontId="46" fillId="6" borderId="0" xfId="0" applyFont="1" applyFill="1" applyAlignment="1" applyProtection="1">
      <alignment horizontal="center" vertical="center"/>
      <protection locked="0"/>
    </xf>
    <xf numFmtId="0" fontId="51" fillId="6" borderId="18" xfId="0" applyFont="1" applyFill="1" applyBorder="1" applyAlignment="1" applyProtection="1">
      <alignment horizontal="left" vertical="center" wrapText="1"/>
    </xf>
    <xf numFmtId="0" fontId="51" fillId="6" borderId="60"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6" fillId="6" borderId="46" xfId="0" applyFont="1" applyFill="1" applyBorder="1" applyAlignment="1" applyProtection="1">
      <alignment vertical="center"/>
    </xf>
    <xf numFmtId="10" fontId="46" fillId="6" borderId="5" xfId="0" applyNumberFormat="1" applyFont="1" applyFill="1" applyBorder="1" applyAlignment="1" applyProtection="1">
      <alignment horizontal="center" vertical="center"/>
    </xf>
    <xf numFmtId="0" fontId="46" fillId="6" borderId="10"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6" fillId="6" borderId="8" xfId="0" applyFont="1" applyFill="1" applyBorder="1" applyAlignment="1" applyProtection="1">
      <alignment horizontal="left" vertical="center" wrapText="1"/>
    </xf>
    <xf numFmtId="49" fontId="46" fillId="6" borderId="23"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46" fillId="6" borderId="24"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1" fillId="6" borderId="2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46" fillId="6" borderId="49" xfId="0" applyFont="1" applyFill="1" applyBorder="1" applyAlignment="1" applyProtection="1">
      <alignment horizontal="left" vertical="center"/>
    </xf>
    <xf numFmtId="0" fontId="46" fillId="6" borderId="28" xfId="0" applyFont="1" applyFill="1" applyBorder="1" applyAlignment="1" applyProtection="1">
      <alignment horizontal="left" vertical="center" wrapText="1"/>
    </xf>
    <xf numFmtId="0" fontId="46" fillId="6" borderId="20" xfId="0" applyFont="1" applyFill="1" applyBorder="1" applyAlignment="1" applyProtection="1">
      <alignment horizontal="left" vertical="center" wrapText="1"/>
    </xf>
    <xf numFmtId="0" fontId="43" fillId="6" borderId="21" xfId="2" applyFont="1" applyFill="1" applyBorder="1" applyAlignment="1" applyProtection="1">
      <alignment horizontal="left" vertical="center" wrapText="1"/>
    </xf>
    <xf numFmtId="0" fontId="43" fillId="6" borderId="48" xfId="2" applyFont="1" applyFill="1" applyBorder="1" applyAlignment="1" applyProtection="1">
      <alignment horizontal="left" vertical="center" wrapText="1"/>
    </xf>
    <xf numFmtId="0" fontId="52" fillId="0" borderId="1" xfId="0" applyFont="1" applyFill="1" applyBorder="1" applyAlignment="1" applyProtection="1">
      <alignment horizontal="center" vertical="center" wrapText="1"/>
      <protection locked="0"/>
    </xf>
    <xf numFmtId="0" fontId="43" fillId="6" borderId="1" xfId="2"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43" fillId="6" borderId="54" xfId="0" applyFont="1" applyFill="1" applyBorder="1" applyAlignment="1" applyProtection="1">
      <alignment horizontal="left" vertical="center"/>
    </xf>
    <xf numFmtId="0" fontId="52" fillId="6" borderId="32" xfId="0" applyFont="1" applyFill="1" applyBorder="1" applyAlignment="1" applyProtection="1">
      <alignment horizontal="center" vertical="center" wrapText="1"/>
    </xf>
    <xf numFmtId="0" fontId="46" fillId="6" borderId="33" xfId="0" applyFont="1" applyFill="1" applyBorder="1" applyAlignment="1" applyProtection="1">
      <alignment horizontal="left" vertical="center"/>
    </xf>
    <xf numFmtId="0" fontId="46" fillId="6" borderId="52" xfId="0" applyFont="1" applyFill="1" applyBorder="1" applyAlignment="1" applyProtection="1">
      <alignment horizontal="left" vertical="center" wrapText="1"/>
    </xf>
    <xf numFmtId="0" fontId="43" fillId="6" borderId="68" xfId="2"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10" fontId="46" fillId="6" borderId="5" xfId="0" applyNumberFormat="1" applyFont="1" applyFill="1" applyBorder="1" applyAlignment="1" applyProtection="1">
      <alignment horizontal="left" vertical="center"/>
    </xf>
    <xf numFmtId="0" fontId="54" fillId="6" borderId="0" xfId="0" applyFont="1" applyFill="1" applyBorder="1" applyAlignment="1" applyProtection="1">
      <alignment horizontal="left" vertical="center"/>
    </xf>
    <xf numFmtId="0" fontId="46" fillId="6" borderId="68" xfId="2" applyFont="1" applyFill="1" applyBorder="1" applyAlignment="1" applyProtection="1">
      <alignment horizontal="left" vertical="center" wrapText="1"/>
    </xf>
    <xf numFmtId="0" fontId="100" fillId="6" borderId="51" xfId="1" applyFont="1" applyFill="1" applyBorder="1" applyAlignment="1" applyProtection="1">
      <alignment vertical="center"/>
    </xf>
    <xf numFmtId="0" fontId="56" fillId="6" borderId="20" xfId="1" applyFont="1" applyFill="1" applyBorder="1" applyAlignment="1" applyProtection="1">
      <alignment vertical="center"/>
    </xf>
    <xf numFmtId="0" fontId="56" fillId="6" borderId="19" xfId="1" applyFont="1" applyFill="1" applyBorder="1" applyAlignment="1" applyProtection="1">
      <alignment vertical="center"/>
    </xf>
    <xf numFmtId="0" fontId="56" fillId="6" borderId="0" xfId="1" applyFont="1" applyFill="1" applyBorder="1" applyAlignment="1" applyProtection="1">
      <alignment vertical="center"/>
    </xf>
    <xf numFmtId="0" fontId="57" fillId="3" borderId="0" xfId="0" applyFont="1" applyFill="1" applyAlignment="1" applyProtection="1">
      <alignment vertical="center"/>
      <protection locked="0"/>
    </xf>
    <xf numFmtId="0" fontId="56" fillId="6" borderId="1" xfId="1" applyFont="1" applyFill="1" applyBorder="1" applyAlignment="1" applyProtection="1">
      <alignment vertical="center"/>
    </xf>
    <xf numFmtId="178" fontId="56" fillId="6" borderId="1" xfId="1" applyNumberFormat="1" applyFont="1" applyFill="1" applyBorder="1" applyAlignment="1" applyProtection="1">
      <alignment horizontal="right" vertical="center"/>
    </xf>
    <xf numFmtId="0" fontId="56" fillId="6" borderId="13" xfId="1" applyFont="1" applyFill="1" applyBorder="1" applyAlignment="1" applyProtection="1">
      <alignment vertical="center"/>
    </xf>
    <xf numFmtId="0" fontId="56" fillId="6" borderId="13" xfId="1" applyFont="1" applyFill="1" applyBorder="1" applyAlignment="1" applyProtection="1">
      <alignment horizontal="right" vertical="center"/>
    </xf>
    <xf numFmtId="49" fontId="56" fillId="6" borderId="51" xfId="1" applyNumberFormat="1" applyFont="1" applyFill="1" applyBorder="1" applyAlignment="1" applyProtection="1"/>
    <xf numFmtId="49" fontId="56" fillId="6" borderId="20" xfId="1" applyNumberFormat="1" applyFont="1" applyFill="1" applyBorder="1" applyAlignment="1" applyProtection="1"/>
    <xf numFmtId="49" fontId="56" fillId="6" borderId="21" xfId="1" applyNumberFormat="1" applyFont="1" applyFill="1" applyBorder="1" applyAlignment="1" applyProtection="1"/>
    <xf numFmtId="0" fontId="56" fillId="3" borderId="0" xfId="0" applyFont="1" applyFill="1" applyAlignment="1" applyProtection="1">
      <alignment vertical="center"/>
      <protection locked="0"/>
    </xf>
    <xf numFmtId="0" fontId="53" fillId="6" borderId="23" xfId="1" applyFont="1" applyFill="1" applyBorder="1" applyAlignment="1" applyProtection="1">
      <alignment horizontal="left"/>
    </xf>
    <xf numFmtId="0" fontId="53" fillId="6" borderId="5" xfId="1" applyFont="1" applyFill="1" applyBorder="1" applyAlignment="1" applyProtection="1"/>
    <xf numFmtId="178"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0" fontId="53" fillId="3" borderId="0" xfId="0" applyFont="1" applyFill="1" applyAlignment="1" applyProtection="1">
      <alignment vertical="center"/>
      <protection locked="0"/>
    </xf>
    <xf numFmtId="0" fontId="52" fillId="6" borderId="5" xfId="1" applyFont="1" applyFill="1" applyBorder="1" applyAlignment="1" applyProtection="1"/>
    <xf numFmtId="178" fontId="52" fillId="0" borderId="1" xfId="1" applyNumberFormat="1" applyFont="1" applyFill="1" applyBorder="1" applyAlignment="1" applyProtection="1">
      <alignment horizontal="center"/>
      <protection locked="0"/>
    </xf>
    <xf numFmtId="180" fontId="52" fillId="6" borderId="1" xfId="1" applyNumberFormat="1" applyFont="1" applyFill="1" applyBorder="1" applyAlignment="1" applyProtection="1">
      <alignment horizontal="center"/>
    </xf>
    <xf numFmtId="0" fontId="52" fillId="6" borderId="1" xfId="1" applyFont="1" applyFill="1" applyBorder="1" applyAlignment="1" applyProtection="1">
      <alignment horizontal="center"/>
    </xf>
    <xf numFmtId="0" fontId="52" fillId="6" borderId="24" xfId="1" applyFont="1" applyFill="1" applyBorder="1" applyAlignment="1" applyProtection="1">
      <alignment horizontal="left"/>
    </xf>
    <xf numFmtId="178" fontId="52" fillId="6" borderId="1" xfId="1" applyNumberFormat="1" applyFont="1" applyFill="1" applyBorder="1" applyAlignment="1" applyProtection="1">
      <alignment horizontal="center"/>
    </xf>
    <xf numFmtId="10" fontId="52" fillId="6" borderId="1" xfId="1" applyNumberFormat="1" applyFont="1" applyFill="1" applyBorder="1" applyAlignment="1" applyProtection="1">
      <alignment horizontal="center"/>
    </xf>
    <xf numFmtId="178" fontId="52" fillId="6" borderId="1" xfId="1" applyNumberFormat="1" applyFont="1" applyFill="1" applyBorder="1" applyAlignment="1" applyProtection="1"/>
    <xf numFmtId="0" fontId="53" fillId="0" borderId="0" xfId="0" applyFont="1" applyFill="1" applyAlignment="1" applyProtection="1">
      <alignment vertical="center"/>
      <protection locked="0"/>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2" fillId="6" borderId="24" xfId="1" applyFont="1" applyFill="1" applyBorder="1" applyAlignment="1" applyProtection="1">
      <alignment vertical="center" wrapText="1"/>
    </xf>
    <xf numFmtId="0" fontId="52" fillId="6" borderId="23" xfId="1" applyFont="1" applyFill="1" applyBorder="1" applyAlignment="1" applyProtection="1">
      <alignment horizontal="left"/>
    </xf>
    <xf numFmtId="0" fontId="52" fillId="6" borderId="0" xfId="1" applyFont="1" applyFill="1" applyBorder="1" applyAlignment="1" applyProtection="1">
      <alignment horizontal="center"/>
    </xf>
    <xf numFmtId="0" fontId="52" fillId="6" borderId="1" xfId="0" applyFont="1" applyFill="1" applyBorder="1" applyProtection="1">
      <alignment vertical="center"/>
    </xf>
    <xf numFmtId="180" fontId="53" fillId="6" borderId="1" xfId="1" applyNumberFormat="1" applyFont="1" applyFill="1" applyBorder="1" applyAlignment="1" applyProtection="1">
      <alignment horizontal="center"/>
    </xf>
    <xf numFmtId="9" fontId="53" fillId="6" borderId="5" xfId="1" applyNumberFormat="1" applyFont="1" applyFill="1" applyBorder="1" applyAlignment="1" applyProtection="1">
      <alignment horizontal="center"/>
    </xf>
    <xf numFmtId="0" fontId="53" fillId="6" borderId="1" xfId="0" applyFont="1" applyFill="1" applyBorder="1" applyAlignment="1" applyProtection="1">
      <alignment horizontal="center" vertical="center"/>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xf>
    <xf numFmtId="0" fontId="53" fillId="6" borderId="1" xfId="0" applyFont="1" applyFill="1" applyBorder="1" applyAlignment="1" applyProtection="1">
      <alignment horizontal="right" vertical="center"/>
    </xf>
    <xf numFmtId="0" fontId="53" fillId="6" borderId="1" xfId="0" applyFont="1" applyFill="1" applyBorder="1" applyAlignment="1" applyProtection="1">
      <alignment horizontal="left" vertical="center"/>
    </xf>
    <xf numFmtId="10" fontId="53" fillId="6" borderId="5" xfId="1"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180" fontId="52" fillId="6" borderId="5" xfId="1" applyNumberFormat="1" applyFont="1" applyFill="1" applyBorder="1" applyAlignment="1" applyProtection="1">
      <alignment horizontal="center" vertical="center"/>
    </xf>
    <xf numFmtId="0" fontId="52" fillId="6" borderId="24" xfId="0" applyFont="1" applyFill="1" applyBorder="1" applyAlignment="1" applyProtection="1">
      <alignment vertical="center"/>
    </xf>
    <xf numFmtId="0" fontId="53" fillId="6" borderId="1" xfId="0" applyFont="1" applyFill="1" applyBorder="1" applyAlignment="1" applyProtection="1">
      <alignment vertical="center"/>
    </xf>
    <xf numFmtId="0" fontId="52" fillId="6" borderId="61" xfId="0" applyFont="1" applyFill="1" applyBorder="1" applyAlignment="1" applyProtection="1">
      <alignment vertical="center" wrapText="1"/>
    </xf>
    <xf numFmtId="0" fontId="52" fillId="6" borderId="8" xfId="0" applyFont="1" applyFill="1" applyBorder="1" applyAlignment="1" applyProtection="1">
      <alignment vertical="center"/>
    </xf>
    <xf numFmtId="0" fontId="53" fillId="6" borderId="5" xfId="1" applyFont="1" applyFill="1" applyBorder="1" applyAlignment="1" applyProtection="1">
      <alignment vertical="center"/>
    </xf>
    <xf numFmtId="178" fontId="53" fillId="6" borderId="1" xfId="1" applyNumberFormat="1" applyFont="1" applyFill="1" applyBorder="1" applyAlignment="1" applyProtection="1">
      <alignment horizontal="center" vertical="center"/>
    </xf>
    <xf numFmtId="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wrapText="1"/>
    </xf>
    <xf numFmtId="0" fontId="52" fillId="6" borderId="5" xfId="1" applyFont="1" applyFill="1" applyBorder="1" applyAlignment="1" applyProtection="1">
      <alignment horizontal="left"/>
    </xf>
    <xf numFmtId="178" fontId="52" fillId="6" borderId="1" xfId="1" applyNumberFormat="1" applyFont="1" applyFill="1" applyBorder="1" applyAlignment="1" applyProtection="1">
      <alignment horizontal="center" vertical="center"/>
    </xf>
    <xf numFmtId="9" fontId="53" fillId="6" borderId="1" xfId="1" applyNumberFormat="1" applyFont="1" applyFill="1" applyBorder="1" applyAlignment="1" applyProtection="1">
      <alignment horizontal="center"/>
    </xf>
    <xf numFmtId="0" fontId="52" fillId="3" borderId="0" xfId="0" applyFont="1" applyFill="1" applyAlignment="1" applyProtection="1">
      <alignment vertical="center"/>
      <protection locked="0"/>
    </xf>
    <xf numFmtId="49" fontId="56" fillId="6" borderId="37" xfId="1" applyNumberFormat="1" applyFont="1" applyFill="1" applyBorder="1" applyAlignment="1" applyProtection="1"/>
    <xf numFmtId="49" fontId="56" fillId="6" borderId="54" xfId="1" applyNumberFormat="1" applyFont="1" applyFill="1" applyBorder="1" applyAlignment="1" applyProtection="1"/>
    <xf numFmtId="49" fontId="56" fillId="6" borderId="48" xfId="1" applyNumberFormat="1" applyFont="1" applyFill="1" applyBorder="1" applyAlignment="1" applyProtection="1"/>
    <xf numFmtId="49" fontId="53" fillId="6" borderId="23" xfId="1" applyNumberFormat="1" applyFont="1" applyFill="1" applyBorder="1" applyAlignment="1" applyProtection="1">
      <alignment horizontal="left"/>
    </xf>
    <xf numFmtId="178" fontId="53" fillId="6" borderId="1" xfId="0" applyNumberFormat="1" applyFont="1" applyFill="1" applyBorder="1" applyAlignment="1" applyProtection="1">
      <alignment horizontal="center" vertical="center"/>
    </xf>
    <xf numFmtId="182" fontId="53" fillId="6" borderId="5" xfId="1" applyNumberFormat="1" applyFont="1" applyFill="1" applyBorder="1" applyAlignment="1" applyProtection="1">
      <alignment horizontal="center"/>
    </xf>
    <xf numFmtId="0" fontId="52" fillId="0" borderId="0" xfId="0" applyFont="1" applyFill="1" applyAlignment="1" applyProtection="1">
      <alignment vertical="center"/>
      <protection locked="0"/>
    </xf>
    <xf numFmtId="10" fontId="52" fillId="6" borderId="5" xfId="1" applyNumberFormat="1" applyFont="1" applyFill="1" applyBorder="1" applyAlignment="1" applyProtection="1">
      <alignment horizontal="center"/>
    </xf>
    <xf numFmtId="0" fontId="52" fillId="6" borderId="24" xfId="0" applyFont="1" applyFill="1" applyBorder="1" applyAlignment="1" applyProtection="1">
      <alignment vertical="center" wrapText="1"/>
    </xf>
    <xf numFmtId="0" fontId="52" fillId="6" borderId="24" xfId="1" applyFont="1" applyFill="1" applyBorder="1" applyAlignment="1" applyProtection="1">
      <alignment horizontal="left" vertical="center"/>
    </xf>
    <xf numFmtId="10" fontId="53" fillId="6" borderId="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0" fontId="53" fillId="6" borderId="1" xfId="1" applyNumberFormat="1" applyFont="1" applyFill="1" applyBorder="1" applyAlignment="1" applyProtection="1">
      <alignment horizontal="center" vertical="center"/>
    </xf>
    <xf numFmtId="49" fontId="56" fillId="6" borderId="38" xfId="1" applyNumberFormat="1" applyFont="1" applyFill="1" applyBorder="1" applyAlignment="1" applyProtection="1"/>
    <xf numFmtId="49" fontId="56" fillId="6" borderId="52" xfId="1" applyNumberFormat="1" applyFont="1" applyFill="1" applyBorder="1" applyAlignment="1" applyProtection="1"/>
    <xf numFmtId="178" fontId="53" fillId="6" borderId="32" xfId="0" applyNumberFormat="1" applyFont="1" applyFill="1" applyBorder="1" applyAlignment="1" applyProtection="1">
      <alignment horizontal="center" vertical="center"/>
    </xf>
    <xf numFmtId="49" fontId="56" fillId="6" borderId="68" xfId="1" applyNumberFormat="1" applyFont="1" applyFill="1" applyBorder="1" applyAlignment="1" applyProtection="1"/>
    <xf numFmtId="0" fontId="52" fillId="3" borderId="0" xfId="0" applyFont="1" applyFill="1" applyAlignment="1" applyProtection="1">
      <alignment horizontal="left" vertical="center"/>
      <protection locked="0"/>
    </xf>
    <xf numFmtId="0" fontId="59" fillId="6" borderId="1" xfId="0" applyFont="1" applyFill="1" applyBorder="1" applyAlignment="1" applyProtection="1">
      <alignment horizontal="left"/>
    </xf>
    <xf numFmtId="0" fontId="57" fillId="6" borderId="1" xfId="0" applyFont="1" applyFill="1" applyBorder="1" applyAlignment="1" applyProtection="1">
      <alignment horizontal="center" vertical="center"/>
    </xf>
    <xf numFmtId="0" fontId="52" fillId="3" borderId="0" xfId="0" applyFont="1" applyFill="1" applyAlignment="1" applyProtection="1">
      <alignment horizontal="center" vertical="center"/>
      <protection locked="0"/>
    </xf>
    <xf numFmtId="0" fontId="46" fillId="6" borderId="1" xfId="0" applyFont="1" applyFill="1" applyBorder="1" applyAlignment="1" applyProtection="1"/>
    <xf numFmtId="182" fontId="52" fillId="6" borderId="1" xfId="0" applyNumberFormat="1" applyFont="1" applyFill="1" applyBorder="1" applyAlignment="1" applyProtection="1">
      <alignment horizontal="center"/>
    </xf>
    <xf numFmtId="182" fontId="46" fillId="6" borderId="1" xfId="0" applyNumberFormat="1" applyFont="1" applyFill="1" applyBorder="1" applyAlignment="1" applyProtection="1">
      <alignment horizontal="center"/>
    </xf>
    <xf numFmtId="0" fontId="44" fillId="6" borderId="0" xfId="1" applyFont="1" applyFill="1" applyBorder="1" applyAlignment="1" applyProtection="1">
      <alignment vertical="center"/>
    </xf>
    <xf numFmtId="177" fontId="98" fillId="6" borderId="1" xfId="0" applyNumberFormat="1" applyFont="1" applyFill="1" applyBorder="1" applyAlignment="1" applyProtection="1">
      <alignment horizontal="center" vertical="center"/>
    </xf>
    <xf numFmtId="177" fontId="98" fillId="6" borderId="24" xfId="0" applyNumberFormat="1" applyFont="1" applyFill="1" applyBorder="1" applyAlignment="1" applyProtection="1">
      <alignment horizontal="center" vertical="center"/>
    </xf>
    <xf numFmtId="178" fontId="46"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right" vertical="center"/>
    </xf>
    <xf numFmtId="178" fontId="45" fillId="6" borderId="1" xfId="1" applyNumberFormat="1" applyFont="1" applyFill="1" applyBorder="1" applyAlignment="1" applyProtection="1">
      <alignment vertical="center"/>
    </xf>
    <xf numFmtId="178" fontId="45" fillId="6" borderId="54" xfId="1" applyNumberFormat="1" applyFont="1" applyFill="1" applyBorder="1" applyAlignment="1" applyProtection="1">
      <alignment vertical="center"/>
    </xf>
    <xf numFmtId="10" fontId="45" fillId="6" borderId="13" xfId="0" applyNumberFormat="1" applyFont="1" applyFill="1" applyBorder="1" applyAlignment="1" applyProtection="1">
      <alignment horizontal="center" vertical="center"/>
    </xf>
    <xf numFmtId="187" fontId="46" fillId="6" borderId="1" xfId="0" applyNumberFormat="1" applyFont="1" applyFill="1" applyBorder="1" applyAlignment="1" applyProtection="1">
      <alignment horizontal="center"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78" fontId="45" fillId="6" borderId="3" xfId="0" applyNumberFormat="1" applyFont="1" applyFill="1" applyBorder="1" applyAlignment="1" applyProtection="1">
      <alignment horizontal="center" vertical="center" wrapText="1"/>
    </xf>
    <xf numFmtId="10" fontId="45"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0" fontId="46" fillId="6" borderId="1" xfId="0" applyNumberFormat="1" applyFont="1" applyFill="1" applyBorder="1" applyAlignment="1" applyProtection="1">
      <alignment horizontal="center" vertical="center" wrapText="1"/>
    </xf>
    <xf numFmtId="0" fontId="47" fillId="3" borderId="0" xfId="0" applyFont="1" applyFill="1" applyAlignment="1" applyProtection="1">
      <alignment vertical="center" wrapText="1"/>
      <protection locked="0"/>
    </xf>
    <xf numFmtId="178" fontId="46" fillId="6" borderId="1" xfId="0" applyNumberFormat="1" applyFont="1" applyFill="1" applyBorder="1" applyAlignment="1" applyProtection="1">
      <alignment horizontal="center" vertical="center" wrapText="1"/>
    </xf>
    <xf numFmtId="0" fontId="62" fillId="0" borderId="0" xfId="0" applyFont="1" applyFill="1" applyAlignment="1" applyProtection="1">
      <alignment vertical="center"/>
      <protection locked="0"/>
    </xf>
    <xf numFmtId="0" fontId="44" fillId="6" borderId="1" xfId="0" applyFont="1" applyFill="1" applyBorder="1" applyAlignment="1" applyProtection="1">
      <alignment horizontal="center" vertical="center"/>
    </xf>
    <xf numFmtId="49" fontId="46" fillId="6" borderId="6" xfId="0" applyNumberFormat="1"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46" fillId="6" borderId="21" xfId="0" applyFont="1" applyFill="1" applyBorder="1" applyAlignment="1" applyProtection="1">
      <alignment horizontal="center" vertical="center"/>
    </xf>
    <xf numFmtId="49" fontId="51" fillId="6" borderId="11" xfId="0" applyNumberFormat="1" applyFont="1" applyFill="1" applyBorder="1" applyAlignme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51" fillId="6" borderId="24" xfId="0" applyFont="1" applyFill="1" applyBorder="1" applyAlignment="1" applyProtection="1">
      <alignment horizontal="center" vertical="center"/>
    </xf>
    <xf numFmtId="49" fontId="51" fillId="6" borderId="14" xfId="0" applyNumberFormat="1" applyFont="1" applyFill="1" applyBorder="1" applyAlignment="1" applyProtection="1">
      <alignment vertical="center"/>
    </xf>
    <xf numFmtId="0" fontId="51" fillId="6" borderId="15" xfId="0" applyFont="1" applyFill="1" applyBorder="1" applyAlignment="1" applyProtection="1">
      <alignment vertical="center" wrapText="1"/>
    </xf>
    <xf numFmtId="0" fontId="51" fillId="6" borderId="15" xfId="0" applyFont="1" applyFill="1" applyBorder="1" applyAlignment="1" applyProtection="1">
      <alignment horizontal="center" vertical="center"/>
    </xf>
    <xf numFmtId="0" fontId="46" fillId="6" borderId="15" xfId="0" applyFont="1" applyFill="1" applyBorder="1" applyAlignment="1" applyProtection="1">
      <alignment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vertical="center" wrapText="1"/>
    </xf>
    <xf numFmtId="0" fontId="51" fillId="6" borderId="2" xfId="0" applyFont="1" applyFill="1" applyBorder="1" applyAlignment="1" applyProtection="1">
      <alignment horizontal="center" vertical="center"/>
    </xf>
    <xf numFmtId="0" fontId="46" fillId="6" borderId="2" xfId="0" applyFont="1" applyFill="1" applyBorder="1" applyAlignment="1" applyProtection="1">
      <alignment vertical="center"/>
    </xf>
    <xf numFmtId="182" fontId="51" fillId="6" borderId="24" xfId="0" applyNumberFormat="1" applyFont="1" applyFill="1" applyBorder="1" applyAlignment="1" applyProtection="1">
      <alignment horizontal="center" vertical="center"/>
    </xf>
    <xf numFmtId="0" fontId="46" fillId="6" borderId="13" xfId="0" applyFont="1" applyFill="1" applyBorder="1" applyAlignment="1" applyProtection="1">
      <alignment horizontal="left" vertical="center"/>
    </xf>
    <xf numFmtId="182" fontId="51" fillId="6" borderId="61" xfId="0" applyNumberFormat="1" applyFont="1" applyFill="1" applyBorder="1" applyAlignment="1" applyProtection="1">
      <alignment horizontal="center" vertical="center"/>
    </xf>
    <xf numFmtId="49" fontId="51" fillId="6" borderId="23" xfId="0" applyNumberFormat="1"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182" fontId="46" fillId="6" borderId="61" xfId="0" applyNumberFormat="1" applyFont="1" applyFill="1" applyBorder="1" applyAlignment="1" applyProtection="1">
      <alignment horizontal="center" vertical="center"/>
    </xf>
    <xf numFmtId="0" fontId="98" fillId="6" borderId="5" xfId="0" applyFont="1" applyFill="1" applyBorder="1" applyAlignment="1" applyProtection="1">
      <alignment horizontal="center" vertical="center"/>
    </xf>
    <xf numFmtId="180" fontId="51" fillId="6" borderId="48" xfId="0" applyNumberFormat="1" applyFont="1" applyFill="1" applyBorder="1" applyAlignment="1" applyProtection="1">
      <alignment horizontal="center" vertical="center"/>
    </xf>
    <xf numFmtId="0" fontId="46" fillId="6" borderId="2" xfId="0" applyFont="1" applyFill="1" applyBorder="1" applyAlignment="1" applyProtection="1">
      <alignment horizontal="left" vertical="center"/>
    </xf>
    <xf numFmtId="182" fontId="46" fillId="6" borderId="8"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vertical="center" wrapText="1"/>
    </xf>
    <xf numFmtId="0" fontId="46" fillId="6" borderId="13" xfId="0" applyFont="1" applyFill="1" applyBorder="1" applyAlignment="1" applyProtection="1">
      <alignment horizontal="left" vertical="center" wrapText="1"/>
    </xf>
    <xf numFmtId="0" fontId="46" fillId="6" borderId="24" xfId="0" applyFont="1" applyFill="1" applyBorder="1" applyAlignment="1" applyProtection="1">
      <alignment horizontal="center" vertical="center"/>
    </xf>
    <xf numFmtId="49" fontId="46" fillId="6" borderId="41" xfId="0" applyNumberFormat="1" applyFont="1" applyFill="1" applyBorder="1" applyAlignment="1" applyProtection="1">
      <alignment vertical="center"/>
    </xf>
    <xf numFmtId="0" fontId="46" fillId="6" borderId="2" xfId="0" applyFont="1" applyFill="1" applyBorder="1" applyAlignment="1" applyProtection="1">
      <alignment horizontal="left" vertical="center" wrapText="1"/>
    </xf>
    <xf numFmtId="10" fontId="51"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vertical="center"/>
    </xf>
    <xf numFmtId="183" fontId="51" fillId="6" borderId="24" xfId="0" applyNumberFormat="1" applyFont="1" applyFill="1" applyBorder="1" applyAlignment="1" applyProtection="1">
      <alignment horizontal="center" vertical="center"/>
    </xf>
    <xf numFmtId="10" fontId="46" fillId="6" borderId="24" xfId="0" applyNumberFormat="1" applyFont="1" applyFill="1" applyBorder="1" applyAlignment="1" applyProtection="1">
      <alignment horizontal="center" vertical="center"/>
    </xf>
    <xf numFmtId="0" fontId="46" fillId="6" borderId="15" xfId="0" applyFont="1" applyFill="1" applyBorder="1" applyAlignment="1" applyProtection="1">
      <alignment horizontal="left" vertical="center" wrapText="1"/>
    </xf>
    <xf numFmtId="180" fontId="51" fillId="6" borderId="24" xfId="0" applyNumberFormat="1" applyFont="1" applyFill="1" applyBorder="1" applyAlignment="1" applyProtection="1">
      <alignment horizontal="center" vertical="center"/>
    </xf>
    <xf numFmtId="49" fontId="51" fillId="6" borderId="25" xfId="0" applyNumberFormat="1" applyFont="1" applyFill="1" applyBorder="1" applyAlignment="1" applyProtection="1">
      <alignment horizontal="left" vertical="center"/>
    </xf>
    <xf numFmtId="0" fontId="51" fillId="6" borderId="32" xfId="0"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46" fillId="6" borderId="32" xfId="0" applyFont="1" applyFill="1" applyBorder="1" applyAlignment="1" applyProtection="1">
      <alignment vertical="center"/>
    </xf>
    <xf numFmtId="0" fontId="46" fillId="6" borderId="32" xfId="0" applyFont="1" applyFill="1" applyBorder="1" applyAlignment="1" applyProtection="1">
      <alignment horizontal="left" vertical="center"/>
    </xf>
    <xf numFmtId="180" fontId="51" fillId="6" borderId="49" xfId="0" applyNumberFormat="1" applyFont="1" applyFill="1" applyBorder="1" applyAlignment="1" applyProtection="1">
      <alignment horizontal="center" vertical="center"/>
    </xf>
    <xf numFmtId="0" fontId="52" fillId="6" borderId="1" xfId="0" applyFont="1" applyFill="1" applyBorder="1" applyAlignment="1" applyProtection="1">
      <alignment horizontal="left"/>
    </xf>
    <xf numFmtId="186" fontId="52" fillId="6" borderId="1" xfId="0" applyNumberFormat="1" applyFont="1" applyFill="1" applyBorder="1" applyAlignment="1" applyProtection="1">
      <alignment horizontal="center"/>
    </xf>
    <xf numFmtId="0" fontId="52" fillId="6" borderId="1" xfId="0" applyFont="1" applyFill="1" applyBorder="1" applyAlignment="1" applyProtection="1">
      <alignment vertical="center" wrapText="1"/>
    </xf>
    <xf numFmtId="182" fontId="51" fillId="6" borderId="1" xfId="0" applyNumberFormat="1" applyFont="1" applyFill="1" applyBorder="1" applyAlignment="1" applyProtection="1">
      <alignment horizontal="center" vertical="center"/>
    </xf>
    <xf numFmtId="0" fontId="101" fillId="6" borderId="1" xfId="0" applyFont="1" applyFill="1" applyBorder="1" applyAlignment="1" applyProtection="1">
      <alignment horizontal="left"/>
    </xf>
    <xf numFmtId="0" fontId="101" fillId="6" borderId="1" xfId="0" applyFont="1" applyFill="1" applyBorder="1" applyAlignment="1" applyProtection="1">
      <alignment horizontal="center"/>
    </xf>
    <xf numFmtId="0" fontId="59" fillId="6" borderId="1" xfId="0" applyFont="1" applyFill="1" applyBorder="1" applyAlignment="1" applyProtection="1">
      <alignment horizontal="center"/>
    </xf>
    <xf numFmtId="0" fontId="57" fillId="0" borderId="0" xfId="0" applyFont="1" applyFill="1" applyAlignment="1" applyProtection="1">
      <alignment horizontal="center" vertical="center"/>
      <protection locked="0"/>
    </xf>
    <xf numFmtId="0" fontId="100" fillId="6" borderId="46" xfId="0" applyFont="1" applyFill="1" applyBorder="1" applyAlignment="1" applyProtection="1">
      <alignment vertical="center"/>
    </xf>
    <xf numFmtId="0" fontId="61" fillId="6" borderId="36" xfId="0" applyFont="1" applyFill="1" applyBorder="1" applyAlignment="1" applyProtection="1">
      <alignment horizontal="right" vertical="center"/>
    </xf>
    <xf numFmtId="0" fontId="61" fillId="6" borderId="0" xfId="0" applyFont="1" applyFill="1" applyAlignment="1" applyProtection="1">
      <alignment horizontal="center" vertical="center"/>
    </xf>
    <xf numFmtId="0" fontId="62" fillId="0" borderId="0" xfId="0" applyFont="1" applyFill="1" applyBorder="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56" fillId="6" borderId="13" xfId="0" applyFont="1" applyFill="1" applyBorder="1" applyAlignment="1" applyProtection="1">
      <alignment horizontal="right" vertical="center"/>
    </xf>
    <xf numFmtId="0" fontId="56" fillId="6" borderId="13" xfId="0" applyFont="1" applyFill="1" applyBorder="1" applyAlignment="1" applyProtection="1">
      <alignment horizontal="center" vertical="center"/>
    </xf>
    <xf numFmtId="0" fontId="49" fillId="6" borderId="16" xfId="0" applyFont="1" applyFill="1" applyBorder="1" applyAlignment="1" applyProtection="1">
      <alignment vertical="center" wrapText="1"/>
    </xf>
    <xf numFmtId="0" fontId="49" fillId="6" borderId="19" xfId="0" applyFont="1" applyFill="1" applyBorder="1" applyAlignment="1" applyProtection="1">
      <alignment vertical="center" wrapText="1"/>
    </xf>
    <xf numFmtId="0" fontId="50" fillId="0" borderId="0" xfId="0" applyFont="1" applyFill="1" applyAlignment="1" applyProtection="1">
      <alignment horizontal="center" vertical="center"/>
      <protection locked="0"/>
    </xf>
    <xf numFmtId="0" fontId="49" fillId="6" borderId="18"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0" fontId="45" fillId="6" borderId="63" xfId="0" applyFont="1" applyFill="1" applyBorder="1" applyAlignment="1" applyProtection="1">
      <alignment vertical="center" wrapText="1"/>
    </xf>
    <xf numFmtId="0" fontId="45" fillId="6" borderId="64" xfId="0" applyFont="1" applyFill="1" applyBorder="1" applyAlignment="1" applyProtection="1">
      <alignment vertical="center" wrapText="1"/>
    </xf>
    <xf numFmtId="184" fontId="43" fillId="6" borderId="26" xfId="0" applyNumberFormat="1" applyFont="1" applyFill="1" applyBorder="1" applyAlignment="1" applyProtection="1">
      <alignment horizontal="center" vertical="center" wrapText="1"/>
    </xf>
    <xf numFmtId="0" fontId="43" fillId="6" borderId="67" xfId="0" applyNumberFormat="1" applyFont="1" applyFill="1" applyBorder="1" applyAlignment="1" applyProtection="1">
      <alignment horizontal="center" vertical="center" wrapText="1"/>
    </xf>
    <xf numFmtId="184" fontId="43" fillId="0" borderId="70" xfId="0" applyNumberFormat="1" applyFont="1" applyFill="1" applyBorder="1" applyAlignment="1" applyProtection="1">
      <alignment horizontal="center" vertical="center" wrapText="1"/>
      <protection locked="0"/>
    </xf>
    <xf numFmtId="0" fontId="43" fillId="6" borderId="34" xfId="0" applyNumberFormat="1" applyFont="1" applyFill="1" applyBorder="1" applyAlignment="1" applyProtection="1">
      <alignment horizontal="center" vertical="center" wrapText="1"/>
    </xf>
    <xf numFmtId="49" fontId="43" fillId="2" borderId="26" xfId="0" applyNumberFormat="1" applyFont="1" applyFill="1" applyBorder="1" applyAlignment="1" applyProtection="1">
      <alignment horizontal="center" vertical="center" wrapText="1"/>
      <protection locked="0"/>
    </xf>
    <xf numFmtId="0" fontId="45" fillId="6" borderId="40" xfId="0" applyFont="1" applyFill="1" applyBorder="1" applyAlignment="1" applyProtection="1">
      <alignment vertical="center" wrapText="1"/>
    </xf>
    <xf numFmtId="0" fontId="43" fillId="0" borderId="51" xfId="0" applyNumberFormat="1" applyFont="1" applyFill="1" applyBorder="1" applyAlignment="1" applyProtection="1">
      <alignment horizontal="center" vertical="center" wrapText="1"/>
      <protection locked="0"/>
    </xf>
    <xf numFmtId="49" fontId="43" fillId="2" borderId="30" xfId="0" applyNumberFormat="1" applyFont="1" applyFill="1" applyBorder="1" applyAlignment="1" applyProtection="1">
      <alignment horizontal="center" vertical="center" wrapText="1"/>
      <protection locked="0"/>
    </xf>
    <xf numFmtId="0" fontId="43" fillId="6" borderId="28" xfId="0" applyNumberFormat="1" applyFont="1" applyFill="1" applyBorder="1" applyAlignment="1" applyProtection="1">
      <alignment horizontal="center" vertical="center" wrapText="1"/>
    </xf>
    <xf numFmtId="49" fontId="43" fillId="2" borderId="6" xfId="0" applyNumberFormat="1" applyFont="1" applyFill="1" applyBorder="1" applyAlignment="1" applyProtection="1">
      <alignment horizontal="center" vertical="center" wrapText="1"/>
      <protection locked="0"/>
    </xf>
    <xf numFmtId="0" fontId="65" fillId="6" borderId="14" xfId="0" applyFont="1" applyFill="1" applyBorder="1" applyAlignment="1" applyProtection="1">
      <alignment vertical="center" wrapText="1"/>
    </xf>
    <xf numFmtId="0" fontId="43" fillId="6" borderId="5" xfId="0" applyFont="1" applyFill="1" applyBorder="1" applyAlignment="1" applyProtection="1">
      <alignment horizontal="center" vertical="center" wrapText="1"/>
    </xf>
    <xf numFmtId="0" fontId="43" fillId="6" borderId="5"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49" fillId="6" borderId="14" xfId="0" applyFont="1" applyFill="1" applyBorder="1" applyAlignment="1" applyProtection="1">
      <alignment vertical="center" wrapText="1"/>
    </xf>
    <xf numFmtId="0" fontId="43" fillId="0" borderId="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5" fillId="6" borderId="14" xfId="0" applyFont="1" applyFill="1" applyBorder="1" applyAlignment="1" applyProtection="1">
      <alignment vertical="center" wrapText="1"/>
    </xf>
    <xf numFmtId="0" fontId="43" fillId="0" borderId="41" xfId="0" applyNumberFormat="1" applyFont="1" applyFill="1" applyBorder="1" applyAlignment="1" applyProtection="1">
      <alignment horizontal="center" vertical="center" wrapText="1"/>
      <protection locked="0"/>
    </xf>
    <xf numFmtId="0" fontId="43" fillId="6" borderId="71" xfId="0" applyNumberFormat="1" applyFont="1" applyFill="1" applyBorder="1" applyAlignment="1" applyProtection="1">
      <alignment horizontal="center" vertical="center" wrapText="1"/>
    </xf>
    <xf numFmtId="0" fontId="50" fillId="0" borderId="37" xfId="0" applyNumberFormat="1" applyFont="1" applyFill="1" applyBorder="1" applyAlignment="1" applyProtection="1">
      <alignment horizontal="center" vertical="center" wrapText="1"/>
      <protection locked="0"/>
    </xf>
    <xf numFmtId="0" fontId="50" fillId="6" borderId="24" xfId="0" applyNumberFormat="1"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center" vertical="center" wrapText="1"/>
    </xf>
    <xf numFmtId="0" fontId="49" fillId="6" borderId="40" xfId="0"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wrapText="1"/>
    </xf>
    <xf numFmtId="49" fontId="50" fillId="0" borderId="39" xfId="0" applyNumberFormat="1" applyFont="1" applyFill="1" applyBorder="1" applyAlignment="1" applyProtection="1">
      <alignment horizontal="center" vertical="center" wrapText="1"/>
      <protection locked="0"/>
    </xf>
    <xf numFmtId="0" fontId="50" fillId="6" borderId="29" xfId="0" applyNumberFormat="1" applyFont="1" applyFill="1" applyBorder="1" applyAlignment="1" applyProtection="1">
      <alignment horizontal="center" vertical="center" wrapText="1"/>
    </xf>
    <xf numFmtId="49" fontId="50" fillId="0" borderId="40" xfId="0" applyNumberFormat="1" applyFont="1" applyFill="1" applyBorder="1" applyAlignment="1" applyProtection="1">
      <alignment horizontal="center" vertical="center" wrapText="1"/>
      <protection locked="0"/>
    </xf>
    <xf numFmtId="0" fontId="57" fillId="0" borderId="72"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3" fillId="6" borderId="46" xfId="0" applyFont="1" applyFill="1" applyBorder="1" applyAlignment="1" applyProtection="1">
      <alignment horizontal="center" vertical="center" wrapText="1"/>
    </xf>
    <xf numFmtId="49" fontId="50" fillId="0" borderId="3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horizontal="center" vertical="center" wrapText="1"/>
    </xf>
    <xf numFmtId="49" fontId="50" fillId="0" borderId="14"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43" fillId="6" borderId="4" xfId="0" applyFont="1" applyFill="1" applyBorder="1" applyAlignment="1" applyProtection="1">
      <alignment horizontal="center" vertical="center" wrapText="1"/>
    </xf>
    <xf numFmtId="49" fontId="50" fillId="0" borderId="22"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center" vertical="center" wrapText="1"/>
    </xf>
    <xf numFmtId="49" fontId="50" fillId="0" borderId="11" xfId="0" applyNumberFormat="1" applyFont="1" applyFill="1" applyBorder="1" applyAlignment="1" applyProtection="1">
      <alignment horizontal="center" vertical="center" wrapText="1"/>
      <protection locked="0"/>
    </xf>
    <xf numFmtId="0" fontId="50" fillId="2" borderId="2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43" fillId="6" borderId="8" xfId="0" applyNumberFormat="1" applyFont="1" applyFill="1" applyBorder="1" applyAlignment="1" applyProtection="1">
      <alignment horizontal="center" vertical="center" wrapText="1"/>
    </xf>
    <xf numFmtId="49" fontId="43" fillId="0" borderId="7" xfId="0" applyNumberFormat="1" applyFont="1" applyFill="1" applyBorder="1" applyAlignment="1" applyProtection="1">
      <alignment horizontal="center" vertical="center" wrapText="1"/>
      <protection locked="0"/>
    </xf>
    <xf numFmtId="0" fontId="43" fillId="6" borderId="4" xfId="0" applyNumberFormat="1"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textRotation="255" wrapText="1"/>
    </xf>
    <xf numFmtId="0" fontId="50" fillId="6" borderId="10" xfId="0" applyNumberFormat="1" applyFont="1" applyFill="1" applyBorder="1" applyAlignment="1" applyProtection="1">
      <alignment horizontal="center" vertical="center" wrapText="1"/>
    </xf>
    <xf numFmtId="0" fontId="68" fillId="6" borderId="14" xfId="0" applyFont="1" applyFill="1" applyBorder="1" applyAlignment="1" applyProtection="1">
      <alignment vertical="center" textRotation="255" wrapText="1"/>
    </xf>
    <xf numFmtId="0" fontId="43" fillId="0" borderId="37"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6" borderId="14" xfId="0" applyFont="1" applyFill="1" applyBorder="1" applyAlignment="1" applyProtection="1">
      <alignment vertical="center" textRotation="255" wrapText="1"/>
    </xf>
    <xf numFmtId="0" fontId="45" fillId="6" borderId="14" xfId="0" applyFont="1" applyFill="1" applyBorder="1" applyAlignment="1" applyProtection="1">
      <alignment vertical="center" textRotation="255" wrapText="1"/>
    </xf>
    <xf numFmtId="9" fontId="43" fillId="0" borderId="37" xfId="0" applyNumberFormat="1" applyFont="1" applyFill="1" applyBorder="1" applyAlignment="1" applyProtection="1">
      <alignment horizontal="center" vertical="center" wrapText="1"/>
      <protection locked="0"/>
    </xf>
    <xf numFmtId="9" fontId="43" fillId="0" borderId="3" xfId="0" applyNumberFormat="1" applyFont="1" applyFill="1" applyBorder="1" applyAlignment="1" applyProtection="1">
      <alignment horizontal="center" vertical="center" wrapText="1"/>
      <protection locked="0"/>
    </xf>
    <xf numFmtId="9" fontId="43"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textRotation="255" wrapText="1"/>
    </xf>
    <xf numFmtId="49" fontId="49" fillId="6" borderId="51" xfId="0" applyNumberFormat="1" applyFont="1" applyFill="1" applyBorder="1" applyAlignment="1" applyProtection="1">
      <alignment vertical="center"/>
    </xf>
    <xf numFmtId="49" fontId="49" fillId="6" borderId="20" xfId="0" applyNumberFormat="1" applyFont="1" applyFill="1" applyBorder="1" applyAlignment="1" applyProtection="1">
      <alignment vertical="center"/>
    </xf>
    <xf numFmtId="0" fontId="49" fillId="6" borderId="21" xfId="0" applyFont="1" applyFill="1" applyBorder="1" applyAlignment="1" applyProtection="1">
      <alignment vertical="center" wrapText="1"/>
    </xf>
    <xf numFmtId="0" fontId="69" fillId="3" borderId="20" xfId="0" applyFont="1" applyFill="1" applyBorder="1" applyAlignment="1" applyProtection="1">
      <alignment vertical="center" wrapText="1"/>
      <protection locked="0"/>
    </xf>
    <xf numFmtId="0" fontId="69" fillId="6" borderId="20" xfId="0" applyFont="1" applyFill="1" applyBorder="1" applyAlignment="1" applyProtection="1">
      <alignment vertical="center" wrapText="1"/>
    </xf>
    <xf numFmtId="0" fontId="69" fillId="3" borderId="51" xfId="0" applyFont="1" applyFill="1" applyBorder="1" applyAlignment="1" applyProtection="1">
      <alignment vertical="center" wrapText="1"/>
      <protection locked="0"/>
    </xf>
    <xf numFmtId="0" fontId="69" fillId="6" borderId="21" xfId="0" applyFont="1" applyFill="1" applyBorder="1" applyAlignment="1" applyProtection="1">
      <alignment vertical="center" wrapText="1"/>
    </xf>
    <xf numFmtId="49" fontId="49" fillId="6" borderId="38" xfId="0" applyNumberFormat="1" applyFont="1" applyFill="1" applyBorder="1" applyAlignment="1" applyProtection="1">
      <alignment vertical="center"/>
    </xf>
    <xf numFmtId="49" fontId="49" fillId="6" borderId="52" xfId="0" applyNumberFormat="1" applyFont="1" applyFill="1" applyBorder="1" applyAlignment="1" applyProtection="1">
      <alignment vertical="center"/>
    </xf>
    <xf numFmtId="186" fontId="49" fillId="6" borderId="38" xfId="0" applyNumberFormat="1" applyFont="1" applyFill="1" applyBorder="1" applyAlignment="1" applyProtection="1">
      <alignment vertical="center" wrapText="1"/>
    </xf>
    <xf numFmtId="186" fontId="49" fillId="6" borderId="52" xfId="0" applyNumberFormat="1" applyFont="1" applyFill="1" applyBorder="1" applyAlignment="1" applyProtection="1">
      <alignment vertical="center" wrapText="1"/>
    </xf>
    <xf numFmtId="49" fontId="49" fillId="0" borderId="42" xfId="0" applyNumberFormat="1" applyFont="1" applyFill="1" applyBorder="1" applyAlignment="1" applyProtection="1">
      <alignment vertical="center"/>
      <protection locked="0"/>
    </xf>
    <xf numFmtId="49" fontId="49" fillId="0" borderId="43" xfId="0" applyNumberFormat="1" applyFont="1" applyFill="1" applyBorder="1" applyAlignment="1" applyProtection="1">
      <alignment vertical="center"/>
      <protection locked="0"/>
    </xf>
    <xf numFmtId="186" fontId="49" fillId="6" borderId="47" xfId="0" applyNumberFormat="1" applyFont="1" applyFill="1" applyBorder="1" applyAlignment="1" applyProtection="1">
      <alignment vertical="center" wrapText="1"/>
    </xf>
    <xf numFmtId="189" fontId="50" fillId="0" borderId="0" xfId="0" applyNumberFormat="1" applyFont="1" applyFill="1" applyAlignment="1" applyProtection="1">
      <alignment horizontal="center" vertical="center"/>
      <protection locked="0"/>
    </xf>
    <xf numFmtId="182" fontId="50" fillId="0" borderId="0" xfId="0" applyNumberFormat="1" applyFont="1" applyFill="1" applyAlignment="1" applyProtection="1">
      <alignment horizontal="center" vertical="center"/>
      <protection locked="0"/>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182" fontId="50" fillId="6" borderId="5" xfId="0" applyNumberFormat="1" applyFont="1" applyFill="1" applyBorder="1" applyAlignment="1" applyProtection="1">
      <alignment horizontal="center" vertical="center"/>
    </xf>
    <xf numFmtId="182" fontId="50" fillId="6" borderId="3" xfId="0" applyNumberFormat="1" applyFont="1" applyFill="1" applyBorder="1" applyAlignment="1" applyProtection="1">
      <alignment vertical="center"/>
    </xf>
    <xf numFmtId="0" fontId="49" fillId="6" borderId="3"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0" borderId="0" xfId="0" applyFont="1" applyBorder="1" applyAlignment="1" applyProtection="1">
      <protection locked="0"/>
    </xf>
    <xf numFmtId="9" fontId="43" fillId="0" borderId="0" xfId="0" applyNumberFormat="1" applyFont="1" applyFill="1" applyBorder="1" applyAlignment="1" applyProtection="1">
      <alignment horizontal="center" vertical="center" wrapText="1"/>
      <protection locked="0"/>
    </xf>
    <xf numFmtId="0" fontId="45" fillId="6" borderId="16" xfId="0" applyNumberFormat="1" applyFont="1" applyFill="1" applyBorder="1" applyAlignment="1" applyProtection="1">
      <alignment vertical="center" wrapText="1"/>
    </xf>
    <xf numFmtId="0" fontId="45" fillId="6" borderId="39" xfId="0" applyNumberFormat="1" applyFont="1" applyFill="1" applyBorder="1" applyAlignment="1" applyProtection="1">
      <alignment vertical="center" wrapText="1"/>
    </xf>
    <xf numFmtId="49" fontId="43" fillId="0" borderId="0" xfId="0" applyNumberFormat="1" applyFont="1" applyFill="1" applyBorder="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5" fillId="6" borderId="18" xfId="0" applyNumberFormat="1" applyFont="1" applyFill="1" applyBorder="1" applyAlignment="1" applyProtection="1">
      <alignment vertical="center" wrapText="1"/>
    </xf>
    <xf numFmtId="0" fontId="45" fillId="6" borderId="35" xfId="0" applyNumberFormat="1" applyFont="1" applyFill="1" applyBorder="1" applyAlignment="1" applyProtection="1">
      <alignment vertical="center" wrapText="1"/>
    </xf>
    <xf numFmtId="0" fontId="43" fillId="0" borderId="22"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0" borderId="46"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45" fillId="6" borderId="42" xfId="0" applyNumberFormat="1" applyFont="1" applyFill="1" applyBorder="1" applyAlignment="1" applyProtection="1">
      <alignment vertical="center"/>
    </xf>
    <xf numFmtId="0" fontId="45" fillId="6" borderId="73" xfId="0" applyNumberFormat="1" applyFont="1" applyFill="1" applyBorder="1" applyAlignment="1" applyProtection="1">
      <alignment vertical="center" wrapText="1"/>
    </xf>
    <xf numFmtId="0" fontId="43" fillId="0" borderId="7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vertical="center" wrapText="1"/>
    </xf>
    <xf numFmtId="0" fontId="43" fillId="6" borderId="7"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center" vertical="center" wrapText="1"/>
      <protection locked="0"/>
    </xf>
    <xf numFmtId="0" fontId="97" fillId="0" borderId="0" xfId="0" applyFont="1" applyFill="1" applyBorder="1" applyAlignment="1" applyProtection="1">
      <alignment vertical="center"/>
      <protection locked="0"/>
    </xf>
    <xf numFmtId="0" fontId="49" fillId="6" borderId="40" xfId="0" applyNumberFormat="1" applyFont="1" applyFill="1" applyBorder="1" applyAlignment="1" applyProtection="1">
      <alignment vertical="center" wrapText="1"/>
    </xf>
    <xf numFmtId="0" fontId="43" fillId="6" borderId="17"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left" vertical="center" wrapText="1"/>
      <protection locked="0"/>
    </xf>
    <xf numFmtId="0" fontId="67" fillId="0" borderId="1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8" fillId="6" borderId="77" xfId="0" applyNumberFormat="1" applyFont="1" applyFill="1" applyBorder="1" applyAlignment="1" applyProtection="1">
      <alignment horizontal="center" vertical="center" wrapText="1"/>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center" vertical="center" wrapText="1"/>
    </xf>
    <xf numFmtId="0" fontId="67" fillId="6" borderId="44" xfId="0" applyNumberFormat="1" applyFont="1" applyFill="1" applyBorder="1" applyAlignment="1" applyProtection="1">
      <alignment horizontal="center" vertical="center" wrapText="1"/>
    </xf>
    <xf numFmtId="0" fontId="67" fillId="6" borderId="44" xfId="0" applyNumberFormat="1" applyFont="1" applyFill="1" applyBorder="1" applyAlignment="1" applyProtection="1">
      <alignment horizontal="left" vertical="center" wrapText="1"/>
    </xf>
    <xf numFmtId="0" fontId="67" fillId="6" borderId="45" xfId="0" applyNumberFormat="1" applyFont="1" applyFill="1" applyBorder="1" applyAlignment="1" applyProtection="1">
      <alignment horizontal="center" vertical="center" wrapText="1"/>
    </xf>
    <xf numFmtId="0" fontId="43" fillId="6" borderId="77"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43" fillId="6" borderId="15"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24"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3"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3" fillId="0" borderId="78"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48" fillId="0" borderId="78" xfId="0" applyNumberFormat="1" applyFont="1" applyFill="1" applyBorder="1" applyAlignment="1" applyProtection="1">
      <alignment horizontal="center" vertical="center" wrapText="1"/>
      <protection locked="0"/>
    </xf>
    <xf numFmtId="0" fontId="48" fillId="0" borderId="79"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wrapText="1"/>
      <protection locked="0"/>
    </xf>
    <xf numFmtId="0" fontId="68" fillId="6" borderId="12" xfId="0" applyNumberFormat="1" applyFont="1" applyFill="1" applyBorder="1" applyAlignment="1" applyProtection="1">
      <alignment vertical="center" wrapText="1"/>
    </xf>
    <xf numFmtId="0" fontId="43" fillId="6" borderId="74" xfId="0" applyNumberFormat="1" applyFont="1" applyFill="1" applyBorder="1" applyAlignment="1" applyProtection="1">
      <alignment horizontal="center" vertical="center" wrapText="1"/>
    </xf>
    <xf numFmtId="0" fontId="43" fillId="0" borderId="32"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center" vertical="center" wrapText="1"/>
      <protection locked="0"/>
    </xf>
    <xf numFmtId="0" fontId="48" fillId="0" borderId="49" xfId="0" applyNumberFormat="1" applyFont="1" applyFill="1" applyBorder="1" applyAlignment="1" applyProtection="1">
      <alignment horizontal="center" vertical="center" wrapText="1"/>
      <protection locked="0"/>
    </xf>
    <xf numFmtId="0" fontId="43" fillId="6" borderId="9" xfId="0" applyNumberFormat="1" applyFont="1" applyFill="1" applyBorder="1" applyAlignment="1" applyProtection="1">
      <alignment horizontal="center" vertical="center" wrapText="1"/>
    </xf>
    <xf numFmtId="0" fontId="67" fillId="6" borderId="9" xfId="0" applyNumberFormat="1" applyFont="1" applyFill="1" applyBorder="1" applyAlignment="1" applyProtection="1">
      <alignment horizontal="center" vertical="center" wrapText="1"/>
    </xf>
    <xf numFmtId="0" fontId="67" fillId="6" borderId="9" xfId="0" applyNumberFormat="1" applyFont="1" applyFill="1" applyBorder="1" applyAlignment="1" applyProtection="1">
      <alignment horizontal="left" vertical="center" wrapText="1"/>
    </xf>
    <xf numFmtId="0" fontId="67" fillId="6" borderId="10"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6" borderId="44" xfId="0" applyNumberFormat="1" applyFont="1" applyFill="1" applyBorder="1" applyAlignment="1" applyProtection="1">
      <alignment horizontal="center" vertical="center" wrapText="1"/>
    </xf>
    <xf numFmtId="0" fontId="45" fillId="6" borderId="14" xfId="0" applyNumberFormat="1" applyFont="1" applyFill="1" applyBorder="1" applyAlignment="1" applyProtection="1">
      <alignment vertical="center" wrapText="1"/>
    </xf>
    <xf numFmtId="0" fontId="43" fillId="0" borderId="44" xfId="0" applyNumberFormat="1" applyFont="1" applyFill="1" applyBorder="1" applyAlignment="1" applyProtection="1">
      <alignment horizontal="left"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6" borderId="78"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center" vertical="center" wrapText="1"/>
      <protection locked="0"/>
    </xf>
    <xf numFmtId="0" fontId="67" fillId="0" borderId="44" xfId="0" applyNumberFormat="1" applyFont="1" applyFill="1" applyBorder="1" applyAlignment="1" applyProtection="1">
      <alignment horizontal="center" vertical="center" wrapText="1"/>
      <protection locked="0"/>
    </xf>
    <xf numFmtId="0" fontId="67" fillId="0" borderId="44" xfId="0" applyNumberFormat="1" applyFont="1" applyFill="1" applyBorder="1" applyAlignment="1" applyProtection="1">
      <alignment horizontal="left" vertical="center" wrapText="1"/>
      <protection locked="0"/>
    </xf>
    <xf numFmtId="0" fontId="67" fillId="0" borderId="45"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textRotation="255" wrapText="1"/>
    </xf>
    <xf numFmtId="0" fontId="43" fillId="6" borderId="58"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24"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3"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48" fillId="6" borderId="79" xfId="0" applyNumberFormat="1" applyFont="1" applyFill="1" applyBorder="1" applyAlignment="1" applyProtection="1">
      <alignment horizontal="center" vertical="center" wrapText="1"/>
    </xf>
    <xf numFmtId="186" fontId="56" fillId="6" borderId="13" xfId="0" applyNumberFormat="1" applyFont="1" applyFill="1" applyBorder="1" applyAlignment="1" applyProtection="1">
      <alignment horizontal="right" vertical="center"/>
    </xf>
    <xf numFmtId="189" fontId="43" fillId="6" borderId="3" xfId="0" applyNumberFormat="1" applyFont="1" applyFill="1" applyBorder="1" applyAlignment="1" applyProtection="1">
      <alignment horizontal="center" vertical="center" wrapText="1"/>
    </xf>
    <xf numFmtId="0" fontId="43" fillId="6"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57" fillId="6" borderId="3"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57" fillId="6" borderId="41" xfId="0" applyNumberFormat="1" applyFont="1" applyFill="1" applyBorder="1" applyAlignment="1" applyProtection="1">
      <alignment horizontal="center" vertical="center" wrapText="1"/>
    </xf>
    <xf numFmtId="0" fontId="50" fillId="2" borderId="37" xfId="0" applyNumberFormat="1" applyFont="1" applyFill="1" applyBorder="1" applyAlignment="1" applyProtection="1">
      <alignment horizontal="center" vertical="center" wrapText="1"/>
      <protection locked="0"/>
    </xf>
    <xf numFmtId="17" fontId="48" fillId="0" borderId="37" xfId="0" applyNumberFormat="1" applyFont="1" applyFill="1" applyBorder="1" applyAlignment="1" applyProtection="1">
      <alignment horizontal="center" vertical="center" wrapText="1"/>
      <protection locked="0"/>
    </xf>
    <xf numFmtId="0" fontId="48" fillId="0" borderId="37" xfId="0" applyNumberFormat="1" applyFont="1" applyFill="1" applyBorder="1" applyAlignment="1" applyProtection="1">
      <alignment horizontal="center" vertical="center" wrapText="1"/>
      <protection locked="0"/>
    </xf>
    <xf numFmtId="189" fontId="50" fillId="3" borderId="3" xfId="0" applyNumberFormat="1" applyFont="1" applyFill="1" applyBorder="1" applyAlignment="1" applyProtection="1">
      <alignment horizontal="center" vertical="center"/>
      <protection locked="0"/>
    </xf>
    <xf numFmtId="189" fontId="50" fillId="3" borderId="1" xfId="0" applyNumberFormat="1" applyFont="1" applyFill="1" applyBorder="1" applyAlignment="1" applyProtection="1">
      <alignment horizontal="center" vertical="center" wrapText="1"/>
      <protection locked="0"/>
    </xf>
    <xf numFmtId="0" fontId="43" fillId="6" borderId="45" xfId="0" applyNumberFormat="1" applyFont="1" applyFill="1" applyBorder="1" applyAlignment="1" applyProtection="1">
      <alignment horizontal="center" vertical="center" wrapText="1"/>
    </xf>
    <xf numFmtId="0" fontId="50" fillId="0" borderId="1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left" vertical="center" wrapText="1"/>
      <protection locked="0"/>
    </xf>
    <xf numFmtId="0" fontId="67" fillId="0" borderId="5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3" fillId="0" borderId="12" xfId="0" applyNumberFormat="1" applyFont="1" applyFill="1" applyBorder="1" applyAlignment="1" applyProtection="1">
      <alignment horizontal="center" vertical="center" wrapText="1"/>
      <protection locked="0"/>
    </xf>
    <xf numFmtId="0" fontId="43" fillId="6" borderId="62" xfId="0" applyFont="1" applyFill="1" applyBorder="1" applyAlignment="1" applyProtection="1">
      <alignment horizontal="center" vertical="center" wrapText="1"/>
    </xf>
    <xf numFmtId="0" fontId="50" fillId="6" borderId="56" xfId="0" applyFont="1" applyFill="1" applyBorder="1" applyAlignment="1" applyProtection="1">
      <alignment horizontal="center" vertical="center"/>
    </xf>
    <xf numFmtId="0" fontId="43" fillId="6" borderId="61" xfId="0" applyFont="1" applyFill="1" applyBorder="1" applyAlignment="1" applyProtection="1">
      <alignment horizontal="center" vertical="center" wrapText="1"/>
    </xf>
    <xf numFmtId="0" fontId="43" fillId="6" borderId="8" xfId="0" applyFont="1" applyFill="1" applyBorder="1" applyAlignment="1" applyProtection="1">
      <alignment horizontal="center" vertical="center" wrapText="1"/>
    </xf>
    <xf numFmtId="0" fontId="43" fillId="6" borderId="53" xfId="0" applyFont="1" applyFill="1" applyBorder="1" applyAlignment="1" applyProtection="1">
      <alignment horizontal="center" vertical="center" wrapText="1"/>
    </xf>
    <xf numFmtId="0" fontId="50" fillId="2" borderId="54"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3" fillId="6" borderId="22" xfId="0" applyNumberFormat="1" applyFont="1" applyFill="1" applyBorder="1" applyAlignment="1" applyProtection="1">
      <alignment horizontal="center" vertical="center" wrapText="1"/>
    </xf>
    <xf numFmtId="0" fontId="43" fillId="6" borderId="20" xfId="0" applyFont="1" applyFill="1" applyBorder="1" applyAlignment="1" applyProtection="1">
      <alignment horizontal="center" vertical="center" wrapText="1"/>
    </xf>
    <xf numFmtId="0" fontId="65" fillId="6" borderId="80" xfId="0" applyFont="1" applyFill="1" applyBorder="1" applyAlignment="1" applyProtection="1">
      <alignment vertical="center" wrapText="1"/>
    </xf>
    <xf numFmtId="0" fontId="43" fillId="6" borderId="54" xfId="0" applyFont="1" applyFill="1" applyBorder="1" applyAlignment="1" applyProtection="1">
      <alignment horizontal="center" vertical="center" wrapText="1"/>
    </xf>
    <xf numFmtId="0" fontId="49" fillId="6" borderId="80" xfId="0" applyFont="1" applyFill="1" applyBorder="1" applyAlignment="1" applyProtection="1">
      <alignment vertical="center" wrapText="1"/>
    </xf>
    <xf numFmtId="0" fontId="43" fillId="0" borderId="36" xfId="0" applyFont="1" applyFill="1" applyBorder="1" applyAlignment="1" applyProtection="1">
      <alignment horizontal="center" vertical="center" wrapText="1"/>
      <protection locked="0"/>
    </xf>
    <xf numFmtId="0" fontId="45" fillId="6" borderId="80" xfId="0" applyFont="1" applyFill="1" applyBorder="1" applyAlignment="1" applyProtection="1">
      <alignment vertical="center" wrapText="1"/>
    </xf>
    <xf numFmtId="0" fontId="49" fillId="6" borderId="81" xfId="0" applyFont="1" applyFill="1" applyBorder="1" applyAlignment="1" applyProtection="1">
      <alignment vertical="center" wrapText="1"/>
    </xf>
    <xf numFmtId="0" fontId="50" fillId="6" borderId="53" xfId="0" applyFont="1" applyFill="1" applyBorder="1" applyAlignment="1" applyProtection="1">
      <alignment horizontal="center" vertical="center"/>
    </xf>
    <xf numFmtId="0" fontId="43" fillId="0" borderId="61" xfId="0" applyFont="1" applyFill="1" applyBorder="1" applyAlignment="1" applyProtection="1">
      <alignment horizontal="center" vertical="center" wrapText="1"/>
      <protection locked="0"/>
    </xf>
    <xf numFmtId="0" fontId="45" fillId="6" borderId="18" xfId="0" applyFont="1" applyFill="1" applyBorder="1" applyAlignment="1" applyProtection="1">
      <alignment vertical="center" wrapText="1"/>
    </xf>
    <xf numFmtId="0" fontId="43" fillId="6" borderId="76" xfId="0" applyNumberFormat="1" applyFont="1" applyFill="1" applyBorder="1" applyAlignment="1" applyProtection="1">
      <alignment horizontal="center" vertical="center" wrapText="1"/>
    </xf>
    <xf numFmtId="0" fontId="43" fillId="6" borderId="75" xfId="0" applyNumberFormat="1" applyFont="1" applyFill="1" applyBorder="1" applyAlignment="1" applyProtection="1">
      <alignment horizontal="center" vertical="center" wrapText="1"/>
    </xf>
    <xf numFmtId="0" fontId="49" fillId="6" borderId="16" xfId="0" applyFont="1" applyFill="1" applyBorder="1" applyAlignment="1" applyProtection="1">
      <alignment vertical="center" textRotation="255" wrapText="1"/>
    </xf>
    <xf numFmtId="0" fontId="68" fillId="6" borderId="18" xfId="0" applyFont="1" applyFill="1" applyBorder="1" applyAlignment="1" applyProtection="1">
      <alignment vertical="center" textRotation="255" wrapText="1"/>
    </xf>
    <xf numFmtId="0" fontId="43" fillId="6" borderId="24" xfId="0" applyFont="1" applyFill="1" applyBorder="1" applyAlignment="1" applyProtection="1">
      <alignment horizontal="center" vertical="center" wrapText="1"/>
    </xf>
    <xf numFmtId="0" fontId="49" fillId="6" borderId="18" xfId="0" applyFont="1" applyFill="1" applyBorder="1" applyAlignment="1" applyProtection="1">
      <alignment vertical="center" textRotation="255" wrapText="1"/>
    </xf>
    <xf numFmtId="0" fontId="43" fillId="2" borderId="37" xfId="0" applyNumberFormat="1" applyFont="1" applyFill="1" applyBorder="1" applyAlignment="1" applyProtection="1">
      <alignment horizontal="center" vertical="center" wrapText="1"/>
      <protection locked="0"/>
    </xf>
    <xf numFmtId="0" fontId="45" fillId="6" borderId="18" xfId="0" applyFont="1" applyFill="1" applyBorder="1" applyAlignment="1" applyProtection="1">
      <alignment vertical="center" textRotation="255" wrapText="1"/>
    </xf>
    <xf numFmtId="0" fontId="49" fillId="6" borderId="42" xfId="0" applyFont="1" applyFill="1" applyBorder="1" applyAlignment="1" applyProtection="1">
      <alignment vertical="center" textRotation="255" wrapText="1"/>
    </xf>
    <xf numFmtId="0" fontId="50" fillId="6" borderId="15" xfId="0" applyNumberFormat="1"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left" vertical="center" wrapText="1"/>
      <protection locked="0"/>
    </xf>
    <xf numFmtId="49" fontId="67" fillId="0" borderId="10" xfId="0" applyNumberFormat="1" applyFont="1" applyFill="1" applyBorder="1" applyAlignment="1" applyProtection="1">
      <alignment horizontal="center" vertical="center" wrapText="1"/>
      <protection locked="0"/>
    </xf>
    <xf numFmtId="0" fontId="43" fillId="6" borderId="53" xfId="0" applyNumberFormat="1" applyFont="1" applyFill="1" applyBorder="1" applyAlignment="1" applyProtection="1">
      <alignment horizontal="center" vertical="center" wrapText="1"/>
    </xf>
    <xf numFmtId="0" fontId="43" fillId="6" borderId="58"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wrapText="1"/>
    </xf>
    <xf numFmtId="0" fontId="67" fillId="6" borderId="53" xfId="0"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right" vertical="center"/>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0" fillId="0" borderId="23"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horizontal="center" vertical="center"/>
    </xf>
    <xf numFmtId="0" fontId="68" fillId="6" borderId="42" xfId="0" applyFont="1" applyFill="1" applyBorder="1" applyAlignment="1" applyProtection="1">
      <alignment vertical="center" textRotation="255" wrapText="1"/>
    </xf>
    <xf numFmtId="0" fontId="50" fillId="0" borderId="13" xfId="0" applyNumberFormat="1" applyFont="1" applyFill="1" applyBorder="1" applyAlignment="1" applyProtection="1">
      <alignment horizontal="center" vertical="center" wrapText="1"/>
      <protection locked="0"/>
    </xf>
    <xf numFmtId="0" fontId="50" fillId="0" borderId="25"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right" vertical="center" wrapText="1"/>
    </xf>
    <xf numFmtId="49" fontId="49" fillId="6" borderId="68" xfId="0" applyNumberFormat="1" applyFont="1" applyFill="1" applyBorder="1" applyAlignment="1" applyProtection="1">
      <alignment vertical="center"/>
    </xf>
    <xf numFmtId="14" fontId="50" fillId="6" borderId="6" xfId="0" applyNumberFormat="1" applyFont="1" applyFill="1" applyBorder="1" applyAlignment="1" applyProtection="1">
      <alignment horizontal="left" vertical="center"/>
    </xf>
    <xf numFmtId="177" fontId="50" fillId="6" borderId="9"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23" xfId="0" applyFont="1" applyFill="1" applyBorder="1" applyAlignment="1" applyProtection="1"/>
    <xf numFmtId="186" fontId="52" fillId="6" borderId="1" xfId="1" applyNumberFormat="1" applyFont="1" applyFill="1" applyBorder="1" applyAlignment="1" applyProtection="1">
      <alignment horizontal="center"/>
    </xf>
    <xf numFmtId="0" fontId="52" fillId="6" borderId="1" xfId="0" applyFont="1" applyFill="1" applyBorder="1" applyAlignment="1" applyProtection="1">
      <alignment horizontal="center"/>
    </xf>
    <xf numFmtId="178" fontId="52" fillId="6" borderId="24" xfId="1" applyNumberFormat="1" applyFont="1" applyFill="1" applyBorder="1" applyAlignment="1" applyProtection="1">
      <alignment horizontal="center"/>
    </xf>
    <xf numFmtId="0" fontId="71" fillId="0" borderId="0" xfId="0" applyFont="1" applyFill="1" applyAlignment="1" applyProtection="1">
      <alignment horizontal="center" vertical="center"/>
      <protection locked="0"/>
    </xf>
    <xf numFmtId="0" fontId="52" fillId="6" borderId="23" xfId="1" applyFont="1" applyFill="1" applyBorder="1" applyAlignment="1" applyProtection="1"/>
    <xf numFmtId="180" fontId="52" fillId="0" borderId="1" xfId="1" applyNumberFormat="1" applyFont="1" applyFill="1" applyBorder="1" applyAlignment="1" applyProtection="1">
      <alignment horizontal="center"/>
      <protection locked="0"/>
    </xf>
    <xf numFmtId="0" fontId="53" fillId="6" borderId="25" xfId="1" applyFont="1" applyFill="1" applyBorder="1" applyAlignment="1" applyProtection="1"/>
    <xf numFmtId="0" fontId="52" fillId="6" borderId="32" xfId="0" applyFont="1" applyFill="1" applyBorder="1" applyAlignment="1" applyProtection="1">
      <alignment horizontal="center"/>
    </xf>
    <xf numFmtId="178" fontId="53" fillId="6" borderId="49" xfId="0" applyNumberFormat="1" applyFont="1" applyFill="1" applyBorder="1" applyAlignment="1" applyProtection="1">
      <alignment horizontal="center"/>
    </xf>
    <xf numFmtId="0" fontId="43" fillId="6" borderId="44"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50" fillId="0" borderId="66" xfId="0" applyNumberFormat="1" applyFont="1" applyFill="1" applyBorder="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46" fillId="6" borderId="16" xfId="0"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6" borderId="31"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46" fillId="6" borderId="18" xfId="0" applyNumberFormat="1" applyFont="1" applyFill="1" applyBorder="1" applyAlignment="1" applyProtection="1">
      <alignment horizontal="center" vertical="center"/>
    </xf>
    <xf numFmtId="0" fontId="46" fillId="0"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7" fillId="6" borderId="59"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protection locked="0"/>
    </xf>
    <xf numFmtId="0" fontId="46" fillId="0" borderId="56"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6" borderId="1" xfId="0" applyFont="1" applyFill="1" applyBorder="1" applyAlignment="1" applyProtection="1">
      <alignment horizontal="center" vertical="center"/>
    </xf>
    <xf numFmtId="0" fontId="59" fillId="2" borderId="1"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0" fontId="59" fillId="0" borderId="0" xfId="0" applyFont="1" applyProtection="1">
      <alignment vertical="center"/>
      <protection locked="0"/>
    </xf>
    <xf numFmtId="0" fontId="43" fillId="6" borderId="23" xfId="0" applyFont="1" applyFill="1" applyBorder="1" applyAlignment="1" applyProtection="1">
      <alignment vertical="center"/>
    </xf>
    <xf numFmtId="0" fontId="52" fillId="0" borderId="8" xfId="1" applyNumberFormat="1" applyFont="1" applyFill="1" applyBorder="1" applyAlignment="1" applyProtection="1">
      <alignment horizontal="center" vertical="center"/>
      <protection locked="0"/>
    </xf>
    <xf numFmtId="0" fontId="52" fillId="0" borderId="61" xfId="1" applyNumberFormat="1" applyFont="1" applyFill="1" applyBorder="1" applyAlignment="1" applyProtection="1">
      <alignment horizontal="center" vertical="center"/>
      <protection locked="0"/>
    </xf>
    <xf numFmtId="182" fontId="46" fillId="0" borderId="10" xfId="0" applyNumberFormat="1" applyFont="1" applyFill="1" applyBorder="1" applyAlignment="1" applyProtection="1">
      <alignment horizontal="center" vertical="center"/>
      <protection locked="0"/>
    </xf>
    <xf numFmtId="0" fontId="45" fillId="0" borderId="32" xfId="0" applyFont="1" applyFill="1" applyBorder="1" applyAlignment="1" applyProtection="1">
      <alignment horizontal="center" vertical="center"/>
      <protection locked="0"/>
    </xf>
    <xf numFmtId="0" fontId="97" fillId="0" borderId="0" xfId="0" applyFont="1" applyProtection="1">
      <alignment vertical="center"/>
    </xf>
    <xf numFmtId="180" fontId="45" fillId="6" borderId="66" xfId="0" applyNumberFormat="1" applyFont="1" applyFill="1" applyBorder="1" applyAlignment="1" applyProtection="1">
      <alignment vertical="center"/>
    </xf>
    <xf numFmtId="180" fontId="45" fillId="6" borderId="32" xfId="0" applyNumberFormat="1" applyFont="1" applyFill="1" applyBorder="1" applyAlignment="1" applyProtection="1">
      <alignment vertical="center"/>
    </xf>
    <xf numFmtId="180" fontId="45" fillId="6" borderId="49" xfId="0" applyNumberFormat="1" applyFont="1" applyFill="1" applyBorder="1" applyAlignment="1" applyProtection="1">
      <alignment vertical="center"/>
    </xf>
    <xf numFmtId="0" fontId="46" fillId="6" borderId="0" xfId="0" applyFont="1" applyFill="1" applyAlignment="1" applyProtection="1">
      <alignment vertical="center"/>
    </xf>
    <xf numFmtId="0" fontId="97" fillId="6" borderId="0" xfId="0" applyFont="1" applyFill="1" applyAlignment="1" applyProtection="1">
      <alignment vertical="center"/>
    </xf>
    <xf numFmtId="0" fontId="97" fillId="6" borderId="0" xfId="0" applyFont="1" applyFill="1" applyAlignment="1" applyProtection="1">
      <alignment horizontal="left" vertical="center"/>
    </xf>
    <xf numFmtId="0" fontId="97" fillId="6" borderId="0" xfId="2" applyFont="1" applyFill="1" applyAlignment="1" applyProtection="1">
      <alignment horizontal="left"/>
    </xf>
    <xf numFmtId="49" fontId="56" fillId="6" borderId="0" xfId="0" applyNumberFormat="1" applyFont="1" applyFill="1" applyBorder="1" applyAlignment="1" applyProtection="1">
      <alignment horizontal="center"/>
    </xf>
    <xf numFmtId="0" fontId="46" fillId="6" borderId="0" xfId="0" applyFont="1" applyFill="1" applyBorder="1" applyAlignment="1" applyProtection="1">
      <alignment vertical="center"/>
    </xf>
    <xf numFmtId="0" fontId="64" fillId="6" borderId="36" xfId="0" applyFont="1" applyFill="1" applyBorder="1" applyAlignment="1" applyProtection="1">
      <alignment vertical="center"/>
    </xf>
    <xf numFmtId="0" fontId="61" fillId="6" borderId="36" xfId="0" applyFont="1" applyFill="1" applyBorder="1" applyAlignment="1" applyProtection="1">
      <alignment vertical="center"/>
    </xf>
    <xf numFmtId="189" fontId="61" fillId="6" borderId="36" xfId="0" applyNumberFormat="1" applyFont="1" applyFill="1" applyBorder="1" applyAlignment="1" applyProtection="1">
      <alignment horizontal="center" vertical="center"/>
    </xf>
    <xf numFmtId="182" fontId="61" fillId="6" borderId="36" xfId="0" applyNumberFormat="1" applyFont="1" applyFill="1" applyBorder="1" applyAlignment="1" applyProtection="1">
      <alignment vertical="center"/>
    </xf>
    <xf numFmtId="0" fontId="61" fillId="6" borderId="36" xfId="0" applyFont="1" applyFill="1" applyBorder="1" applyAlignment="1" applyProtection="1">
      <alignment horizontal="center" vertical="center"/>
    </xf>
    <xf numFmtId="0" fontId="50" fillId="6" borderId="0" xfId="0" applyFont="1" applyFill="1" applyAlignment="1" applyProtection="1">
      <alignment horizontal="center" vertical="center"/>
    </xf>
    <xf numFmtId="0" fontId="67" fillId="6" borderId="0" xfId="0" applyFont="1" applyFill="1" applyAlignment="1" applyProtection="1">
      <alignment horizontal="center" vertical="center"/>
    </xf>
    <xf numFmtId="14" fontId="50" fillId="6" borderId="0" xfId="0" applyNumberFormat="1" applyFont="1" applyFill="1" applyAlignment="1" applyProtection="1">
      <alignment horizontal="center" vertical="center"/>
    </xf>
    <xf numFmtId="177" fontId="50" fillId="6" borderId="0" xfId="0" applyNumberFormat="1" applyFont="1" applyFill="1" applyAlignment="1" applyProtection="1">
      <alignment horizontal="center" vertical="center"/>
    </xf>
    <xf numFmtId="0" fontId="55" fillId="6" borderId="0" xfId="0" applyFont="1" applyFill="1" applyBorder="1" applyAlignment="1" applyProtection="1"/>
    <xf numFmtId="0" fontId="50" fillId="6" borderId="0" xfId="0" applyFont="1" applyFill="1" applyBorder="1" applyAlignment="1" applyProtection="1"/>
    <xf numFmtId="0" fontId="50" fillId="6" borderId="0" xfId="0" applyFont="1" applyFill="1" applyBorder="1" applyAlignment="1" applyProtection="1">
      <alignment horizontal="center"/>
    </xf>
    <xf numFmtId="189" fontId="50" fillId="6" borderId="0" xfId="0" applyNumberFormat="1" applyFont="1" applyFill="1" applyBorder="1" applyAlignment="1" applyProtection="1">
      <alignment horizontal="center"/>
    </xf>
    <xf numFmtId="182" fontId="50" fillId="6" borderId="0" xfId="0" applyNumberFormat="1" applyFont="1" applyFill="1" applyBorder="1" applyAlignment="1" applyProtection="1"/>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188" fontId="43" fillId="6" borderId="5" xfId="0" applyNumberFormat="1" applyFont="1" applyFill="1" applyBorder="1" applyAlignment="1" applyProtection="1">
      <alignment horizontal="center" vertical="center"/>
    </xf>
    <xf numFmtId="49" fontId="43" fillId="6" borderId="3" xfId="0" applyNumberFormat="1" applyFont="1" applyFill="1" applyBorder="1" applyAlignment="1" applyProtection="1">
      <alignment horizontal="center" vertical="center"/>
    </xf>
    <xf numFmtId="0" fontId="43" fillId="6" borderId="15" xfId="0"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0" fillId="6" borderId="2" xfId="0" applyFont="1" applyFill="1" applyBorder="1" applyAlignment="1" applyProtection="1">
      <alignment vertical="center" textRotation="255" wrapText="1"/>
    </xf>
    <xf numFmtId="0" fontId="62" fillId="6" borderId="0" xfId="0" applyFont="1" applyFill="1" applyAlignment="1" applyProtection="1">
      <alignment horizontal="center" vertical="center"/>
    </xf>
    <xf numFmtId="189" fontId="50" fillId="6" borderId="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wrapText="1"/>
    </xf>
    <xf numFmtId="0" fontId="61" fillId="6" borderId="60" xfId="0" applyFont="1" applyFill="1" applyBorder="1" applyAlignment="1" applyProtection="1">
      <alignment horizontal="center" vertical="center"/>
    </xf>
    <xf numFmtId="0" fontId="52" fillId="6" borderId="0" xfId="0" applyFont="1" applyFill="1" applyAlignment="1" applyProtection="1"/>
    <xf numFmtId="0" fontId="46" fillId="6" borderId="0" xfId="0" applyNumberFormat="1" applyFont="1" applyFill="1" applyAlignment="1" applyProtection="1">
      <alignment horizontal="center" vertical="center"/>
      <protection locked="0"/>
    </xf>
    <xf numFmtId="0" fontId="43" fillId="6" borderId="32" xfId="0" applyFont="1" applyFill="1" applyBorder="1" applyAlignment="1" applyProtection="1">
      <alignment horizontal="center" vertical="center"/>
    </xf>
    <xf numFmtId="0" fontId="43" fillId="6" borderId="49" xfId="0" applyFont="1" applyFill="1" applyBorder="1" applyAlignment="1" applyProtection="1">
      <alignment horizontal="center" vertical="center"/>
    </xf>
    <xf numFmtId="182" fontId="104" fillId="6" borderId="65" xfId="0" applyNumberFormat="1" applyFont="1" applyFill="1" applyBorder="1" applyAlignment="1" applyProtection="1">
      <alignment horizontal="center" vertical="center"/>
    </xf>
    <xf numFmtId="180" fontId="52" fillId="7" borderId="0" xfId="0" applyNumberFormat="1" applyFont="1" applyFill="1" applyBorder="1" applyAlignment="1" applyProtection="1">
      <alignment horizontal="center" vertical="center"/>
      <protection locked="0"/>
    </xf>
    <xf numFmtId="49" fontId="53" fillId="7" borderId="0" xfId="0" applyNumberFormat="1" applyFont="1" applyFill="1" applyBorder="1" applyAlignment="1" applyProtection="1">
      <alignment horizontal="left" vertical="center"/>
      <protection locked="0"/>
    </xf>
    <xf numFmtId="0" fontId="62" fillId="7" borderId="0" xfId="0" applyFont="1" applyFill="1" applyAlignment="1" applyProtection="1">
      <alignment vertical="center"/>
      <protection locked="0"/>
    </xf>
    <xf numFmtId="0" fontId="46" fillId="7" borderId="0" xfId="0" applyFont="1" applyFill="1" applyProtection="1">
      <alignment vertical="center"/>
      <protection locked="0"/>
    </xf>
    <xf numFmtId="0" fontId="52"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7" borderId="0" xfId="0" applyFont="1" applyFill="1" applyAlignment="1" applyProtection="1">
      <alignment horizontal="center" vertical="center" wrapText="1"/>
      <protection locked="0"/>
    </xf>
    <xf numFmtId="0" fontId="59" fillId="7" borderId="0" xfId="0" applyFont="1" applyFill="1" applyProtection="1">
      <alignment vertical="center"/>
      <protection locked="0"/>
    </xf>
    <xf numFmtId="10" fontId="46" fillId="0" borderId="1" xfId="1" applyNumberFormat="1" applyFont="1" applyFill="1" applyBorder="1" applyAlignment="1" applyProtection="1">
      <alignment horizontal="center" vertical="center"/>
      <protection locked="0"/>
    </xf>
    <xf numFmtId="182" fontId="98" fillId="0" borderId="1"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82" fontId="46" fillId="0" borderId="1"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0" fontId="60"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2" fillId="6" borderId="24" xfId="0" applyFont="1" applyFill="1" applyBorder="1" applyAlignment="1" applyProtection="1">
      <alignment horizontal="center" vertical="center" wrapText="1"/>
    </xf>
    <xf numFmtId="10" fontId="52" fillId="6" borderId="61" xfId="0" applyNumberFormat="1" applyFont="1" applyFill="1" applyBorder="1" applyAlignment="1" applyProtection="1">
      <alignment horizontal="center" vertical="center" wrapText="1"/>
    </xf>
    <xf numFmtId="10" fontId="52" fillId="6" borderId="53" xfId="0" applyNumberFormat="1" applyFont="1" applyFill="1" applyBorder="1" applyAlignment="1" applyProtection="1">
      <alignment vertical="center" wrapText="1"/>
    </xf>
    <xf numFmtId="10" fontId="52" fillId="6" borderId="76" xfId="0" applyNumberFormat="1" applyFont="1" applyFill="1" applyBorder="1" applyAlignment="1" applyProtection="1">
      <alignment vertical="center" wrapText="1"/>
    </xf>
    <xf numFmtId="10" fontId="52" fillId="6" borderId="53" xfId="0" applyNumberFormat="1" applyFont="1" applyFill="1" applyBorder="1" applyAlignment="1" applyProtection="1">
      <alignment horizontal="center" vertical="center" wrapText="1"/>
    </xf>
    <xf numFmtId="10" fontId="52" fillId="6" borderId="76" xfId="0" applyNumberFormat="1" applyFont="1" applyFill="1" applyBorder="1" applyAlignment="1" applyProtection="1">
      <alignment horizontal="center" vertical="center" wrapText="1"/>
    </xf>
    <xf numFmtId="0" fontId="77"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0" fillId="6" borderId="1"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53" fillId="6" borderId="34" xfId="0"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9" fontId="52" fillId="6" borderId="1"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187" fontId="49" fillId="6" borderId="84" xfId="0" applyNumberFormat="1" applyFont="1" applyFill="1" applyBorder="1" applyAlignment="1" applyProtection="1">
      <alignment horizontal="center" vertical="center" wrapText="1"/>
    </xf>
    <xf numFmtId="14" fontId="50" fillId="6" borderId="84" xfId="0" applyNumberFormat="1" applyFont="1" applyFill="1" applyBorder="1" applyAlignment="1" applyProtection="1">
      <alignment horizontal="center" vertical="center" wrapText="1"/>
    </xf>
    <xf numFmtId="14" fontId="50" fillId="6" borderId="64" xfId="0" applyNumberFormat="1" applyFont="1" applyFill="1" applyBorder="1" applyAlignment="1" applyProtection="1">
      <alignment horizontal="center" vertical="center" wrapText="1"/>
    </xf>
    <xf numFmtId="0" fontId="98" fillId="6" borderId="67" xfId="0" applyFont="1" applyFill="1" applyBorder="1" applyAlignment="1" applyProtection="1">
      <alignment horizontal="center" vertical="center" wrapText="1"/>
    </xf>
    <xf numFmtId="187" fontId="49" fillId="6" borderId="17"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182" fontId="98" fillId="6" borderId="17" xfId="0" applyNumberFormat="1"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wrapText="1"/>
    </xf>
    <xf numFmtId="0" fontId="98" fillId="6"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178" fontId="50" fillId="0" borderId="1" xfId="0" applyNumberFormat="1" applyFont="1" applyFill="1" applyBorder="1" applyAlignment="1" applyProtection="1">
      <alignment horizontal="center" vertical="center" wrapText="1"/>
      <protection locked="0"/>
    </xf>
    <xf numFmtId="0" fontId="52" fillId="0" borderId="9" xfId="0" applyFont="1" applyFill="1" applyBorder="1" applyAlignment="1" applyProtection="1">
      <alignment horizontal="center" vertical="center" wrapText="1"/>
      <protection locked="0"/>
    </xf>
    <xf numFmtId="49" fontId="79" fillId="6" borderId="23" xfId="1" applyNumberFormat="1" applyFont="1" applyFill="1" applyBorder="1" applyAlignment="1" applyProtection="1">
      <alignment horizontal="left"/>
    </xf>
    <xf numFmtId="49" fontId="52" fillId="6" borderId="23" xfId="1" applyNumberFormat="1" applyFont="1" applyFill="1" applyBorder="1" applyAlignment="1" applyProtection="1">
      <alignment horizontal="center"/>
    </xf>
    <xf numFmtId="0" fontId="58" fillId="6" borderId="23" xfId="1" applyFont="1" applyFill="1" applyBorder="1" applyAlignment="1" applyProtection="1">
      <alignment horizontal="right"/>
    </xf>
    <xf numFmtId="0" fontId="52" fillId="6" borderId="23" xfId="0"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4" fillId="6" borderId="51" xfId="0" applyFont="1" applyFill="1" applyBorder="1" applyAlignment="1" applyProtection="1">
      <alignment vertical="center"/>
    </xf>
    <xf numFmtId="0" fontId="44" fillId="6" borderId="20" xfId="0" applyFont="1" applyFill="1" applyBorder="1" applyAlignment="1" applyProtection="1">
      <alignment vertical="center"/>
    </xf>
    <xf numFmtId="0" fontId="44" fillId="6" borderId="21" xfId="0" applyFont="1" applyFill="1" applyBorder="1" applyAlignment="1" applyProtection="1">
      <alignment vertical="center"/>
    </xf>
    <xf numFmtId="0" fontId="60" fillId="7" borderId="0" xfId="0" applyFont="1" applyFill="1" applyAlignment="1" applyProtection="1">
      <alignment vertical="center"/>
      <protection locked="0"/>
    </xf>
    <xf numFmtId="0" fontId="45" fillId="6" borderId="23" xfId="0" applyFont="1" applyFill="1" applyBorder="1" applyAlignment="1" applyProtection="1">
      <alignment horizontal="center" vertical="center"/>
    </xf>
    <xf numFmtId="0" fontId="45" fillId="6" borderId="46" xfId="0" applyFont="1" applyFill="1" applyBorder="1" applyAlignment="1" applyProtection="1">
      <alignment vertical="center"/>
    </xf>
    <xf numFmtId="0" fontId="45" fillId="7" borderId="0" xfId="0" applyFont="1" applyFill="1" applyAlignment="1" applyProtection="1">
      <alignment vertical="center"/>
      <protection locked="0"/>
    </xf>
    <xf numFmtId="0" fontId="45" fillId="0" borderId="0" xfId="0" applyFont="1" applyFill="1" applyAlignment="1" applyProtection="1">
      <alignment vertical="center"/>
      <protection locked="0"/>
    </xf>
    <xf numFmtId="49" fontId="46" fillId="6" borderId="23" xfId="0" applyNumberFormat="1" applyFont="1" applyFill="1" applyBorder="1" applyAlignment="1" applyProtection="1">
      <alignment horizontal="center" vertical="center"/>
    </xf>
    <xf numFmtId="186" fontId="46" fillId="0" borderId="1" xfId="0" applyNumberFormat="1" applyFont="1" applyFill="1" applyBorder="1" applyAlignment="1" applyProtection="1">
      <alignment horizontal="center" vertical="center"/>
      <protection locked="0"/>
    </xf>
    <xf numFmtId="186" fontId="46" fillId="0" borderId="24" xfId="0" applyNumberFormat="1" applyFont="1" applyFill="1" applyBorder="1" applyAlignment="1" applyProtection="1">
      <alignment horizontal="center" vertical="center"/>
      <protection locked="0"/>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186"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3" fillId="7" borderId="0" xfId="0" applyFont="1" applyFill="1" applyAlignment="1" applyProtection="1">
      <alignment vertical="center"/>
      <protection locked="0"/>
    </xf>
    <xf numFmtId="0" fontId="46" fillId="6" borderId="23" xfId="1" applyFont="1" applyFill="1" applyBorder="1" applyAlignment="1" applyProtection="1">
      <alignment horizontal="right" vertical="center"/>
    </xf>
    <xf numFmtId="0" fontId="46" fillId="6" borderId="5" xfId="1" applyFont="1" applyFill="1" applyBorder="1" applyAlignment="1" applyProtection="1">
      <alignment vertical="center"/>
    </xf>
    <xf numFmtId="180" fontId="46" fillId="6" borderId="1" xfId="1"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9" fontId="46" fillId="6" borderId="1" xfId="1"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178" fontId="46" fillId="6" borderId="1" xfId="1" applyNumberFormat="1"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6" fillId="6" borderId="54" xfId="0" applyFont="1" applyFill="1" applyBorder="1" applyAlignment="1" applyProtection="1">
      <alignment horizontal="left" vertical="center"/>
    </xf>
    <xf numFmtId="0" fontId="46" fillId="6" borderId="48" xfId="0" applyFont="1" applyFill="1" applyBorder="1" applyAlignment="1" applyProtection="1">
      <alignment horizontal="left"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0" fontId="45" fillId="6" borderId="5" xfId="1" applyFont="1" applyFill="1" applyBorder="1" applyAlignment="1" applyProtection="1">
      <alignment vertical="center"/>
    </xf>
    <xf numFmtId="178" fontId="45" fillId="6" borderId="1" xfId="1" applyNumberFormat="1" applyFont="1" applyFill="1" applyBorder="1" applyAlignment="1" applyProtection="1">
      <alignment horizontal="center" vertical="center"/>
    </xf>
    <xf numFmtId="0" fontId="45" fillId="6" borderId="1" xfId="1" applyFont="1" applyFill="1" applyBorder="1" applyAlignment="1" applyProtection="1">
      <alignment vertical="center"/>
    </xf>
    <xf numFmtId="10" fontId="45" fillId="6" borderId="1" xfId="1" applyNumberFormat="1" applyFont="1" applyFill="1" applyBorder="1" applyAlignment="1" applyProtection="1">
      <alignment horizontal="center" vertical="center"/>
    </xf>
    <xf numFmtId="0" fontId="43" fillId="6" borderId="5" xfId="0" applyFont="1" applyFill="1" applyBorder="1" applyAlignment="1" applyProtection="1">
      <alignment vertical="center"/>
    </xf>
    <xf numFmtId="0" fontId="43" fillId="6" borderId="54" xfId="0" applyFont="1" applyFill="1" applyBorder="1" applyAlignment="1" applyProtection="1">
      <alignment vertical="center"/>
    </xf>
    <xf numFmtId="0" fontId="43" fillId="6" borderId="48" xfId="0" applyFont="1" applyFill="1" applyBorder="1" applyAlignment="1" applyProtection="1">
      <alignment vertical="center"/>
    </xf>
    <xf numFmtId="0" fontId="46" fillId="6" borderId="1" xfId="1" applyFont="1" applyFill="1" applyBorder="1" applyAlignment="1" applyProtection="1">
      <alignment horizontal="left" vertical="center"/>
    </xf>
    <xf numFmtId="0" fontId="47" fillId="3" borderId="0" xfId="0" applyFont="1" applyFill="1" applyAlignment="1" applyProtection="1">
      <alignment vertical="center"/>
      <protection locked="0"/>
    </xf>
    <xf numFmtId="0" fontId="46" fillId="6" borderId="5" xfId="1" applyFont="1" applyFill="1" applyBorder="1" applyAlignment="1" applyProtection="1">
      <alignment horizontal="left" vertical="center"/>
    </xf>
    <xf numFmtId="186" fontId="46" fillId="3" borderId="0" xfId="0" applyNumberFormat="1" applyFont="1" applyFill="1" applyAlignment="1" applyProtection="1">
      <alignment horizontal="center" vertical="center"/>
      <protection locked="0"/>
    </xf>
    <xf numFmtId="186" fontId="45" fillId="6" borderId="28" xfId="0" applyNumberFormat="1" applyFont="1" applyFill="1" applyBorder="1" applyAlignment="1" applyProtection="1">
      <alignment horizontal="center" vertical="center"/>
    </xf>
    <xf numFmtId="186" fontId="98" fillId="0" borderId="13" xfId="0" applyNumberFormat="1" applyFont="1" applyFill="1" applyBorder="1" applyAlignment="1" applyProtection="1">
      <alignment horizontal="center" vertical="center"/>
      <protection locked="0"/>
    </xf>
    <xf numFmtId="186" fontId="46" fillId="0" borderId="13" xfId="0" applyNumberFormat="1" applyFont="1" applyFill="1" applyBorder="1" applyAlignment="1" applyProtection="1">
      <alignment horizontal="center" vertical="center"/>
      <protection locked="0"/>
    </xf>
    <xf numFmtId="186" fontId="46" fillId="0" borderId="61" xfId="0" applyNumberFormat="1" applyFont="1" applyFill="1" applyBorder="1" applyAlignment="1" applyProtection="1">
      <alignment horizontal="center" vertical="center"/>
      <protection locked="0"/>
    </xf>
    <xf numFmtId="0" fontId="45" fillId="6" borderId="42" xfId="0" applyFont="1" applyFill="1" applyBorder="1" applyAlignment="1" applyProtection="1">
      <alignment vertical="center"/>
    </xf>
    <xf numFmtId="0" fontId="45" fillId="6" borderId="47" xfId="0" applyFont="1" applyFill="1" applyBorder="1" applyAlignment="1" applyProtection="1">
      <alignment vertical="center"/>
    </xf>
    <xf numFmtId="186" fontId="44" fillId="6" borderId="74" xfId="0" applyNumberFormat="1" applyFont="1" applyFill="1" applyBorder="1" applyAlignment="1" applyProtection="1">
      <alignment horizontal="center" vertical="center"/>
    </xf>
    <xf numFmtId="0" fontId="44" fillId="6" borderId="75" xfId="0" applyFont="1" applyFill="1" applyBorder="1" applyAlignment="1" applyProtection="1">
      <alignment vertical="center"/>
    </xf>
    <xf numFmtId="0" fontId="45" fillId="6" borderId="43" xfId="0" applyFont="1" applyFill="1" applyBorder="1" applyAlignment="1" applyProtection="1">
      <alignment vertical="center"/>
    </xf>
    <xf numFmtId="0" fontId="45" fillId="6" borderId="33" xfId="1" applyFont="1" applyFill="1" applyBorder="1" applyAlignment="1" applyProtection="1">
      <alignment vertical="center"/>
    </xf>
    <xf numFmtId="178" fontId="45" fillId="6" borderId="32" xfId="0" applyNumberFormat="1" applyFont="1" applyFill="1" applyBorder="1" applyAlignment="1" applyProtection="1">
      <alignment horizontal="center" vertical="center"/>
    </xf>
    <xf numFmtId="0" fontId="45" fillId="6" borderId="32" xfId="0" applyFont="1" applyFill="1" applyBorder="1" applyAlignment="1" applyProtection="1">
      <alignment vertical="center"/>
    </xf>
    <xf numFmtId="178" fontId="45" fillId="6" borderId="32" xfId="0" applyNumberFormat="1" applyFont="1" applyFill="1" applyBorder="1" applyAlignment="1" applyProtection="1">
      <alignment vertical="center"/>
    </xf>
    <xf numFmtId="10" fontId="45" fillId="6" borderId="32" xfId="0" applyNumberFormat="1" applyFont="1" applyFill="1" applyBorder="1" applyAlignment="1" applyProtection="1">
      <alignment horizontal="center" vertical="center"/>
    </xf>
    <xf numFmtId="178" fontId="45" fillId="6" borderId="33" xfId="0" applyNumberFormat="1" applyFont="1" applyFill="1" applyBorder="1" applyAlignment="1" applyProtection="1">
      <alignment vertical="center"/>
    </xf>
    <xf numFmtId="178" fontId="45" fillId="6" borderId="52" xfId="0" applyNumberFormat="1" applyFont="1" applyFill="1" applyBorder="1" applyAlignment="1" applyProtection="1">
      <alignment vertical="center"/>
    </xf>
    <xf numFmtId="178" fontId="45" fillId="6" borderId="68" xfId="0" applyNumberFormat="1" applyFont="1" applyFill="1" applyBorder="1" applyAlignment="1" applyProtection="1">
      <alignment vertical="center"/>
    </xf>
    <xf numFmtId="0" fontId="49" fillId="6" borderId="15" xfId="0" applyFont="1" applyFill="1" applyBorder="1" applyAlignment="1" applyProtection="1">
      <alignment horizontal="center" vertical="center" wrapText="1"/>
    </xf>
    <xf numFmtId="0" fontId="114" fillId="0" borderId="0" xfId="5" applyFont="1">
      <alignment vertical="center"/>
    </xf>
    <xf numFmtId="0" fontId="94" fillId="0" borderId="0" xfId="5">
      <alignment vertical="center"/>
    </xf>
    <xf numFmtId="0" fontId="114" fillId="0" borderId="0" xfId="5" applyFont="1" applyAlignment="1">
      <alignment vertical="top" wrapText="1"/>
    </xf>
    <xf numFmtId="0" fontId="58" fillId="6" borderId="1" xfId="1" applyNumberFormat="1" applyFont="1" applyFill="1" applyBorder="1" applyAlignment="1" applyProtection="1"/>
    <xf numFmtId="0" fontId="46" fillId="6" borderId="1"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xf>
    <xf numFmtId="0" fontId="52" fillId="6" borderId="1" xfId="0" applyNumberFormat="1" applyFont="1" applyFill="1" applyBorder="1" applyProtection="1">
      <alignment vertical="center"/>
    </xf>
    <xf numFmtId="0" fontId="53" fillId="6" borderId="1" xfId="1" applyNumberFormat="1" applyFont="1" applyFill="1" applyBorder="1" applyAlignment="1" applyProtection="1">
      <alignment horizontal="center"/>
    </xf>
    <xf numFmtId="0" fontId="44" fillId="0" borderId="2" xfId="7" applyFont="1" applyFill="1" applyBorder="1" applyAlignment="1" applyProtection="1">
      <alignment horizontal="center" vertical="center" wrapText="1"/>
    </xf>
    <xf numFmtId="0" fontId="44" fillId="0" borderId="1" xfId="7" applyFont="1" applyFill="1" applyBorder="1" applyAlignment="1" applyProtection="1">
      <alignment horizontal="center" vertical="center" wrapText="1"/>
    </xf>
    <xf numFmtId="0" fontId="60" fillId="0" borderId="1" xfId="7" applyFont="1" applyFill="1" applyBorder="1" applyAlignment="1" applyProtection="1">
      <alignment horizontal="center" vertical="center" wrapText="1"/>
    </xf>
    <xf numFmtId="0" fontId="44" fillId="0" borderId="3" xfId="7"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43" fillId="6" borderId="24" xfId="0" applyFont="1" applyFill="1" applyBorder="1" applyAlignment="1" applyProtection="1">
      <alignment horizontal="center" vertical="center"/>
    </xf>
    <xf numFmtId="184" fontId="46" fillId="0" borderId="1" xfId="0" applyNumberFormat="1" applyFont="1" applyFill="1" applyBorder="1" applyAlignment="1" applyProtection="1">
      <alignment horizontal="center" vertical="center" shrinkToFit="1"/>
      <protection locked="0"/>
    </xf>
    <xf numFmtId="184" fontId="46" fillId="6" borderId="1" xfId="0" applyNumberFormat="1" applyFont="1" applyFill="1" applyBorder="1" applyAlignment="1" applyProtection="1">
      <alignment horizontal="center" vertical="center"/>
    </xf>
    <xf numFmtId="178" fontId="46" fillId="6" borderId="23" xfId="1" applyNumberFormat="1" applyFont="1" applyFill="1" applyBorder="1" applyAlignment="1" applyProtection="1">
      <alignment horizontal="center" vertical="center"/>
    </xf>
    <xf numFmtId="0" fontId="60" fillId="0" borderId="3" xfId="7" applyFont="1" applyFill="1" applyBorder="1" applyAlignment="1" applyProtection="1">
      <alignment horizontal="center" vertical="center" wrapText="1"/>
    </xf>
    <xf numFmtId="0" fontId="60" fillId="0" borderId="78" xfId="7" applyFont="1" applyFill="1" applyBorder="1" applyAlignment="1" applyProtection="1">
      <alignment horizontal="center" vertical="center" wrapText="1"/>
    </xf>
    <xf numFmtId="182" fontId="43" fillId="6" borderId="8" xfId="0" applyNumberFormat="1" applyFont="1" applyFill="1" applyBorder="1" applyProtection="1">
      <alignment vertical="center"/>
    </xf>
    <xf numFmtId="182" fontId="51" fillId="6" borderId="59" xfId="0" applyNumberFormat="1" applyFont="1" applyFill="1" applyBorder="1" applyAlignment="1" applyProtection="1">
      <alignment horizontal="center" vertical="center"/>
    </xf>
    <xf numFmtId="0" fontId="97" fillId="6" borderId="28" xfId="0" applyNumberFormat="1" applyFont="1" applyFill="1" applyBorder="1" applyProtection="1">
      <alignment vertical="center"/>
    </xf>
    <xf numFmtId="0" fontId="97" fillId="6" borderId="5" xfId="0" applyNumberFormat="1" applyFont="1" applyFill="1" applyBorder="1" applyProtection="1">
      <alignment vertical="center"/>
    </xf>
    <xf numFmtId="0" fontId="97" fillId="6" borderId="33" xfId="0" applyNumberFormat="1" applyFont="1" applyFill="1" applyBorder="1" applyProtection="1">
      <alignment vertical="center"/>
    </xf>
    <xf numFmtId="10" fontId="52" fillId="6" borderId="1" xfId="0" applyNumberFormat="1" applyFont="1" applyFill="1" applyBorder="1" applyAlignment="1" applyProtection="1">
      <alignment vertical="center" wrapText="1"/>
    </xf>
    <xf numFmtId="0" fontId="57" fillId="6" borderId="41" xfId="0"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57" fillId="0" borderId="4" xfId="0" applyFont="1" applyBorder="1" applyAlignment="1" applyProtection="1">
      <alignment horizontal="center" vertical="center"/>
      <protection locked="0"/>
    </xf>
    <xf numFmtId="0" fontId="57" fillId="0" borderId="93" xfId="0" applyFont="1" applyFill="1" applyBorder="1" applyAlignment="1" applyProtection="1">
      <alignment horizontal="center" vertical="center"/>
      <protection locked="0"/>
    </xf>
    <xf numFmtId="0" fontId="57" fillId="0" borderId="8" xfId="0" applyFont="1" applyBorder="1" applyAlignment="1" applyProtection="1">
      <alignment horizontal="center" vertical="center"/>
      <protection locked="0"/>
    </xf>
    <xf numFmtId="187" fontId="57" fillId="6" borderId="8" xfId="0" applyNumberFormat="1"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57" fillId="0" borderId="5" xfId="0" applyFont="1" applyBorder="1" applyAlignment="1" applyProtection="1">
      <alignment horizontal="center" vertical="center"/>
      <protection locked="0"/>
    </xf>
    <xf numFmtId="0" fontId="57" fillId="0" borderId="92"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57" fillId="6" borderId="24" xfId="0" applyFont="1" applyFill="1" applyBorder="1" applyAlignment="1" applyProtection="1">
      <alignment horizontal="center" vertical="center"/>
    </xf>
    <xf numFmtId="179" fontId="57" fillId="6" borderId="24" xfId="0" applyNumberFormat="1" applyFont="1" applyFill="1" applyBorder="1" applyAlignment="1" applyProtection="1">
      <alignment horizontal="center" vertical="center"/>
    </xf>
    <xf numFmtId="179" fontId="57" fillId="0" borderId="24" xfId="0" applyNumberFormat="1" applyFont="1" applyBorder="1" applyAlignment="1" applyProtection="1">
      <alignment horizontal="center" vertical="center"/>
      <protection locked="0"/>
    </xf>
    <xf numFmtId="0" fontId="97" fillId="0" borderId="92" xfId="0" applyFont="1" applyFill="1" applyBorder="1" applyAlignment="1" applyProtection="1">
      <alignment horizontal="center" vertical="center"/>
      <protection locked="0"/>
    </xf>
    <xf numFmtId="0" fontId="57" fillId="6" borderId="32"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57" fillId="0" borderId="32" xfId="0" applyFont="1" applyBorder="1" applyAlignment="1" applyProtection="1">
      <alignment horizontal="center" vertical="center"/>
      <protection locked="0"/>
    </xf>
    <xf numFmtId="179" fontId="57" fillId="6" borderId="49" xfId="0" applyNumberFormat="1" applyFont="1" applyFill="1" applyBorder="1" applyAlignment="1" applyProtection="1">
      <alignment horizontal="center" vertical="center"/>
    </xf>
    <xf numFmtId="178" fontId="52" fillId="6" borderId="5" xfId="1" applyNumberFormat="1" applyFont="1" applyFill="1" applyBorder="1" applyAlignment="1" applyProtection="1">
      <alignment horizontal="center"/>
    </xf>
    <xf numFmtId="0" fontId="71" fillId="6" borderId="1" xfId="0" applyFont="1" applyFill="1" applyBorder="1" applyAlignment="1" applyProtection="1">
      <alignment horizontal="center" vertical="center"/>
    </xf>
    <xf numFmtId="189" fontId="50" fillId="6" borderId="0" xfId="0" applyNumberFormat="1" applyFont="1" applyFill="1" applyAlignment="1" applyProtection="1">
      <alignment horizontal="center" vertical="center"/>
      <protection locked="0"/>
    </xf>
    <xf numFmtId="182" fontId="50" fillId="6" borderId="0" xfId="0" applyNumberFormat="1" applyFont="1" applyFill="1" applyAlignment="1" applyProtection="1">
      <alignment horizontal="center" vertical="center"/>
      <protection locked="0"/>
    </xf>
    <xf numFmtId="0" fontId="50" fillId="6" borderId="28"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71" fillId="5" borderId="23" xfId="0" applyFont="1" applyFill="1" applyBorder="1" applyAlignment="1" applyProtection="1">
      <alignment horizontal="center" vertical="center"/>
      <protection locked="0"/>
    </xf>
    <xf numFmtId="0" fontId="98" fillId="6" borderId="49" xfId="0" applyFont="1" applyFill="1" applyBorder="1" applyAlignment="1" applyProtection="1">
      <alignment horizontal="center" vertical="center"/>
    </xf>
    <xf numFmtId="0" fontId="98" fillId="6" borderId="86" xfId="0" applyFont="1" applyFill="1" applyBorder="1" applyAlignment="1" applyProtection="1">
      <alignment horizontal="center" vertical="center"/>
    </xf>
    <xf numFmtId="0" fontId="98" fillId="0" borderId="86" xfId="0" applyFont="1" applyFill="1" applyBorder="1" applyAlignment="1" applyProtection="1">
      <alignment horizontal="center" vertical="center"/>
      <protection locked="0"/>
    </xf>
    <xf numFmtId="0" fontId="98" fillId="0" borderId="96"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xf>
    <xf numFmtId="0" fontId="46" fillId="0" borderId="2" xfId="0" applyNumberFormat="1" applyFont="1" applyFill="1" applyBorder="1" applyAlignment="1" applyProtection="1">
      <alignment horizontal="center" vertical="center" wrapText="1"/>
      <protection locked="0"/>
    </xf>
    <xf numFmtId="0" fontId="46" fillId="6" borderId="97" xfId="0" applyNumberFormat="1" applyFont="1" applyFill="1" applyBorder="1" applyAlignment="1" applyProtection="1">
      <alignment horizontal="center" vertical="center" wrapText="1"/>
    </xf>
    <xf numFmtId="0" fontId="52" fillId="0" borderId="98" xfId="0" applyNumberFormat="1" applyFont="1" applyFill="1" applyBorder="1" applyAlignment="1" applyProtection="1">
      <alignment horizontal="center" vertical="center" wrapText="1"/>
      <protection locked="0"/>
    </xf>
    <xf numFmtId="0" fontId="52" fillId="6" borderId="99" xfId="0" applyNumberFormat="1" applyFont="1" applyFill="1" applyBorder="1" applyAlignment="1" applyProtection="1">
      <alignment horizontal="center" vertical="center" wrapText="1"/>
    </xf>
    <xf numFmtId="0" fontId="52" fillId="6" borderId="98" xfId="0" applyNumberFormat="1" applyFont="1" applyFill="1" applyBorder="1" applyAlignment="1" applyProtection="1">
      <alignment horizontal="center" vertical="center" wrapText="1"/>
    </xf>
    <xf numFmtId="0" fontId="46" fillId="0" borderId="100"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100" xfId="0" applyNumberFormat="1" applyFont="1" applyFill="1" applyBorder="1" applyAlignment="1" applyProtection="1">
      <alignment horizontal="center" vertical="center" wrapText="1"/>
    </xf>
    <xf numFmtId="0" fontId="50" fillId="0" borderId="58" xfId="0" applyFont="1" applyFill="1" applyBorder="1" applyAlignment="1" applyProtection="1">
      <alignment horizontal="center" vertical="center"/>
      <protection locked="0"/>
    </xf>
    <xf numFmtId="0" fontId="56"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vertical="center" wrapText="1"/>
      <protection locked="0"/>
    </xf>
    <xf numFmtId="0" fontId="50" fillId="6" borderId="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35" xfId="0" applyFont="1" applyFill="1" applyBorder="1" applyAlignment="1" applyProtection="1">
      <alignment horizontal="center" vertical="center"/>
      <protection locked="0"/>
    </xf>
    <xf numFmtId="182"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50"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0"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14" fontId="50" fillId="6" borderId="0" xfId="0" applyNumberFormat="1" applyFont="1" applyFill="1" applyAlignment="1" applyProtection="1">
      <alignment horizontal="center" vertical="center"/>
      <protection locked="0"/>
    </xf>
    <xf numFmtId="182" fontId="67" fillId="6" borderId="0" xfId="0" applyNumberFormat="1" applyFont="1" applyFill="1" applyAlignment="1" applyProtection="1">
      <alignment horizontal="center" vertical="center"/>
      <protection locked="0"/>
    </xf>
    <xf numFmtId="177" fontId="50" fillId="6" borderId="0" xfId="0" applyNumberFormat="1" applyFont="1" applyFill="1" applyAlignment="1" applyProtection="1">
      <alignment horizontal="center" vertical="center"/>
      <protection locked="0"/>
    </xf>
    <xf numFmtId="0" fontId="43"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189" fontId="50" fillId="0" borderId="0" xfId="0" applyNumberFormat="1" applyFont="1" applyFill="1" applyAlignment="1" applyProtection="1">
      <alignment horizontal="center" vertical="center"/>
    </xf>
    <xf numFmtId="182" fontId="50" fillId="0" borderId="0" xfId="0" applyNumberFormat="1" applyFont="1" applyFill="1" applyAlignment="1" applyProtection="1">
      <alignment horizontal="center" vertical="center"/>
    </xf>
    <xf numFmtId="0" fontId="52" fillId="6" borderId="0" xfId="0" applyFont="1" applyFill="1" applyAlignment="1" applyProtection="1">
      <protection locked="0"/>
    </xf>
    <xf numFmtId="0" fontId="50" fillId="6" borderId="0" xfId="0" applyFont="1" applyFill="1" applyBorder="1" applyAlignment="1" applyProtection="1">
      <protection locked="0"/>
    </xf>
    <xf numFmtId="189" fontId="50" fillId="6" borderId="0" xfId="0" applyNumberFormat="1" applyFont="1" applyFill="1" applyBorder="1" applyAlignment="1" applyProtection="1">
      <alignment horizontal="center"/>
      <protection locked="0"/>
    </xf>
    <xf numFmtId="182" fontId="50" fillId="6" borderId="0" xfId="0" applyNumberFormat="1" applyFont="1" applyFill="1" applyBorder="1" applyAlignment="1" applyProtection="1">
      <protection locked="0"/>
    </xf>
    <xf numFmtId="0" fontId="43" fillId="0" borderId="43" xfId="0" applyNumberFormat="1" applyFont="1" applyFill="1" applyBorder="1" applyAlignment="1" applyProtection="1">
      <alignment horizontal="center" vertical="center" wrapText="1"/>
      <protection locked="0"/>
    </xf>
    <xf numFmtId="0" fontId="71" fillId="6" borderId="1" xfId="0" applyFont="1" applyFill="1" applyBorder="1" applyAlignment="1" applyProtection="1">
      <alignment horizontal="center" vertical="center"/>
      <protection locked="0"/>
    </xf>
    <xf numFmtId="9" fontId="71" fillId="5" borderId="1" xfId="0" applyNumberFormat="1" applyFont="1" applyFill="1" applyBorder="1" applyAlignment="1" applyProtection="1">
      <alignment horizontal="center" vertical="center"/>
      <protection locked="0"/>
    </xf>
    <xf numFmtId="49" fontId="46" fillId="6" borderId="6" xfId="0" applyNumberFormat="1" applyFont="1" applyFill="1" applyBorder="1" applyAlignment="1" applyProtection="1">
      <alignment horizontal="center" vertical="center"/>
      <protection locked="0"/>
    </xf>
    <xf numFmtId="49" fontId="51" fillId="6" borderId="11" xfId="0" applyNumberFormat="1" applyFont="1" applyFill="1" applyBorder="1" applyAlignment="1" applyProtection="1">
      <alignment vertical="center"/>
      <protection locked="0"/>
    </xf>
    <xf numFmtId="0" fontId="51" fillId="6" borderId="13" xfId="0" applyFont="1" applyFill="1" applyBorder="1" applyAlignment="1" applyProtection="1">
      <alignment vertical="center" wrapText="1"/>
      <protection locked="0"/>
    </xf>
    <xf numFmtId="0" fontId="46" fillId="6" borderId="13" xfId="0" applyFont="1" applyFill="1" applyBorder="1" applyAlignment="1" applyProtection="1">
      <alignment vertical="center"/>
      <protection locked="0"/>
    </xf>
    <xf numFmtId="0" fontId="46" fillId="6" borderId="1" xfId="0" applyFont="1" applyFill="1" applyBorder="1" applyAlignment="1" applyProtection="1">
      <alignment horizontal="left" vertical="center"/>
      <protection locked="0"/>
    </xf>
    <xf numFmtId="49" fontId="51" fillId="6" borderId="14" xfId="0" applyNumberFormat="1" applyFont="1" applyFill="1" applyBorder="1" applyAlignment="1" applyProtection="1">
      <alignment vertical="center"/>
      <protection locked="0"/>
    </xf>
    <xf numFmtId="0" fontId="51" fillId="6" borderId="15" xfId="0" applyFont="1" applyFill="1" applyBorder="1" applyAlignment="1" applyProtection="1">
      <alignment vertical="center" wrapText="1"/>
      <protection locked="0"/>
    </xf>
    <xf numFmtId="0" fontId="46" fillId="6" borderId="15" xfId="0" applyFont="1" applyFill="1" applyBorder="1" applyAlignment="1" applyProtection="1">
      <alignment vertical="center"/>
      <protection locked="0"/>
    </xf>
    <xf numFmtId="49" fontId="51" fillId="6" borderId="41" xfId="0" applyNumberFormat="1" applyFont="1" applyFill="1" applyBorder="1" applyAlignment="1" applyProtection="1">
      <alignment vertical="center"/>
      <protection locked="0"/>
    </xf>
    <xf numFmtId="0" fontId="51" fillId="6" borderId="2" xfId="0" applyFont="1" applyFill="1" applyBorder="1" applyAlignment="1" applyProtection="1">
      <alignment vertical="center" wrapText="1"/>
      <protection locked="0"/>
    </xf>
    <xf numFmtId="0" fontId="46" fillId="6" borderId="2" xfId="0" applyFont="1" applyFill="1" applyBorder="1" applyAlignment="1" applyProtection="1">
      <alignment vertical="center"/>
      <protection locked="0"/>
    </xf>
    <xf numFmtId="49" fontId="51" fillId="6" borderId="23"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protection locked="0"/>
    </xf>
    <xf numFmtId="0" fontId="46" fillId="6" borderId="5" xfId="0" applyFont="1" applyFill="1" applyBorder="1" applyAlignment="1" applyProtection="1">
      <alignment horizontal="left" vertical="center"/>
      <protection locked="0"/>
    </xf>
    <xf numFmtId="0" fontId="46" fillId="6" borderId="54" xfId="0" applyFont="1" applyFill="1" applyBorder="1" applyAlignment="1" applyProtection="1">
      <alignment horizontal="center" vertical="center"/>
      <protection locked="0"/>
    </xf>
    <xf numFmtId="0" fontId="46" fillId="6" borderId="48" xfId="0" applyFont="1" applyFill="1" applyBorder="1" applyAlignment="1" applyProtection="1">
      <alignment horizontal="center" vertical="center"/>
      <protection locked="0"/>
    </xf>
    <xf numFmtId="0" fontId="46" fillId="6" borderId="5"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46" fillId="6" borderId="54" xfId="0" applyFont="1" applyFill="1" applyBorder="1" applyAlignment="1" applyProtection="1">
      <alignment horizontal="center" vertical="center" wrapText="1"/>
      <protection locked="0"/>
    </xf>
    <xf numFmtId="0" fontId="46" fillId="6" borderId="48" xfId="0" applyFont="1" applyFill="1" applyBorder="1" applyAlignment="1" applyProtection="1">
      <alignment horizontal="center" vertical="center" wrapText="1"/>
      <protection locked="0"/>
    </xf>
    <xf numFmtId="0" fontId="46" fillId="6" borderId="15" xfId="0" applyFont="1" applyFill="1" applyBorder="1" applyAlignment="1" applyProtection="1">
      <alignment horizontal="left" vertical="center" wrapText="1"/>
      <protection locked="0"/>
    </xf>
    <xf numFmtId="49" fontId="51" fillId="6" borderId="25" xfId="0" applyNumberFormat="1" applyFont="1" applyFill="1" applyBorder="1" applyAlignment="1" applyProtection="1">
      <alignment horizontal="left" vertical="center"/>
      <protection locked="0"/>
    </xf>
    <xf numFmtId="0" fontId="51" fillId="6" borderId="32" xfId="0" applyFont="1" applyFill="1" applyBorder="1" applyAlignment="1" applyProtection="1">
      <alignment horizontal="left" vertical="center"/>
      <protection locked="0"/>
    </xf>
    <xf numFmtId="0" fontId="46" fillId="6" borderId="32" xfId="0" applyFont="1" applyFill="1" applyBorder="1" applyAlignment="1" applyProtection="1">
      <alignment vertical="center"/>
      <protection locked="0"/>
    </xf>
    <xf numFmtId="0" fontId="46" fillId="6" borderId="32" xfId="0" applyFont="1" applyFill="1" applyBorder="1" applyAlignment="1" applyProtection="1">
      <alignment horizontal="left" vertical="center"/>
      <protection locked="0"/>
    </xf>
    <xf numFmtId="49" fontId="51" fillId="6" borderId="55" xfId="0" applyNumberFormat="1" applyFont="1" applyFill="1" applyBorder="1" applyAlignment="1" applyProtection="1">
      <alignment horizontal="left" vertical="center"/>
      <protection locked="0"/>
    </xf>
    <xf numFmtId="49" fontId="51" fillId="6" borderId="18" xfId="0" applyNumberFormat="1" applyFont="1" applyFill="1" applyBorder="1" applyAlignment="1" applyProtection="1">
      <alignment horizontal="center" vertical="center"/>
      <protection locked="0"/>
    </xf>
    <xf numFmtId="49" fontId="51" fillId="6" borderId="18" xfId="0" applyNumberFormat="1" applyFont="1" applyFill="1" applyBorder="1" applyAlignment="1" applyProtection="1">
      <alignment horizontal="left" vertical="center"/>
      <protection locked="0"/>
    </xf>
    <xf numFmtId="0" fontId="46" fillId="6" borderId="17" xfId="0"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1" fillId="6" borderId="58" xfId="0" applyFont="1" applyFill="1" applyBorder="1" applyAlignment="1" applyProtection="1">
      <alignment horizontal="center" vertical="center"/>
      <protection locked="0"/>
    </xf>
    <xf numFmtId="0" fontId="46" fillId="6" borderId="3" xfId="0" applyFont="1" applyFill="1" applyBorder="1" applyAlignment="1" applyProtection="1">
      <alignment horizontal="left" vertical="center"/>
      <protection locked="0"/>
    </xf>
    <xf numFmtId="49" fontId="46" fillId="6" borderId="23" xfId="0" applyNumberFormat="1" applyFont="1" applyFill="1" applyBorder="1" applyAlignment="1" applyProtection="1">
      <alignment horizontal="left" vertical="center"/>
    </xf>
    <xf numFmtId="0" fontId="46" fillId="6" borderId="32" xfId="0" applyFont="1" applyFill="1" applyBorder="1" applyAlignment="1" applyProtection="1">
      <alignment horizontal="center" vertical="center"/>
    </xf>
    <xf numFmtId="0" fontId="53" fillId="6" borderId="46" xfId="0" applyNumberFormat="1" applyFont="1" applyFill="1" applyBorder="1" applyAlignment="1" applyProtection="1">
      <alignment vertical="center" wrapText="1"/>
      <protection locked="0"/>
    </xf>
    <xf numFmtId="0" fontId="46" fillId="6" borderId="21"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textRotation="255" wrapText="1"/>
      <protection locked="0"/>
    </xf>
    <xf numFmtId="0" fontId="59" fillId="6" borderId="58" xfId="0" applyNumberFormat="1" applyFont="1" applyFill="1" applyBorder="1" applyAlignment="1" applyProtection="1">
      <alignment vertical="center" wrapText="1"/>
      <protection locked="0"/>
    </xf>
    <xf numFmtId="0" fontId="46" fillId="6" borderId="18"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52" fillId="6" borderId="5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vertical="center" wrapText="1"/>
      <protection locked="0"/>
    </xf>
    <xf numFmtId="0" fontId="46" fillId="0" borderId="109" xfId="0" applyNumberFormat="1" applyFont="1" applyFill="1" applyBorder="1" applyAlignment="1" applyProtection="1">
      <alignment horizontal="center" vertical="center" wrapText="1"/>
      <protection locked="0"/>
    </xf>
    <xf numFmtId="0" fontId="46" fillId="0" borderId="110" xfId="0" applyNumberFormat="1" applyFont="1" applyFill="1" applyBorder="1" applyAlignment="1" applyProtection="1">
      <alignment horizontal="center" vertical="center" wrapText="1"/>
      <protection locked="0"/>
    </xf>
    <xf numFmtId="0" fontId="46" fillId="0" borderId="111" xfId="0" applyNumberFormat="1" applyFont="1" applyFill="1" applyBorder="1" applyAlignment="1" applyProtection="1">
      <alignment horizontal="center" vertical="center" wrapText="1"/>
      <protection locked="0"/>
    </xf>
    <xf numFmtId="0" fontId="46" fillId="0" borderId="113" xfId="0" applyNumberFormat="1" applyFont="1" applyFill="1" applyBorder="1" applyAlignment="1" applyProtection="1">
      <alignment horizontal="center" vertical="center" wrapText="1"/>
      <protection locked="0"/>
    </xf>
    <xf numFmtId="0" fontId="46" fillId="6" borderId="1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46" fillId="0" borderId="116" xfId="0" applyFont="1" applyFill="1" applyBorder="1" applyAlignment="1" applyProtection="1">
      <alignment horizontal="center" vertical="center"/>
      <protection locked="0"/>
    </xf>
    <xf numFmtId="0" fontId="46" fillId="0" borderId="117" xfId="0" applyNumberFormat="1" applyFont="1" applyFill="1" applyBorder="1" applyAlignment="1" applyProtection="1">
      <alignment horizontal="center" vertical="center" wrapText="1"/>
      <protection locked="0"/>
    </xf>
    <xf numFmtId="0" fontId="46" fillId="0" borderId="117" xfId="0" applyFont="1" applyFill="1" applyBorder="1" applyAlignment="1" applyProtection="1">
      <alignment horizontal="center" vertical="center" wrapText="1"/>
      <protection locked="0"/>
    </xf>
    <xf numFmtId="9" fontId="46" fillId="0" borderId="117" xfId="0" applyNumberFormat="1" applyFont="1" applyFill="1" applyBorder="1" applyAlignment="1" applyProtection="1">
      <alignment horizontal="center" vertical="center" wrapText="1"/>
      <protection locked="0"/>
    </xf>
    <xf numFmtId="0" fontId="46" fillId="0" borderId="117" xfId="0" applyFont="1" applyFill="1" applyBorder="1" applyAlignment="1" applyProtection="1">
      <alignment horizontal="center" vertical="center"/>
      <protection locked="0"/>
    </xf>
    <xf numFmtId="0" fontId="46" fillId="0" borderId="113" xfId="0" applyFont="1" applyFill="1" applyBorder="1" applyAlignment="1" applyProtection="1">
      <alignment horizontal="center" vertical="center"/>
      <protection locked="0"/>
    </xf>
    <xf numFmtId="0" fontId="46" fillId="6" borderId="113"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52" fillId="0" borderId="115" xfId="0" applyNumberFormat="1" applyFont="1" applyFill="1" applyBorder="1" applyAlignment="1" applyProtection="1">
      <alignment horizontal="center" vertical="center" wrapText="1"/>
      <protection locked="0"/>
    </xf>
    <xf numFmtId="0" fontId="46" fillId="10" borderId="6" xfId="0" applyNumberFormat="1" applyFont="1" applyFill="1" applyBorder="1" applyAlignment="1" applyProtection="1">
      <alignment horizontal="center" vertical="center" wrapText="1"/>
      <protection locked="0"/>
    </xf>
    <xf numFmtId="0" fontId="46" fillId="10" borderId="9" xfId="0" applyNumberFormat="1" applyFont="1" applyFill="1" applyBorder="1" applyAlignment="1" applyProtection="1">
      <alignment horizontal="center" vertical="center" wrapText="1"/>
      <protection locked="0"/>
    </xf>
    <xf numFmtId="0" fontId="46" fillId="10" borderId="9" xfId="0" applyNumberFormat="1" applyFont="1" applyFill="1" applyBorder="1" applyAlignment="1" applyProtection="1">
      <alignment horizontal="left" vertical="center" wrapText="1"/>
      <protection locked="0"/>
    </xf>
    <xf numFmtId="0" fontId="46" fillId="10" borderId="28" xfId="0" applyNumberFormat="1" applyFont="1" applyFill="1" applyBorder="1" applyAlignment="1" applyProtection="1">
      <alignment horizontal="center" vertical="center" wrapText="1"/>
      <protection locked="0"/>
    </xf>
    <xf numFmtId="0" fontId="46" fillId="10" borderId="29" xfId="0" applyFont="1" applyFill="1" applyBorder="1" applyAlignment="1" applyProtection="1">
      <alignment horizontal="center" vertical="center"/>
      <protection locked="0"/>
    </xf>
    <xf numFmtId="0" fontId="46" fillId="10" borderId="17" xfId="0" applyNumberFormat="1" applyFont="1" applyFill="1" applyBorder="1" applyAlignment="1" applyProtection="1">
      <alignment horizontal="center" vertical="center" wrapText="1"/>
      <protection locked="0"/>
    </xf>
    <xf numFmtId="0" fontId="46" fillId="10" borderId="17" xfId="0" applyFont="1" applyFill="1" applyBorder="1" applyAlignment="1" applyProtection="1">
      <alignment horizontal="center" vertical="center" wrapText="1"/>
      <protection locked="0"/>
    </xf>
    <xf numFmtId="9" fontId="46" fillId="10" borderId="17" xfId="0" applyNumberFormat="1" applyFont="1" applyFill="1" applyBorder="1" applyAlignment="1" applyProtection="1">
      <alignment horizontal="center" vertical="center" wrapText="1"/>
      <protection locked="0"/>
    </xf>
    <xf numFmtId="0" fontId="46" fillId="10" borderId="17"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0" fontId="51" fillId="10" borderId="96" xfId="0" applyNumberFormat="1" applyFont="1" applyFill="1" applyBorder="1" applyAlignment="1" applyProtection="1">
      <alignment vertical="center" wrapText="1"/>
      <protection locked="0"/>
    </xf>
    <xf numFmtId="0" fontId="46" fillId="10" borderId="42" xfId="0" applyNumberFormat="1" applyFont="1" applyFill="1" applyBorder="1" applyAlignment="1" applyProtection="1">
      <alignment horizontal="center" vertical="center" wrapText="1"/>
    </xf>
    <xf numFmtId="0" fontId="46" fillId="10" borderId="25" xfId="0" applyNumberFormat="1" applyFont="1" applyFill="1" applyBorder="1" applyAlignment="1" applyProtection="1">
      <alignment horizontal="center" vertical="center" wrapText="1"/>
      <protection locked="0"/>
    </xf>
    <xf numFmtId="0" fontId="52" fillId="10" borderId="32" xfId="0" applyNumberFormat="1" applyFont="1" applyFill="1" applyBorder="1" applyAlignment="1" applyProtection="1">
      <alignment horizontal="center" vertical="center" wrapText="1"/>
      <protection locked="0"/>
    </xf>
    <xf numFmtId="0" fontId="52" fillId="10" borderId="33" xfId="0" applyNumberFormat="1" applyFont="1" applyFill="1" applyBorder="1" applyAlignment="1" applyProtection="1">
      <alignment horizontal="center" vertical="center" wrapText="1"/>
      <protection locked="0"/>
    </xf>
    <xf numFmtId="0" fontId="52" fillId="10" borderId="68" xfId="0" applyNumberFormat="1" applyFont="1" applyFill="1" applyBorder="1" applyAlignment="1" applyProtection="1">
      <alignment horizontal="center" vertical="center" wrapText="1"/>
      <protection locked="0"/>
    </xf>
    <xf numFmtId="0" fontId="43" fillId="6" borderId="1" xfId="0" applyFont="1" applyFill="1" applyBorder="1" applyProtection="1">
      <alignment vertical="center"/>
    </xf>
    <xf numFmtId="177" fontId="43" fillId="6" borderId="1" xfId="0" applyNumberFormat="1" applyFont="1" applyFill="1" applyBorder="1" applyProtection="1">
      <alignment vertical="center"/>
    </xf>
    <xf numFmtId="0" fontId="43" fillId="6" borderId="1" xfId="0" applyFont="1" applyFill="1" applyBorder="1" applyAlignment="1" applyProtection="1">
      <alignment horizontal="right" vertical="center" wrapText="1"/>
    </xf>
    <xf numFmtId="182" fontId="48" fillId="6" borderId="1" xfId="0" applyNumberFormat="1" applyFont="1" applyFill="1" applyBorder="1" applyAlignment="1" applyProtection="1">
      <alignment horizontal="center" vertical="center"/>
      <protection locked="0"/>
    </xf>
    <xf numFmtId="180" fontId="46" fillId="6" borderId="23" xfId="1" applyNumberFormat="1" applyFont="1" applyFill="1" applyBorder="1" applyAlignment="1" applyProtection="1">
      <alignment horizontal="center" vertical="center"/>
    </xf>
    <xf numFmtId="178" fontId="43" fillId="6" borderId="1" xfId="1" applyNumberFormat="1" applyFont="1" applyFill="1" applyBorder="1" applyAlignment="1" applyProtection="1">
      <alignment horizontal="center" vertical="center"/>
    </xf>
    <xf numFmtId="10" fontId="43" fillId="6" borderId="1" xfId="1" applyNumberFormat="1" applyFont="1" applyFill="1" applyBorder="1" applyAlignment="1" applyProtection="1">
      <alignment horizontal="center" vertical="center"/>
    </xf>
    <xf numFmtId="9" fontId="43" fillId="6" borderId="5" xfId="0" applyNumberFormat="1" applyFont="1" applyFill="1" applyBorder="1" applyAlignment="1" applyProtection="1">
      <alignment horizontal="center" vertical="center"/>
    </xf>
    <xf numFmtId="180" fontId="43" fillId="6" borderId="25" xfId="1" applyNumberFormat="1" applyFont="1" applyFill="1" applyBorder="1" applyAlignment="1" applyProtection="1">
      <alignment horizontal="center" vertical="center"/>
    </xf>
    <xf numFmtId="182" fontId="43" fillId="6" borderId="1" xfId="0" applyNumberFormat="1" applyFont="1" applyFill="1" applyBorder="1" applyAlignment="1" applyProtection="1">
      <alignment vertical="center"/>
    </xf>
    <xf numFmtId="182" fontId="43" fillId="6" borderId="5" xfId="0" applyNumberFormat="1" applyFont="1" applyFill="1" applyBorder="1" applyAlignment="1" applyProtection="1">
      <alignment vertical="center"/>
    </xf>
    <xf numFmtId="182" fontId="43" fillId="6" borderId="24" xfId="0" applyNumberFormat="1" applyFont="1" applyFill="1" applyBorder="1" applyAlignment="1" applyProtection="1">
      <alignment vertical="center"/>
    </xf>
    <xf numFmtId="0" fontId="43" fillId="6" borderId="3" xfId="0" applyFont="1" applyFill="1" applyBorder="1" applyAlignment="1" applyProtection="1">
      <alignment vertical="center"/>
    </xf>
    <xf numFmtId="182" fontId="43" fillId="6" borderId="1" xfId="0" applyNumberFormat="1" applyFont="1" applyFill="1" applyBorder="1" applyAlignment="1" applyProtection="1">
      <alignment horizontal="center" vertical="center"/>
    </xf>
    <xf numFmtId="182" fontId="43" fillId="6" borderId="5" xfId="0" applyNumberFormat="1" applyFont="1" applyFill="1" applyBorder="1" applyAlignment="1" applyProtection="1">
      <alignment horizontal="center" vertical="center"/>
    </xf>
    <xf numFmtId="0" fontId="43" fillId="6" borderId="23" xfId="0" applyFont="1" applyFill="1" applyBorder="1" applyAlignment="1" applyProtection="1">
      <alignment horizontal="center" vertical="center"/>
    </xf>
    <xf numFmtId="10" fontId="43" fillId="6" borderId="1" xfId="0" applyNumberFormat="1" applyFont="1" applyFill="1" applyBorder="1" applyAlignment="1" applyProtection="1">
      <alignment horizontal="center" vertical="center"/>
    </xf>
    <xf numFmtId="183" fontId="43" fillId="6" borderId="1" xfId="0" applyNumberFormat="1" applyFont="1" applyFill="1" applyBorder="1" applyAlignment="1" applyProtection="1">
      <alignment horizontal="center" vertical="center"/>
    </xf>
    <xf numFmtId="182" fontId="43" fillId="6" borderId="24" xfId="0" applyNumberFormat="1" applyFont="1" applyFill="1" applyBorder="1" applyAlignment="1" applyProtection="1">
      <alignment horizontal="center" vertical="center"/>
    </xf>
    <xf numFmtId="14" fontId="43" fillId="6" borderId="67" xfId="0" applyNumberFormat="1" applyFont="1" applyFill="1" applyBorder="1" applyAlignment="1" applyProtection="1">
      <alignment horizontal="center" vertical="center"/>
    </xf>
    <xf numFmtId="0" fontId="43" fillId="6" borderId="6" xfId="0" applyFont="1" applyFill="1" applyBorder="1" applyAlignment="1" applyProtection="1">
      <alignment horizontal="center" vertical="center" wrapText="1"/>
    </xf>
    <xf numFmtId="0" fontId="43" fillId="6" borderId="9" xfId="0"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0" fontId="98" fillId="6" borderId="1" xfId="0" applyFont="1" applyFill="1" applyBorder="1" applyAlignment="1" applyProtection="1">
      <alignment horizontal="left" vertical="center" wrapText="1"/>
      <protection locked="0"/>
    </xf>
    <xf numFmtId="0" fontId="46" fillId="3" borderId="5"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177" fontId="46" fillId="0" borderId="1" xfId="0" applyNumberFormat="1" applyFont="1" applyFill="1" applyBorder="1" applyAlignment="1" applyProtection="1">
      <alignment horizontal="center" vertical="center" wrapText="1"/>
      <protection locked="0"/>
    </xf>
    <xf numFmtId="180" fontId="43" fillId="6" borderId="2" xfId="0" applyNumberFormat="1" applyFont="1" applyFill="1" applyBorder="1" applyProtection="1">
      <alignment vertical="center"/>
    </xf>
    <xf numFmtId="182" fontId="51" fillId="0" borderId="24" xfId="0" applyNumberFormat="1" applyFont="1" applyFill="1" applyBorder="1" applyAlignment="1" applyProtection="1">
      <alignment horizontal="center" vertical="center"/>
      <protection locked="0"/>
    </xf>
    <xf numFmtId="0" fontId="46" fillId="6" borderId="46" xfId="0" applyFont="1" applyFill="1" applyBorder="1" applyAlignment="1" applyProtection="1">
      <alignment vertical="center"/>
      <protection locked="0"/>
    </xf>
    <xf numFmtId="0" fontId="46" fillId="6" borderId="7" xfId="0" applyFont="1" applyFill="1" applyBorder="1" applyAlignment="1" applyProtection="1">
      <alignment horizontal="left" vertical="center"/>
      <protection locked="0"/>
    </xf>
    <xf numFmtId="0" fontId="51" fillId="6" borderId="8" xfId="0" applyFont="1" applyFill="1" applyBorder="1" applyAlignment="1" applyProtection="1">
      <alignment horizontal="center" vertical="center"/>
    </xf>
    <xf numFmtId="0" fontId="46" fillId="6" borderId="29" xfId="0" applyFont="1" applyFill="1" applyBorder="1" applyAlignment="1" applyProtection="1">
      <alignment horizontal="right" vertical="center"/>
      <protection locked="0"/>
    </xf>
    <xf numFmtId="0" fontId="46" fillId="6" borderId="31" xfId="0" applyFont="1" applyFill="1" applyBorder="1" applyAlignment="1" applyProtection="1">
      <alignment horizontal="center" vertical="center"/>
      <protection locked="0"/>
    </xf>
    <xf numFmtId="0" fontId="53" fillId="7" borderId="24" xfId="0" applyFont="1" applyFill="1" applyBorder="1" applyAlignment="1" applyProtection="1">
      <alignment horizontal="center" vertical="center"/>
      <protection locked="0"/>
    </xf>
    <xf numFmtId="0" fontId="57" fillId="6" borderId="0" xfId="0" applyFont="1" applyFill="1" applyAlignment="1" applyProtection="1">
      <alignment horizontal="center" vertical="center"/>
    </xf>
    <xf numFmtId="0" fontId="57" fillId="6" borderId="0" xfId="0" applyNumberFormat="1" applyFont="1" applyFill="1" applyBorder="1" applyAlignment="1" applyProtection="1">
      <alignment horizontal="center"/>
    </xf>
    <xf numFmtId="10" fontId="97" fillId="0" borderId="1" xfId="0" applyNumberFormat="1" applyFont="1" applyBorder="1" applyAlignment="1" applyProtection="1">
      <alignment horizontal="center" vertical="center"/>
      <protection locked="0"/>
    </xf>
    <xf numFmtId="10" fontId="50"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wrapText="1"/>
    </xf>
    <xf numFmtId="10" fontId="9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1" fillId="6" borderId="4" xfId="0" applyFont="1" applyFill="1" applyBorder="1" applyAlignment="1" applyProtection="1">
      <alignment horizontal="center" vertical="center"/>
    </xf>
    <xf numFmtId="49" fontId="46" fillId="6" borderId="11" xfId="0" applyNumberFormat="1" applyFont="1" applyFill="1" applyBorder="1" applyAlignment="1" applyProtection="1">
      <alignment horizontal="left" vertical="center"/>
    </xf>
    <xf numFmtId="0" fontId="46" fillId="6" borderId="15" xfId="0" applyFont="1" applyFill="1" applyBorder="1" applyAlignment="1" applyProtection="1">
      <alignment horizontal="center" vertical="center"/>
    </xf>
    <xf numFmtId="0" fontId="46" fillId="6" borderId="4" xfId="0" applyFont="1" applyFill="1" applyBorder="1" applyAlignment="1" applyProtection="1">
      <alignment horizontal="right" vertical="center"/>
    </xf>
    <xf numFmtId="0" fontId="46" fillId="6" borderId="71" xfId="0" applyFont="1" applyFill="1" applyBorder="1" applyAlignment="1" applyProtection="1">
      <alignment horizontal="center" vertical="center"/>
    </xf>
    <xf numFmtId="49" fontId="46" fillId="6" borderId="35" xfId="0" applyNumberFormat="1" applyFont="1" applyFill="1" applyBorder="1" applyAlignment="1" applyProtection="1">
      <alignment horizontal="left" vertical="center"/>
    </xf>
    <xf numFmtId="0" fontId="51" fillId="6" borderId="22"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46" fillId="6" borderId="3" xfId="0" applyFont="1" applyFill="1" applyBorder="1" applyAlignment="1" applyProtection="1">
      <alignment horizontal="left" vertical="center"/>
    </xf>
    <xf numFmtId="49" fontId="51" fillId="6" borderId="69" xfId="0" applyNumberFormat="1" applyFont="1" applyFill="1" applyBorder="1" applyAlignment="1" applyProtection="1">
      <alignment vertical="center"/>
    </xf>
    <xf numFmtId="10" fontId="46" fillId="6" borderId="61" xfId="0" applyNumberFormat="1" applyFont="1" applyFill="1" applyBorder="1" applyAlignment="1" applyProtection="1">
      <alignment horizontal="center" vertical="center"/>
    </xf>
    <xf numFmtId="49" fontId="51" fillId="6" borderId="41" xfId="0" applyNumberFormat="1"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46" fillId="6" borderId="15" xfId="0" applyFont="1" applyFill="1" applyBorder="1" applyAlignment="1" applyProtection="1">
      <alignment horizontal="left" vertical="center"/>
    </xf>
    <xf numFmtId="182" fontId="46" fillId="6" borderId="53" xfId="0" applyNumberFormat="1" applyFont="1" applyFill="1" applyBorder="1" applyAlignment="1" applyProtection="1">
      <alignment horizontal="center" vertical="center"/>
    </xf>
    <xf numFmtId="49" fontId="46" fillId="6" borderId="91" xfId="0" applyNumberFormat="1" applyFont="1" applyFill="1" applyBorder="1" applyAlignment="1" applyProtection="1">
      <alignment vertical="center"/>
    </xf>
    <xf numFmtId="0" fontId="51" fillId="0" borderId="78" xfId="0" applyFont="1" applyFill="1" applyBorder="1" applyAlignment="1" applyProtection="1">
      <alignment horizontal="center" vertical="center"/>
      <protection locked="0"/>
    </xf>
    <xf numFmtId="0" fontId="46" fillId="6" borderId="78" xfId="0" applyFont="1" applyFill="1" applyBorder="1" applyAlignment="1" applyProtection="1">
      <alignment vertical="center"/>
    </xf>
    <xf numFmtId="182" fontId="51" fillId="6" borderId="79" xfId="0" applyNumberFormat="1" applyFont="1" applyFill="1" applyBorder="1" applyAlignment="1" applyProtection="1">
      <alignment horizontal="center" vertical="center"/>
    </xf>
    <xf numFmtId="0" fontId="46" fillId="6" borderId="4" xfId="0" applyFont="1" applyFill="1" applyBorder="1" applyAlignment="1" applyProtection="1">
      <alignment horizontal="left" vertical="center"/>
    </xf>
    <xf numFmtId="0" fontId="46" fillId="6" borderId="60" xfId="0" applyFont="1" applyFill="1" applyBorder="1" applyAlignment="1" applyProtection="1">
      <alignment horizontal="center" vertical="center"/>
    </xf>
    <xf numFmtId="49" fontId="46" fillId="6" borderId="91"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78" xfId="0" applyFont="1" applyFill="1" applyBorder="1" applyAlignment="1" applyProtection="1">
      <alignment horizontal="center" vertical="center"/>
    </xf>
    <xf numFmtId="0" fontId="46" fillId="6" borderId="78" xfId="0" applyFont="1" applyFill="1" applyBorder="1" applyAlignment="1" applyProtection="1">
      <alignment horizontal="left" vertical="center" wrapText="1"/>
    </xf>
    <xf numFmtId="182" fontId="46" fillId="6" borderId="79"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wrapText="1"/>
    </xf>
    <xf numFmtId="0" fontId="46" fillId="6" borderId="4" xfId="0" applyFont="1" applyFill="1" applyBorder="1" applyAlignment="1" applyProtection="1">
      <alignment horizontal="left" vertical="center" wrapText="1"/>
    </xf>
    <xf numFmtId="0" fontId="46" fillId="6" borderId="60" xfId="0" applyFont="1" applyFill="1" applyBorder="1" applyAlignment="1" applyProtection="1">
      <alignment horizontal="center" vertical="center" wrapText="1"/>
    </xf>
    <xf numFmtId="0" fontId="46" fillId="6" borderId="71" xfId="0" applyFont="1" applyFill="1" applyBorder="1" applyAlignment="1" applyProtection="1">
      <alignment horizontal="center" vertical="center" wrapText="1"/>
    </xf>
    <xf numFmtId="0" fontId="46" fillId="6" borderId="85" xfId="0" applyFont="1" applyFill="1" applyBorder="1" applyAlignment="1" applyProtection="1">
      <alignment vertical="center"/>
    </xf>
    <xf numFmtId="182" fontId="51" fillId="6" borderId="78" xfId="0" applyNumberFormat="1" applyFont="1" applyFill="1" applyBorder="1" applyAlignment="1" applyProtection="1">
      <alignment horizontal="center" vertical="center"/>
    </xf>
    <xf numFmtId="0" fontId="46" fillId="6" borderId="85" xfId="0" applyFont="1" applyFill="1" applyBorder="1" applyAlignment="1" applyProtection="1">
      <alignment horizontal="left" vertical="center"/>
    </xf>
    <xf numFmtId="0" fontId="46" fillId="6" borderId="7" xfId="0" applyFont="1" applyFill="1" applyBorder="1" applyAlignment="1" applyProtection="1">
      <alignment vertical="center"/>
    </xf>
    <xf numFmtId="49" fontId="46" fillId="6" borderId="41" xfId="0" applyNumberFormat="1" applyFont="1" applyFill="1" applyBorder="1" applyAlignment="1" applyProtection="1">
      <alignment horizontal="left" vertical="center"/>
    </xf>
    <xf numFmtId="49" fontId="46" fillId="6" borderId="7" xfId="0" applyNumberFormat="1" applyFont="1" applyFill="1" applyBorder="1" applyAlignment="1" applyProtection="1">
      <alignment vertical="center"/>
    </xf>
    <xf numFmtId="179" fontId="53" fillId="6" borderId="1" xfId="0" applyNumberFormat="1"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178" fontId="45" fillId="6" borderId="0" xfId="0" applyNumberFormat="1" applyFont="1" applyFill="1" applyBorder="1" applyAlignment="1" applyProtection="1">
      <alignment horizontal="center" vertical="center"/>
    </xf>
    <xf numFmtId="187" fontId="46" fillId="6" borderId="3"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0" fontId="45" fillId="6" borderId="39" xfId="0" applyNumberFormat="1" applyFont="1" applyFill="1" applyBorder="1" applyAlignment="1" applyProtection="1">
      <alignment vertical="center"/>
    </xf>
    <xf numFmtId="49" fontId="46" fillId="6" borderId="18" xfId="0" applyNumberFormat="1" applyFont="1" applyFill="1" applyBorder="1" applyAlignment="1" applyProtection="1">
      <alignment horizontal="center" vertical="center"/>
      <protection locked="0"/>
    </xf>
    <xf numFmtId="49" fontId="51" fillId="6" borderId="37" xfId="0" applyNumberFormat="1" applyFont="1" applyFill="1" applyBorder="1" applyAlignment="1" applyProtection="1">
      <alignment horizontal="left" vertical="center"/>
      <protection locked="0"/>
    </xf>
    <xf numFmtId="0" fontId="46" fillId="6" borderId="5" xfId="0" applyFont="1" applyFill="1" applyBorder="1" applyAlignment="1" applyProtection="1">
      <alignment horizontal="center" vertical="center"/>
      <protection locked="0"/>
    </xf>
    <xf numFmtId="0" fontId="46" fillId="6" borderId="5" xfId="0" applyFont="1" applyFill="1" applyBorder="1" applyAlignment="1" applyProtection="1">
      <alignment horizontal="right" vertical="center"/>
      <protection locked="0"/>
    </xf>
    <xf numFmtId="0" fontId="51" fillId="6" borderId="46" xfId="0" applyFont="1" applyFill="1" applyBorder="1" applyAlignment="1" applyProtection="1">
      <alignment horizontal="center" vertical="center"/>
    </xf>
    <xf numFmtId="0" fontId="56" fillId="6" borderId="0" xfId="0" applyFont="1" applyFill="1" applyBorder="1" applyAlignment="1" applyProtection="1">
      <alignment vertical="center"/>
    </xf>
    <xf numFmtId="182" fontId="51" fillId="5" borderId="61" xfId="0" applyNumberFormat="1"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2" fillId="7" borderId="0" xfId="0" applyFont="1" applyFill="1" applyAlignment="1" applyProtection="1">
      <alignment vertical="center" wrapText="1"/>
      <protection locked="0"/>
    </xf>
    <xf numFmtId="0" fontId="52" fillId="7" borderId="0" xfId="0" applyFont="1" applyFill="1" applyAlignment="1" applyProtection="1">
      <alignment horizontal="center" vertical="center" wrapText="1"/>
      <protection locked="0"/>
    </xf>
    <xf numFmtId="0" fontId="52" fillId="7" borderId="0" xfId="0" applyFont="1" applyFill="1" applyAlignment="1" applyProtection="1">
      <alignment horizontal="center" vertical="center" wrapText="1"/>
    </xf>
    <xf numFmtId="0" fontId="52" fillId="7" borderId="0" xfId="0" applyNumberFormat="1" applyFont="1" applyFill="1" applyAlignment="1" applyProtection="1">
      <alignment horizontal="center" vertical="center" wrapText="1"/>
      <protection locked="0"/>
    </xf>
    <xf numFmtId="14" fontId="52" fillId="7" borderId="0" xfId="0" applyNumberFormat="1" applyFont="1" applyFill="1" applyAlignment="1" applyProtection="1">
      <alignment horizontal="center" vertical="center" wrapText="1"/>
      <protection locked="0"/>
    </xf>
    <xf numFmtId="10" fontId="52"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vertical="center" wrapText="1"/>
      <protection locked="0"/>
    </xf>
    <xf numFmtId="49" fontId="56" fillId="6" borderId="0" xfId="1"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0" fillId="6" borderId="45"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43" fillId="6" borderId="58" xfId="0" applyFont="1" applyFill="1" applyBorder="1" applyAlignment="1" applyProtection="1">
      <alignment horizontal="center" vertical="center" wrapText="1"/>
    </xf>
    <xf numFmtId="0" fontId="48" fillId="6" borderId="53" xfId="0" applyNumberFormat="1" applyFont="1" applyFill="1" applyBorder="1" applyAlignment="1" applyProtection="1">
      <alignment horizontal="center" vertical="center" wrapText="1"/>
    </xf>
    <xf numFmtId="0" fontId="43" fillId="0" borderId="5"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center" vertical="center"/>
      <protection locked="0"/>
    </xf>
    <xf numFmtId="0" fontId="48" fillId="0" borderId="33"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3" fillId="6" borderId="23" xfId="0" applyFont="1" applyFill="1" applyBorder="1" applyProtection="1">
      <alignment vertical="center"/>
    </xf>
    <xf numFmtId="0" fontId="43" fillId="6" borderId="0" xfId="0" applyFont="1" applyFill="1" applyProtection="1">
      <alignment vertical="center"/>
      <protection locked="0"/>
    </xf>
    <xf numFmtId="177" fontId="45" fillId="6" borderId="1" xfId="0" applyNumberFormat="1" applyFont="1" applyFill="1" applyBorder="1" applyAlignment="1" applyProtection="1">
      <alignment vertical="center"/>
    </xf>
    <xf numFmtId="177" fontId="45" fillId="6" borderId="1" xfId="0" applyNumberFormat="1" applyFont="1" applyFill="1" applyBorder="1" applyAlignment="1" applyProtection="1">
      <alignment horizontal="center" vertical="center"/>
    </xf>
    <xf numFmtId="177" fontId="45" fillId="6" borderId="24" xfId="0" applyNumberFormat="1" applyFont="1" applyFill="1" applyBorder="1" applyAlignment="1" applyProtection="1">
      <alignment vertical="center"/>
    </xf>
    <xf numFmtId="177" fontId="45" fillId="6" borderId="25" xfId="0" applyNumberFormat="1" applyFont="1" applyFill="1" applyBorder="1" applyAlignment="1" applyProtection="1">
      <alignment vertical="center"/>
    </xf>
    <xf numFmtId="177" fontId="45" fillId="6" borderId="76" xfId="0" applyNumberFormat="1" applyFont="1" applyFill="1" applyBorder="1" applyAlignment="1" applyProtection="1">
      <alignment vertical="center"/>
    </xf>
    <xf numFmtId="0" fontId="43" fillId="6" borderId="11" xfId="0" applyFont="1" applyFill="1" applyBorder="1" applyProtection="1">
      <alignment vertical="center"/>
    </xf>
    <xf numFmtId="0" fontId="43" fillId="6" borderId="13" xfId="0" applyFont="1" applyFill="1" applyBorder="1" applyProtection="1">
      <alignment vertical="center"/>
    </xf>
    <xf numFmtId="0" fontId="45" fillId="6" borderId="25" xfId="0" applyFont="1" applyFill="1" applyBorder="1" applyProtection="1">
      <alignment vertical="center"/>
    </xf>
    <xf numFmtId="0" fontId="45" fillId="6" borderId="32" xfId="0" applyFont="1" applyFill="1" applyBorder="1" applyProtection="1">
      <alignment vertical="center"/>
    </xf>
    <xf numFmtId="0" fontId="43" fillId="6" borderId="49" xfId="0" applyFont="1" applyFill="1" applyBorder="1" applyProtection="1">
      <alignment vertical="center"/>
    </xf>
    <xf numFmtId="0" fontId="43" fillId="6" borderId="24" xfId="0" applyFont="1" applyFill="1" applyBorder="1" applyProtection="1">
      <alignment vertical="center"/>
    </xf>
    <xf numFmtId="0" fontId="45" fillId="6" borderId="49" xfId="0" applyFont="1" applyFill="1" applyBorder="1" applyProtection="1">
      <alignment vertical="center"/>
    </xf>
    <xf numFmtId="49" fontId="51" fillId="6" borderId="22" xfId="0" applyNumberFormat="1" applyFont="1" applyFill="1" applyBorder="1" applyAlignment="1" applyProtection="1">
      <alignment horizontal="left" vertical="center"/>
      <protection locked="0"/>
    </xf>
    <xf numFmtId="49" fontId="51" fillId="6" borderId="41" xfId="0" applyNumberFormat="1" applyFont="1" applyFill="1" applyBorder="1" applyAlignment="1" applyProtection="1">
      <alignment horizontal="left" vertical="center"/>
      <protection locked="0"/>
    </xf>
    <xf numFmtId="0" fontId="49" fillId="6" borderId="51" xfId="0" applyNumberFormat="1" applyFont="1" applyFill="1" applyBorder="1" applyAlignment="1" applyProtection="1">
      <alignment horizontal="right" vertical="center" wrapText="1"/>
    </xf>
    <xf numFmtId="0" fontId="49" fillId="6" borderId="21" xfId="0" applyNumberFormat="1" applyFont="1" applyFill="1" applyBorder="1" applyAlignment="1" applyProtection="1">
      <alignment vertical="center" wrapText="1"/>
    </xf>
    <xf numFmtId="0" fontId="69" fillId="3" borderId="20" xfId="0" applyNumberFormat="1" applyFont="1" applyFill="1" applyBorder="1" applyAlignment="1" applyProtection="1">
      <alignment vertical="center" wrapText="1"/>
      <protection locked="0"/>
    </xf>
    <xf numFmtId="0" fontId="69" fillId="6" borderId="20" xfId="0" applyNumberFormat="1" applyFont="1" applyFill="1" applyBorder="1" applyAlignment="1" applyProtection="1">
      <alignment vertical="center" wrapText="1"/>
    </xf>
    <xf numFmtId="0" fontId="69" fillId="3" borderId="51" xfId="0" applyNumberFormat="1" applyFont="1" applyFill="1" applyBorder="1" applyAlignment="1" applyProtection="1">
      <alignment vertical="center" wrapText="1"/>
      <protection locked="0"/>
    </xf>
    <xf numFmtId="0" fontId="69" fillId="6" borderId="21" xfId="0" applyNumberFormat="1" applyFont="1" applyFill="1" applyBorder="1" applyAlignment="1" applyProtection="1">
      <alignment vertical="center" wrapText="1"/>
    </xf>
    <xf numFmtId="0" fontId="49" fillId="6" borderId="38" xfId="0" applyNumberFormat="1" applyFont="1" applyFill="1" applyBorder="1" applyAlignment="1" applyProtection="1">
      <alignment vertical="center" wrapText="1"/>
    </xf>
    <xf numFmtId="0" fontId="49" fillId="6" borderId="52" xfId="0" applyNumberFormat="1" applyFont="1" applyFill="1" applyBorder="1" applyAlignment="1" applyProtection="1">
      <alignment vertical="center" wrapText="1"/>
    </xf>
    <xf numFmtId="0" fontId="49" fillId="6" borderId="47" xfId="0" applyNumberFormat="1" applyFont="1" applyFill="1" applyBorder="1" applyAlignment="1" applyProtection="1">
      <alignment vertical="center" wrapText="1"/>
      <protection locked="0"/>
    </xf>
    <xf numFmtId="0" fontId="49" fillId="6" borderId="47" xfId="0" applyNumberFormat="1" applyFont="1" applyFill="1" applyBorder="1" applyAlignment="1" applyProtection="1">
      <alignment vertical="center" wrapText="1"/>
    </xf>
    <xf numFmtId="0" fontId="56" fillId="6" borderId="2" xfId="0" applyFont="1" applyFill="1" applyBorder="1" applyAlignment="1" applyProtection="1">
      <alignment horizontal="right" vertical="center"/>
    </xf>
    <xf numFmtId="0" fontId="61" fillId="6" borderId="58" xfId="0" applyFont="1" applyFill="1" applyBorder="1" applyAlignment="1" applyProtection="1">
      <alignment horizontal="center" vertical="center"/>
    </xf>
    <xf numFmtId="0" fontId="55" fillId="6" borderId="0" xfId="0" applyFont="1" applyFill="1" applyBorder="1" applyAlignment="1" applyProtection="1">
      <protection locked="0"/>
    </xf>
    <xf numFmtId="0" fontId="50" fillId="6" borderId="0" xfId="0" applyFont="1" applyFill="1" applyBorder="1" applyAlignment="1" applyProtection="1">
      <alignment horizontal="center"/>
      <protection locked="0"/>
    </xf>
    <xf numFmtId="0" fontId="43" fillId="6" borderId="0" xfId="0" applyFont="1" applyFill="1" applyAlignment="1" applyProtection="1">
      <alignment horizontal="center" vertical="center"/>
      <protection locked="0"/>
    </xf>
    <xf numFmtId="0" fontId="56" fillId="6" borderId="5" xfId="1" applyFont="1" applyFill="1" applyBorder="1" applyAlignment="1" applyProtection="1">
      <alignment horizontal="right" vertical="center"/>
    </xf>
    <xf numFmtId="0" fontId="45" fillId="6" borderId="33" xfId="0" applyFont="1" applyFill="1" applyBorder="1" applyAlignment="1" applyProtection="1">
      <alignment horizontal="center" vertical="center"/>
    </xf>
    <xf numFmtId="182" fontId="43" fillId="6" borderId="49" xfId="0" applyNumberFormat="1" applyFont="1" applyFill="1" applyBorder="1" applyProtection="1">
      <alignment vertical="center"/>
    </xf>
    <xf numFmtId="0" fontId="43" fillId="6" borderId="24" xfId="1" applyNumberFormat="1" applyFont="1" applyFill="1" applyBorder="1" applyAlignment="1" applyProtection="1">
      <alignment horizontal="center" vertical="center"/>
    </xf>
    <xf numFmtId="10" fontId="50" fillId="0" borderId="3" xfId="8" applyNumberFormat="1" applyFont="1" applyFill="1" applyBorder="1" applyAlignment="1" applyProtection="1">
      <alignment horizontal="center" vertical="center" wrapText="1"/>
      <protection locked="0"/>
    </xf>
    <xf numFmtId="10" fontId="52" fillId="6" borderId="24" xfId="8" applyNumberFormat="1" applyFont="1" applyFill="1" applyBorder="1" applyAlignment="1" applyProtection="1">
      <alignment horizontal="center" vertical="center" wrapText="1"/>
    </xf>
    <xf numFmtId="10" fontId="50" fillId="0" borderId="66" xfId="8" applyNumberFormat="1" applyFont="1" applyFill="1" applyBorder="1" applyAlignment="1" applyProtection="1">
      <alignment horizontal="center" vertical="center" wrapText="1"/>
      <protection locked="0"/>
    </xf>
    <xf numFmtId="10" fontId="52" fillId="6" borderId="49" xfId="8" applyNumberFormat="1" applyFont="1" applyFill="1" applyBorder="1" applyAlignment="1" applyProtection="1">
      <alignment horizontal="center" vertical="center" wrapText="1"/>
    </xf>
    <xf numFmtId="0" fontId="43" fillId="6" borderId="22"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48" xfId="0" applyNumberFormat="1" applyFont="1" applyFill="1" applyBorder="1" applyAlignment="1" applyProtection="1">
      <alignment horizontal="center" vertical="center" wrapText="1"/>
      <protection locked="0"/>
    </xf>
    <xf numFmtId="0" fontId="43" fillId="0" borderId="24" xfId="0" applyNumberFormat="1" applyFont="1" applyFill="1" applyBorder="1" applyAlignment="1" applyProtection="1">
      <alignment horizontal="center" vertical="center" wrapText="1"/>
      <protection locked="0"/>
    </xf>
    <xf numFmtId="49" fontId="43" fillId="0" borderId="18" xfId="0" applyNumberFormat="1" applyFont="1" applyFill="1" applyBorder="1" applyAlignment="1" applyProtection="1">
      <alignment horizontal="center" vertical="center"/>
      <protection locked="0"/>
    </xf>
    <xf numFmtId="0" fontId="43" fillId="6" borderId="3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protection locked="0"/>
    </xf>
    <xf numFmtId="190" fontId="43" fillId="6" borderId="30" xfId="0" applyNumberFormat="1" applyFont="1" applyFill="1" applyBorder="1" applyAlignment="1" applyProtection="1">
      <alignment horizontal="center" vertical="center" wrapText="1"/>
    </xf>
    <xf numFmtId="190" fontId="43" fillId="6" borderId="9" xfId="0" applyNumberFormat="1" applyFont="1" applyFill="1" applyBorder="1" applyAlignment="1" applyProtection="1">
      <alignment horizontal="center" vertical="center" wrapText="1"/>
    </xf>
    <xf numFmtId="190" fontId="43" fillId="6" borderId="39" xfId="0" applyNumberFormat="1" applyFont="1" applyFill="1" applyBorder="1" applyAlignment="1" applyProtection="1">
      <alignment horizontal="center" vertical="center" wrapText="1"/>
    </xf>
    <xf numFmtId="0" fontId="46" fillId="0" borderId="54" xfId="0" applyFont="1" applyFill="1" applyBorder="1" applyAlignment="1" applyProtection="1">
      <alignment vertical="center"/>
      <protection locked="0"/>
    </xf>
    <xf numFmtId="0" fontId="46" fillId="6" borderId="36" xfId="0" applyFont="1" applyFill="1" applyBorder="1" applyAlignment="1" applyProtection="1">
      <alignment vertical="center"/>
    </xf>
    <xf numFmtId="0" fontId="46" fillId="6" borderId="60" xfId="0" applyFont="1" applyFill="1" applyBorder="1" applyAlignment="1" applyProtection="1">
      <alignment horizontal="left" vertical="center"/>
    </xf>
    <xf numFmtId="0" fontId="44" fillId="5" borderId="3" xfId="1" applyFont="1" applyFill="1" applyBorder="1" applyAlignment="1" applyProtection="1">
      <alignment vertical="center"/>
    </xf>
    <xf numFmtId="0" fontId="46" fillId="6" borderId="0" xfId="0" applyFont="1" applyFill="1" applyAlignment="1" applyProtection="1">
      <alignment vertical="center"/>
      <protection locked="0"/>
    </xf>
    <xf numFmtId="0" fontId="44" fillId="5" borderId="5" xfId="1" applyFont="1" applyFill="1" applyBorder="1" applyAlignment="1" applyProtection="1">
      <alignment horizontal="left" vertical="center"/>
      <protection locked="0"/>
    </xf>
    <xf numFmtId="0" fontId="61"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3"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7" fillId="6" borderId="1" xfId="8" applyFont="1" applyFill="1" applyBorder="1" applyAlignment="1" applyProtection="1">
      <alignment horizontal="center" vertical="center" wrapText="1"/>
    </xf>
    <xf numFmtId="0" fontId="57" fillId="0" borderId="1" xfId="8" applyFont="1" applyFill="1" applyBorder="1" applyAlignment="1" applyProtection="1">
      <alignment horizontal="center" vertical="center" wrapText="1"/>
      <protection locked="0"/>
    </xf>
    <xf numFmtId="0" fontId="52" fillId="6" borderId="1" xfId="8" applyFont="1" applyFill="1" applyBorder="1" applyAlignment="1" applyProtection="1">
      <alignment horizontal="center" vertical="center" wrapText="1"/>
      <protection locked="0"/>
    </xf>
    <xf numFmtId="180" fontId="52" fillId="6" borderId="1" xfId="8" applyNumberFormat="1"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98" fillId="6" borderId="1" xfId="8" applyFont="1" applyFill="1" applyBorder="1" applyAlignment="1" applyProtection="1">
      <alignment horizontal="center" vertical="center"/>
    </xf>
    <xf numFmtId="0" fontId="56" fillId="6" borderId="2" xfId="1" applyFont="1" applyFill="1" applyBorder="1" applyAlignment="1" applyProtection="1">
      <alignment vertical="center"/>
    </xf>
    <xf numFmtId="0" fontId="100" fillId="6" borderId="85" xfId="0" applyFont="1" applyFill="1" applyBorder="1" applyAlignment="1" applyProtection="1">
      <alignment vertical="center"/>
    </xf>
    <xf numFmtId="0" fontId="61" fillId="2" borderId="88" xfId="0" applyFont="1" applyFill="1" applyBorder="1" applyAlignment="1" applyProtection="1">
      <alignment horizontal="right" vertical="center"/>
      <protection locked="0"/>
    </xf>
    <xf numFmtId="0" fontId="61" fillId="6" borderId="87" xfId="0" applyFont="1" applyFill="1" applyBorder="1" applyAlignment="1" applyProtection="1">
      <alignment horizontal="center" vertical="center"/>
    </xf>
    <xf numFmtId="0" fontId="61" fillId="2" borderId="88" xfId="0" applyFont="1" applyFill="1" applyBorder="1" applyAlignment="1" applyProtection="1">
      <alignment vertical="center"/>
      <protection locked="0"/>
    </xf>
    <xf numFmtId="0" fontId="61" fillId="6"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189" fontId="61" fillId="6" borderId="88" xfId="0" applyNumberFormat="1" applyFont="1" applyFill="1" applyBorder="1" applyAlignment="1" applyProtection="1">
      <alignment horizontal="center" vertical="center"/>
      <protection locked="0"/>
    </xf>
    <xf numFmtId="182" fontId="61" fillId="6" borderId="88" xfId="0" applyNumberFormat="1" applyFont="1" applyFill="1" applyBorder="1" applyAlignment="1" applyProtection="1">
      <alignment vertical="center"/>
      <protection locked="0"/>
    </xf>
    <xf numFmtId="0" fontId="61" fillId="6" borderId="88" xfId="0" applyFont="1" applyFill="1" applyBorder="1" applyAlignment="1" applyProtection="1">
      <alignment horizontal="center" vertical="center"/>
      <protection locked="0"/>
    </xf>
    <xf numFmtId="0" fontId="61" fillId="6" borderId="103" xfId="0" applyFont="1" applyFill="1" applyBorder="1" applyAlignment="1" applyProtection="1">
      <alignment horizontal="center" vertical="center"/>
    </xf>
    <xf numFmtId="0" fontId="62" fillId="6" borderId="87" xfId="0" applyFont="1" applyFill="1" applyBorder="1" applyAlignment="1" applyProtection="1">
      <alignment horizontal="center" vertical="center"/>
    </xf>
    <xf numFmtId="0" fontId="62" fillId="0" borderId="87" xfId="0" applyFont="1" applyFill="1" applyBorder="1" applyAlignment="1" applyProtection="1">
      <alignment horizontal="center" vertical="center"/>
      <protection locked="0"/>
    </xf>
    <xf numFmtId="0" fontId="61" fillId="6" borderId="88" xfId="0" applyFont="1" applyFill="1" applyBorder="1" applyAlignment="1" applyProtection="1">
      <alignment vertical="center"/>
    </xf>
    <xf numFmtId="0" fontId="64" fillId="6" borderId="88" xfId="0" applyFont="1" applyFill="1" applyBorder="1" applyAlignment="1" applyProtection="1">
      <alignment vertical="center"/>
    </xf>
    <xf numFmtId="189" fontId="61" fillId="6" borderId="88" xfId="0" applyNumberFormat="1" applyFont="1" applyFill="1" applyBorder="1" applyAlignment="1" applyProtection="1">
      <alignment horizontal="center" vertical="center"/>
    </xf>
    <xf numFmtId="182" fontId="61" fillId="6" borderId="88" xfId="0" applyNumberFormat="1" applyFont="1" applyFill="1" applyBorder="1" applyAlignment="1" applyProtection="1">
      <alignment vertical="center"/>
    </xf>
    <xf numFmtId="0" fontId="61" fillId="6" borderId="88" xfId="0" applyFont="1" applyFill="1" applyBorder="1" applyAlignment="1" applyProtection="1">
      <alignment horizontal="center" vertical="center"/>
    </xf>
    <xf numFmtId="0" fontId="0" fillId="0" borderId="0" xfId="0" applyAlignment="1"/>
    <xf numFmtId="0" fontId="95" fillId="6" borderId="0" xfId="0" applyFont="1" applyFill="1" applyAlignment="1"/>
    <xf numFmtId="0" fontId="79"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8"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0" borderId="48" xfId="0" applyNumberFormat="1" applyFont="1" applyFill="1" applyBorder="1" applyAlignment="1" applyProtection="1">
      <alignment horizontal="center" vertical="center" wrapText="1"/>
      <protection locked="0"/>
    </xf>
    <xf numFmtId="0" fontId="98" fillId="0" borderId="13" xfId="0" applyNumberFormat="1" applyFont="1" applyFill="1" applyBorder="1" applyAlignment="1" applyProtection="1">
      <alignment horizontal="center" vertical="center" wrapText="1"/>
      <protection locked="0"/>
    </xf>
    <xf numFmtId="0" fontId="98" fillId="0" borderId="46" xfId="0" applyNumberFormat="1" applyFont="1" applyFill="1" applyBorder="1" applyAlignment="1" applyProtection="1">
      <alignment horizontal="center" vertical="center" wrapText="1"/>
      <protection locked="0"/>
    </xf>
    <xf numFmtId="0" fontId="98" fillId="0" borderId="59" xfId="0" applyNumberFormat="1" applyFont="1" applyFill="1" applyBorder="1" applyAlignment="1" applyProtection="1">
      <alignment horizontal="center" vertical="center" wrapText="1"/>
      <protection locked="0"/>
    </xf>
    <xf numFmtId="0" fontId="98" fillId="0" borderId="110" xfId="0" applyNumberFormat="1" applyFont="1" applyFill="1" applyBorder="1" applyAlignment="1" applyProtection="1">
      <alignment horizontal="center" vertical="center" wrapText="1"/>
      <protection locked="0"/>
    </xf>
    <xf numFmtId="0" fontId="98" fillId="0" borderId="110" xfId="0" applyNumberFormat="1" applyFont="1" applyFill="1" applyBorder="1" applyAlignment="1" applyProtection="1">
      <alignment horizontal="left" vertical="center" wrapText="1"/>
      <protection locked="0"/>
    </xf>
    <xf numFmtId="0" fontId="98" fillId="0" borderId="111" xfId="0" applyNumberFormat="1" applyFont="1" applyFill="1" applyBorder="1" applyAlignment="1" applyProtection="1">
      <alignment horizontal="center" vertical="center" wrapText="1"/>
      <protection locked="0"/>
    </xf>
    <xf numFmtId="0" fontId="98" fillId="0" borderId="112" xfId="0" applyNumberFormat="1" applyFont="1" applyFill="1" applyBorder="1" applyAlignment="1" applyProtection="1">
      <alignment horizontal="center" vertical="center" wrapText="1"/>
      <protection locked="0"/>
    </xf>
    <xf numFmtId="0" fontId="98" fillId="6" borderId="98" xfId="0" applyNumberFormat="1" applyFont="1" applyFill="1" applyBorder="1" applyAlignment="1" applyProtection="1">
      <alignment horizontal="center" vertical="center" wrapText="1"/>
    </xf>
    <xf numFmtId="0" fontId="98" fillId="0" borderId="2"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58"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0" fontId="98" fillId="0" borderId="15" xfId="0" applyFont="1" applyFill="1" applyBorder="1" applyAlignment="1" applyProtection="1">
      <alignment horizontal="center" vertical="center" wrapText="1"/>
      <protection locked="0"/>
    </xf>
    <xf numFmtId="9" fontId="98" fillId="0" borderId="15" xfId="0" applyNumberFormat="1" applyFont="1" applyFill="1" applyBorder="1" applyAlignment="1" applyProtection="1">
      <alignment horizontal="center" vertical="center" wrapText="1"/>
      <protection locked="0"/>
    </xf>
    <xf numFmtId="0" fontId="98" fillId="0" borderId="15" xfId="0" applyFont="1" applyFill="1" applyBorder="1" applyAlignment="1" applyProtection="1">
      <alignment horizontal="center" vertical="center"/>
      <protection locked="0"/>
    </xf>
    <xf numFmtId="0" fontId="98" fillId="0" borderId="56" xfId="0" applyFont="1" applyFill="1" applyBorder="1" applyAlignment="1" applyProtection="1">
      <alignment horizontal="center" vertical="center"/>
      <protection locked="0"/>
    </xf>
    <xf numFmtId="0" fontId="98" fillId="0" borderId="2" xfId="0" applyNumberFormat="1" applyFont="1" applyFill="1" applyBorder="1" applyAlignment="1" applyProtection="1">
      <alignment horizontal="left" vertical="center" wrapText="1"/>
      <protection locked="0"/>
    </xf>
    <xf numFmtId="0" fontId="98" fillId="6" borderId="1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right" vertical="center"/>
    </xf>
    <xf numFmtId="0" fontId="57" fillId="6" borderId="10" xfId="0" applyFont="1" applyFill="1" applyBorder="1" applyAlignment="1" applyProtection="1">
      <alignment horizontal="center" vertical="center" wrapText="1"/>
    </xf>
    <xf numFmtId="0" fontId="57" fillId="6" borderId="49" xfId="0" applyFont="1" applyFill="1" applyBorder="1" applyAlignment="1" applyProtection="1">
      <alignment horizontal="center" vertical="center" wrapText="1"/>
    </xf>
    <xf numFmtId="0" fontId="46"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7" fillId="6" borderId="9" xfId="0" applyNumberFormat="1" applyFont="1" applyFill="1" applyBorder="1" applyAlignment="1" applyProtection="1">
      <alignment horizontal="center" vertical="center" wrapText="1"/>
    </xf>
    <xf numFmtId="0" fontId="97" fillId="6" borderId="10" xfId="0" applyNumberFormat="1" applyFont="1" applyFill="1" applyBorder="1" applyAlignment="1" applyProtection="1">
      <alignment horizontal="center" vertical="center" wrapText="1"/>
    </xf>
    <xf numFmtId="10" fontId="52"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6" fillId="6" borderId="19" xfId="0" applyFont="1" applyFill="1" applyBorder="1" applyAlignment="1" applyProtection="1">
      <alignment horizontal="center" vertical="center"/>
      <protection locked="0"/>
    </xf>
    <xf numFmtId="0" fontId="46" fillId="5" borderId="66" xfId="0" applyFont="1" applyFill="1" applyBorder="1" applyAlignment="1" applyProtection="1">
      <alignment horizontal="center" vertical="center"/>
      <protection locked="0"/>
    </xf>
    <xf numFmtId="0" fontId="46" fillId="6" borderId="54" xfId="0" applyFont="1" applyFill="1" applyBorder="1" applyAlignment="1" applyProtection="1">
      <alignment horizontal="left" vertical="center" wrapText="1"/>
    </xf>
    <xf numFmtId="0" fontId="43"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3" fillId="0" borderId="1" xfId="0" applyFont="1" applyBorder="1" applyAlignment="1" applyProtection="1">
      <alignment horizontal="center" vertical="center"/>
      <protection locked="0"/>
    </xf>
    <xf numFmtId="0" fontId="46" fillId="6" borderId="3" xfId="0" applyFont="1" applyFill="1" applyBorder="1" applyAlignment="1" applyProtection="1">
      <alignment horizontal="center" vertical="center" wrapText="1"/>
    </xf>
    <xf numFmtId="0" fontId="98" fillId="6" borderId="2" xfId="0" applyFont="1" applyFill="1" applyBorder="1" applyAlignment="1" applyProtection="1">
      <alignment horizontal="center" vertical="center" wrapText="1"/>
    </xf>
    <xf numFmtId="0" fontId="9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52" fillId="6" borderId="3" xfId="8"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7" fillId="5" borderId="0" xfId="0" applyFont="1" applyFill="1" applyAlignment="1" applyProtection="1">
      <alignment horizontal="right" vertical="center"/>
      <protection locked="0"/>
    </xf>
    <xf numFmtId="49" fontId="57" fillId="6" borderId="0" xfId="0" applyNumberFormat="1" applyFont="1" applyFill="1" applyBorder="1" applyAlignment="1" applyProtection="1">
      <alignment horizontal="center"/>
    </xf>
    <xf numFmtId="0" fontId="52" fillId="6" borderId="13" xfId="0" applyFont="1" applyFill="1" applyBorder="1" applyAlignment="1" applyProtection="1">
      <alignment vertical="center"/>
    </xf>
    <xf numFmtId="0" fontId="46" fillId="6" borderId="22" xfId="0" applyFont="1" applyFill="1" applyBorder="1" applyAlignment="1" applyProtection="1">
      <alignment vertical="center" wrapText="1"/>
    </xf>
    <xf numFmtId="0" fontId="46"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6" fillId="6" borderId="118" xfId="0" applyFont="1" applyFill="1" applyBorder="1" applyAlignment="1" applyProtection="1">
      <alignment vertical="center" wrapText="1"/>
    </xf>
    <xf numFmtId="0" fontId="46" fillId="2" borderId="1" xfId="0" applyFont="1" applyFill="1" applyBorder="1" applyAlignment="1" applyProtection="1">
      <alignment horizontal="left" vertical="center" wrapText="1"/>
      <protection locked="0"/>
    </xf>
    <xf numFmtId="0" fontId="51" fillId="6" borderId="46" xfId="0" applyFont="1" applyFill="1" applyBorder="1" applyAlignment="1" applyProtection="1">
      <alignment vertical="center" wrapText="1"/>
      <protection locked="0"/>
    </xf>
    <xf numFmtId="0" fontId="46" fillId="6" borderId="1" xfId="0" applyFont="1" applyFill="1" applyBorder="1" applyAlignment="1" applyProtection="1">
      <protection locked="0"/>
    </xf>
    <xf numFmtId="0" fontId="46" fillId="6" borderId="3" xfId="0" applyFont="1" applyFill="1" applyBorder="1" applyAlignment="1" applyProtection="1">
      <alignment vertical="center" wrapText="1"/>
    </xf>
    <xf numFmtId="0" fontId="46" fillId="6" borderId="36" xfId="0" applyFont="1" applyFill="1" applyBorder="1" applyAlignment="1" applyProtection="1">
      <alignment horizontal="left" vertical="center"/>
    </xf>
    <xf numFmtId="49" fontId="63" fillId="6" borderId="60" xfId="0" applyNumberFormat="1" applyFont="1" applyFill="1" applyBorder="1" applyAlignment="1" applyProtection="1"/>
    <xf numFmtId="0" fontId="76" fillId="6" borderId="13" xfId="0" applyFont="1" applyFill="1" applyBorder="1" applyAlignment="1" applyProtection="1">
      <alignment vertical="center"/>
    </xf>
    <xf numFmtId="0" fontId="76" fillId="6" borderId="22" xfId="0" applyFont="1" applyFill="1" applyBorder="1" applyAlignment="1" applyProtection="1">
      <alignment vertical="center"/>
    </xf>
    <xf numFmtId="178" fontId="56" fillId="6" borderId="60" xfId="0" applyNumberFormat="1" applyFont="1" applyFill="1" applyBorder="1" applyAlignment="1" applyProtection="1"/>
    <xf numFmtId="49" fontId="56" fillId="2" borderId="27" xfId="0" applyNumberFormat="1" applyFont="1" applyFill="1" applyBorder="1" applyAlignment="1" applyProtection="1">
      <alignment horizontal="right"/>
      <protection locked="0"/>
    </xf>
    <xf numFmtId="0" fontId="52" fillId="6" borderId="0" xfId="0" applyFont="1" applyFill="1" applyAlignment="1" applyProtection="1">
      <alignment horizontal="center" vertical="center"/>
    </xf>
    <xf numFmtId="0" fontId="52" fillId="6" borderId="0" xfId="0" applyFont="1" applyFill="1" applyAlignment="1" applyProtection="1">
      <alignment vertical="center"/>
    </xf>
    <xf numFmtId="49" fontId="53" fillId="6" borderId="0" xfId="0" applyNumberFormat="1" applyFont="1" applyFill="1" applyBorder="1" applyAlignment="1" applyProtection="1">
      <alignment horizontal="center"/>
    </xf>
    <xf numFmtId="49" fontId="53" fillId="6" borderId="0" xfId="0" applyNumberFormat="1" applyFont="1" applyFill="1" applyBorder="1" applyAlignment="1" applyProtection="1">
      <alignment horizontal="left"/>
    </xf>
    <xf numFmtId="0" fontId="52" fillId="7" borderId="0" xfId="0" applyFont="1" applyFill="1" applyAlignment="1" applyProtection="1">
      <alignment vertical="center"/>
      <protection locked="0"/>
    </xf>
    <xf numFmtId="0" fontId="53" fillId="6" borderId="1" xfId="1" applyFont="1" applyFill="1" applyBorder="1" applyAlignment="1" applyProtection="1">
      <alignment vertical="center"/>
    </xf>
    <xf numFmtId="0" fontId="51" fillId="6" borderId="1" xfId="0" applyFont="1" applyFill="1" applyBorder="1" applyAlignment="1" applyProtection="1">
      <alignment horizontal="right" vertical="center"/>
    </xf>
    <xf numFmtId="0" fontId="52" fillId="6" borderId="0" xfId="0" applyFont="1" applyFill="1" applyBorder="1" applyAlignment="1" applyProtection="1">
      <alignment vertical="center"/>
    </xf>
    <xf numFmtId="49" fontId="52" fillId="6" borderId="0" xfId="0" applyNumberFormat="1" applyFont="1" applyFill="1" applyBorder="1" applyAlignment="1" applyProtection="1"/>
    <xf numFmtId="49" fontId="53" fillId="6" borderId="0" xfId="0" applyNumberFormat="1" applyFont="1" applyFill="1" applyBorder="1" applyAlignment="1" applyProtection="1"/>
    <xf numFmtId="0" fontId="53" fillId="6" borderId="32" xfId="1" applyFont="1" applyFill="1" applyBorder="1" applyAlignment="1" applyProtection="1">
      <alignment vertical="center"/>
    </xf>
    <xf numFmtId="0" fontId="51" fillId="6" borderId="32" xfId="0" applyFont="1" applyFill="1" applyBorder="1" applyAlignment="1" applyProtection="1">
      <alignment horizontal="right" vertical="center"/>
    </xf>
    <xf numFmtId="0" fontId="46" fillId="6" borderId="60" xfId="0" applyFont="1" applyFill="1" applyBorder="1" applyAlignment="1" applyProtection="1">
      <alignment vertical="center"/>
    </xf>
    <xf numFmtId="0" fontId="46" fillId="6" borderId="71" xfId="0" applyFont="1" applyFill="1" applyBorder="1" applyAlignment="1" applyProtection="1">
      <alignment vertical="center"/>
    </xf>
    <xf numFmtId="0" fontId="46" fillId="6" borderId="88" xfId="0" applyFont="1" applyFill="1" applyBorder="1" applyAlignment="1" applyProtection="1">
      <alignment vertical="center"/>
    </xf>
    <xf numFmtId="0" fontId="46" fillId="6" borderId="90"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53" fillId="6" borderId="0" xfId="0" applyFont="1" applyFill="1" applyBorder="1" applyAlignment="1" applyProtection="1">
      <alignment horizontal="left" vertical="center"/>
      <protection locked="0"/>
    </xf>
    <xf numFmtId="0" fontId="59" fillId="6" borderId="0" xfId="0" applyFont="1" applyFill="1" applyBorder="1" applyAlignment="1" applyProtection="1">
      <alignment horizontal="center" vertical="center"/>
      <protection locked="0"/>
    </xf>
    <xf numFmtId="0" fontId="46" fillId="7" borderId="0" xfId="0" applyFont="1" applyFill="1" applyAlignment="1" applyProtection="1">
      <protection locked="0"/>
    </xf>
    <xf numFmtId="0" fontId="46" fillId="7" borderId="0" xfId="0" applyFont="1" applyFill="1" applyAlignment="1" applyProtection="1">
      <alignment horizontal="center"/>
      <protection locked="0"/>
    </xf>
    <xf numFmtId="0" fontId="52"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2" fillId="6" borderId="16" xfId="0" applyFont="1" applyFill="1" applyBorder="1" applyAlignment="1" applyProtection="1">
      <alignment horizontal="center" vertical="center"/>
    </xf>
    <xf numFmtId="0" fontId="46" fillId="6" borderId="31" xfId="0" applyFont="1" applyFill="1" applyBorder="1" applyAlignment="1" applyProtection="1"/>
    <xf numFmtId="0" fontId="138" fillId="7" borderId="63" xfId="0" applyFont="1" applyFill="1" applyBorder="1" applyAlignment="1" applyProtection="1">
      <alignment vertical="center"/>
      <protection locked="0"/>
    </xf>
    <xf numFmtId="0" fontId="52" fillId="7" borderId="64" xfId="0" applyFont="1" applyFill="1" applyBorder="1" applyAlignment="1" applyProtection="1">
      <alignment vertical="center"/>
      <protection locked="0"/>
    </xf>
    <xf numFmtId="0" fontId="52" fillId="7" borderId="65" xfId="0" applyFont="1" applyFill="1" applyBorder="1" applyAlignment="1" applyProtection="1">
      <alignment horizontal="left" vertical="center"/>
      <protection locked="0"/>
    </xf>
    <xf numFmtId="0" fontId="101" fillId="6" borderId="82" xfId="0" applyFont="1" applyFill="1" applyBorder="1" applyAlignment="1" applyProtection="1">
      <alignment horizontal="center" vertical="center"/>
    </xf>
    <xf numFmtId="0" fontId="98" fillId="6" borderId="82" xfId="0" applyFont="1" applyFill="1" applyBorder="1" applyAlignment="1" applyProtection="1">
      <alignment vertical="center" wrapText="1"/>
    </xf>
    <xf numFmtId="0" fontId="98" fillId="6" borderId="65" xfId="0" applyFont="1" applyFill="1" applyBorder="1" applyAlignment="1" applyProtection="1">
      <alignment vertical="center"/>
    </xf>
    <xf numFmtId="0" fontId="98" fillId="6" borderId="65" xfId="0" applyFont="1" applyFill="1" applyBorder="1" applyAlignment="1" applyProtection="1">
      <alignment vertical="center" wrapText="1"/>
    </xf>
    <xf numFmtId="0" fontId="52" fillId="6" borderId="6" xfId="0" applyFont="1" applyFill="1" applyBorder="1" applyAlignment="1" applyProtection="1">
      <alignment vertical="center"/>
    </xf>
    <xf numFmtId="0" fontId="52" fillId="5" borderId="10" xfId="0" applyFont="1" applyFill="1" applyBorder="1" applyAlignment="1" applyProtection="1">
      <alignment horizontal="center" vertical="center"/>
      <protection locked="0"/>
    </xf>
    <xf numFmtId="0" fontId="52" fillId="6" borderId="6" xfId="0" applyFont="1" applyFill="1" applyBorder="1" applyAlignment="1" applyProtection="1">
      <alignment horizontal="left" vertical="center"/>
      <protection locked="0"/>
    </xf>
    <xf numFmtId="0" fontId="52" fillId="6" borderId="10" xfId="0" applyFont="1" applyFill="1" applyBorder="1" applyAlignment="1" applyProtection="1">
      <alignment horizontal="center" vertical="center"/>
    </xf>
    <xf numFmtId="0" fontId="98" fillId="6" borderId="81" xfId="0" applyFont="1" applyFill="1" applyBorder="1" applyAlignment="1" applyProtection="1">
      <alignment vertical="center" wrapText="1"/>
    </xf>
    <xf numFmtId="0" fontId="98" fillId="6" borderId="43" xfId="0" applyFont="1" applyFill="1" applyBorder="1" applyAlignment="1" applyProtection="1">
      <alignment vertical="center"/>
    </xf>
    <xf numFmtId="0" fontId="98" fillId="6" borderId="43" xfId="0" applyFont="1" applyFill="1" applyBorder="1" applyAlignment="1" applyProtection="1">
      <alignment vertical="center" wrapText="1"/>
    </xf>
    <xf numFmtId="0" fontId="52" fillId="6" borderId="23" xfId="0" applyFont="1" applyFill="1" applyBorder="1" applyAlignment="1" applyProtection="1">
      <alignment vertical="center"/>
    </xf>
    <xf numFmtId="0" fontId="98" fillId="5" borderId="24" xfId="0" applyFont="1" applyFill="1" applyBorder="1" applyAlignment="1" applyProtection="1">
      <alignment horizontal="center"/>
      <protection locked="0"/>
    </xf>
    <xf numFmtId="0" fontId="98" fillId="6" borderId="23" xfId="0" applyFont="1" applyFill="1" applyBorder="1" applyAlignment="1" applyProtection="1">
      <alignment horizontal="left"/>
      <protection locked="0"/>
    </xf>
    <xf numFmtId="0" fontId="52" fillId="6" borderId="24" xfId="0" applyFont="1" applyFill="1" applyBorder="1" applyAlignment="1" applyProtection="1">
      <alignment horizontal="center" vertical="center"/>
    </xf>
    <xf numFmtId="0" fontId="52" fillId="7" borderId="0" xfId="0" applyFont="1" applyFill="1" applyBorder="1" applyAlignment="1" applyProtection="1">
      <alignment vertical="center"/>
      <protection locked="0"/>
    </xf>
    <xf numFmtId="0" fontId="52" fillId="7" borderId="24" xfId="0" applyFont="1" applyFill="1" applyBorder="1" applyAlignment="1" applyProtection="1">
      <alignment horizontal="center" vertical="center"/>
      <protection locked="0"/>
    </xf>
    <xf numFmtId="0" fontId="52" fillId="0" borderId="24" xfId="0" applyFont="1" applyFill="1" applyBorder="1" applyAlignment="1" applyProtection="1">
      <alignment horizontal="center" vertical="center"/>
      <protection locked="0"/>
    </xf>
    <xf numFmtId="0" fontId="98" fillId="6" borderId="81" xfId="0" applyFont="1" applyFill="1" applyBorder="1" applyAlignment="1" applyProtection="1">
      <alignment horizontal="right" vertical="center" wrapText="1"/>
    </xf>
    <xf numFmtId="0" fontId="98" fillId="6" borderId="24" xfId="0" applyFont="1" applyFill="1" applyBorder="1" applyAlignment="1" applyProtection="1">
      <alignment horizontal="center"/>
    </xf>
    <xf numFmtId="0" fontId="52" fillId="7" borderId="35" xfId="0" applyFont="1" applyFill="1" applyBorder="1" applyAlignment="1" applyProtection="1">
      <alignment vertical="center" wrapText="1"/>
      <protection locked="0"/>
    </xf>
    <xf numFmtId="10" fontId="98" fillId="6" borderId="43" xfId="0" applyNumberFormat="1" applyFont="1" applyFill="1" applyBorder="1" applyAlignment="1" applyProtection="1">
      <alignment vertical="center" wrapText="1"/>
    </xf>
    <xf numFmtId="49" fontId="52"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23" xfId="0" applyFont="1" applyFill="1" applyBorder="1" applyAlignment="1" applyProtection="1">
      <alignment vertical="center"/>
      <protection locked="0"/>
    </xf>
    <xf numFmtId="194" fontId="52" fillId="6" borderId="24" xfId="0" applyNumberFormat="1" applyFont="1" applyFill="1" applyBorder="1" applyAlignment="1" applyProtection="1">
      <alignment horizontal="center" vertical="center"/>
    </xf>
    <xf numFmtId="0" fontId="52" fillId="7" borderId="7" xfId="0" applyFont="1" applyFill="1" applyBorder="1" applyAlignment="1" applyProtection="1">
      <alignment vertical="center" wrapText="1"/>
      <protection locked="0"/>
    </xf>
    <xf numFmtId="0" fontId="52" fillId="6" borderId="25" xfId="0" applyFont="1" applyFill="1" applyBorder="1" applyAlignment="1" applyProtection="1">
      <alignment vertical="center"/>
    </xf>
    <xf numFmtId="10" fontId="52" fillId="0" borderId="49" xfId="0" applyNumberFormat="1" applyFont="1" applyFill="1" applyBorder="1" applyAlignment="1" applyProtection="1">
      <alignment horizontal="center" vertical="center"/>
      <protection locked="0"/>
    </xf>
    <xf numFmtId="0" fontId="52" fillId="6" borderId="26" xfId="0" applyFont="1" applyFill="1" applyBorder="1" applyAlignment="1" applyProtection="1">
      <alignment vertical="center" wrapText="1"/>
    </xf>
    <xf numFmtId="0" fontId="52"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3" fillId="6" borderId="51" xfId="0" applyFont="1" applyFill="1" applyBorder="1" applyAlignment="1" applyProtection="1">
      <alignment horizontal="left" vertical="center" wrapText="1"/>
    </xf>
    <xf numFmtId="182" fontId="52" fillId="6" borderId="9" xfId="0" applyNumberFormat="1" applyFont="1" applyFill="1" applyBorder="1" applyAlignment="1" applyProtection="1">
      <alignment horizontal="center" vertical="center"/>
    </xf>
    <xf numFmtId="0" fontId="53" fillId="6" borderId="16" xfId="0" applyFont="1" applyFill="1" applyBorder="1" applyAlignment="1" applyProtection="1">
      <alignment horizontal="center" vertical="center"/>
    </xf>
    <xf numFmtId="0" fontId="52" fillId="5" borderId="21" xfId="0" applyFont="1" applyFill="1" applyBorder="1" applyAlignment="1" applyProtection="1">
      <alignment horizontal="center" vertical="center"/>
      <protection locked="0"/>
    </xf>
    <xf numFmtId="0" fontId="52" fillId="6" borderId="1" xfId="0" applyFont="1" applyFill="1" applyBorder="1" applyAlignment="1" applyProtection="1">
      <alignment vertical="center"/>
      <protection locked="0"/>
    </xf>
    <xf numFmtId="0" fontId="52" fillId="6" borderId="54" xfId="0" applyFont="1" applyFill="1" applyBorder="1" applyAlignment="1" applyProtection="1">
      <alignment vertical="center"/>
      <protection locked="0"/>
    </xf>
    <xf numFmtId="0" fontId="52" fillId="6" borderId="41" xfId="0" applyFont="1" applyFill="1" applyBorder="1" applyAlignment="1" applyProtection="1">
      <alignment vertical="center" wrapText="1"/>
    </xf>
    <xf numFmtId="0" fontId="52" fillId="5" borderId="0" xfId="0" applyFont="1" applyFill="1" applyBorder="1" applyAlignment="1" applyProtection="1">
      <alignment horizontal="center" vertical="center"/>
      <protection locked="0"/>
    </xf>
    <xf numFmtId="0" fontId="52" fillId="6" borderId="18" xfId="0" applyFont="1" applyFill="1" applyBorder="1" applyAlignment="1" applyProtection="1">
      <alignment vertical="center"/>
      <protection locked="0"/>
    </xf>
    <xf numFmtId="0" fontId="52" fillId="6" borderId="4" xfId="0" applyFont="1" applyFill="1" applyBorder="1" applyAlignment="1" applyProtection="1">
      <alignment vertical="center"/>
      <protection locked="0"/>
    </xf>
    <xf numFmtId="0" fontId="52" fillId="6" borderId="60" xfId="0" applyFont="1" applyFill="1" applyBorder="1" applyAlignment="1" applyProtection="1">
      <alignment vertical="center"/>
      <protection locked="0"/>
    </xf>
    <xf numFmtId="0" fontId="52" fillId="6" borderId="71" xfId="0" applyFont="1" applyFill="1" applyBorder="1" applyAlignment="1" applyProtection="1">
      <alignment vertical="center"/>
      <protection locked="0"/>
    </xf>
    <xf numFmtId="0" fontId="52" fillId="6" borderId="23" xfId="0" applyFont="1" applyFill="1" applyBorder="1" applyAlignment="1" applyProtection="1">
      <alignment vertical="center" wrapText="1"/>
    </xf>
    <xf numFmtId="0" fontId="52" fillId="6" borderId="5" xfId="0" applyFont="1" applyFill="1" applyBorder="1" applyAlignment="1" applyProtection="1">
      <alignment horizontal="center" vertical="center"/>
    </xf>
    <xf numFmtId="182" fontId="52" fillId="6" borderId="5"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2" fillId="6" borderId="49" xfId="0" applyFont="1" applyFill="1" applyBorder="1" applyAlignment="1" applyProtection="1">
      <alignment horizontal="center" vertical="center"/>
    </xf>
    <xf numFmtId="0" fontId="53" fillId="6" borderId="25" xfId="0" applyFont="1" applyFill="1" applyBorder="1" applyAlignment="1" applyProtection="1">
      <alignment horizontal="center" vertical="center"/>
    </xf>
    <xf numFmtId="0" fontId="52" fillId="6" borderId="0" xfId="0" applyFont="1" applyFill="1" applyAlignment="1" applyProtection="1">
      <alignment vertical="center"/>
      <protection locked="0"/>
    </xf>
    <xf numFmtId="0" fontId="52" fillId="6" borderId="1" xfId="0" applyFont="1" applyFill="1" applyBorder="1" applyAlignment="1"/>
    <xf numFmtId="0" fontId="52" fillId="6" borderId="1" xfId="0" applyFont="1" applyFill="1" applyBorder="1" applyAlignment="1">
      <alignment horizontal="center"/>
    </xf>
    <xf numFmtId="0" fontId="52" fillId="6" borderId="1" xfId="0" applyFont="1" applyFill="1" applyBorder="1" applyAlignment="1" applyProtection="1">
      <alignment horizontal="center" vertical="center"/>
      <protection locked="0"/>
    </xf>
    <xf numFmtId="9" fontId="52" fillId="6" borderId="1" xfId="0" applyNumberFormat="1" applyFont="1" applyFill="1" applyBorder="1" applyAlignment="1" applyProtection="1">
      <alignment horizontal="center" vertical="center"/>
      <protection locked="0"/>
    </xf>
    <xf numFmtId="194" fontId="98"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2" fillId="0" borderId="0" xfId="0" applyFont="1" applyFill="1" applyAlignment="1" applyProtection="1">
      <alignment horizontal="left" vertical="center"/>
      <protection locked="0"/>
    </xf>
    <xf numFmtId="0" fontId="46" fillId="6" borderId="1" xfId="0" applyFont="1" applyFill="1" applyBorder="1" applyAlignment="1" applyProtection="1">
      <alignment horizontal="center"/>
    </xf>
    <xf numFmtId="49" fontId="61" fillId="2" borderId="27" xfId="0" applyNumberFormat="1" applyFont="1" applyFill="1" applyBorder="1" applyAlignment="1" applyProtection="1">
      <alignment horizontal="right"/>
      <protection locked="0"/>
    </xf>
    <xf numFmtId="0" fontId="53" fillId="6" borderId="0" xfId="0" applyFont="1" applyFill="1" applyBorder="1" applyAlignment="1" applyProtection="1">
      <alignment vertical="center"/>
    </xf>
    <xf numFmtId="0" fontId="46"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4" fillId="0" borderId="0" xfId="0" applyFont="1" applyProtection="1">
      <alignment vertical="center"/>
      <protection locked="0"/>
    </xf>
    <xf numFmtId="0" fontId="193" fillId="0" borderId="0" xfId="0" applyFont="1" applyBorder="1" applyAlignment="1">
      <alignment horizontal="center" vertical="center"/>
    </xf>
    <xf numFmtId="0" fontId="97" fillId="0" borderId="0" xfId="0" applyFont="1">
      <alignment vertical="center"/>
    </xf>
    <xf numFmtId="0" fontId="97" fillId="0" borderId="0" xfId="0" applyFont="1" applyBorder="1">
      <alignment vertical="center"/>
    </xf>
    <xf numFmtId="0" fontId="194" fillId="0" borderId="0" xfId="0" applyFont="1" applyAlignment="1">
      <alignment vertical="center"/>
    </xf>
    <xf numFmtId="0" fontId="129"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9" fillId="0" borderId="0" xfId="0" applyFont="1" applyFill="1" applyAlignment="1">
      <alignment vertical="center" wrapText="1"/>
    </xf>
    <xf numFmtId="0" fontId="194" fillId="0" borderId="0" xfId="0" applyFont="1">
      <alignment vertical="center"/>
    </xf>
    <xf numFmtId="184" fontId="129" fillId="0" borderId="0" xfId="0" applyNumberFormat="1" applyFont="1" applyAlignment="1">
      <alignment horizontal="left" vertical="center"/>
    </xf>
    <xf numFmtId="0" fontId="129" fillId="0" borderId="0" xfId="0" applyFont="1">
      <alignment vertical="center"/>
    </xf>
    <xf numFmtId="0" fontId="198" fillId="5" borderId="0" xfId="0" applyFont="1" applyFill="1" applyProtection="1">
      <alignment vertical="center"/>
      <protection locked="0"/>
    </xf>
    <xf numFmtId="0" fontId="97" fillId="0" borderId="0" xfId="0" applyFont="1" applyProtection="1">
      <alignment vertical="center"/>
      <protection locked="0"/>
    </xf>
    <xf numFmtId="0" fontId="194" fillId="0" borderId="0" xfId="7" applyFont="1" applyProtection="1">
      <alignment vertical="center"/>
    </xf>
    <xf numFmtId="0" fontId="97" fillId="0" borderId="0" xfId="7" applyFont="1" applyProtection="1">
      <alignment vertical="center"/>
    </xf>
    <xf numFmtId="0" fontId="97"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0" fillId="0" borderId="5" xfId="7" applyFont="1" applyFill="1" applyBorder="1" applyAlignment="1" applyProtection="1">
      <alignment vertical="center" wrapText="1"/>
    </xf>
    <xf numFmtId="0" fontId="103"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8" fillId="0" borderId="0" xfId="7" applyFont="1" applyProtection="1">
      <alignment vertical="center"/>
    </xf>
    <xf numFmtId="0" fontId="97" fillId="0" borderId="0" xfId="7" applyFont="1" applyProtection="1">
      <alignment vertical="center"/>
      <protection locked="0"/>
    </xf>
    <xf numFmtId="0" fontId="129" fillId="0" borderId="0" xfId="7" applyFont="1" applyProtection="1">
      <alignment vertical="center"/>
      <protection locked="0"/>
    </xf>
    <xf numFmtId="0" fontId="60"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4"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7" fillId="0" borderId="0" xfId="0" applyFont="1" applyAlignment="1" applyProtection="1">
      <alignment vertical="center" wrapText="1"/>
      <protection locked="0"/>
    </xf>
    <xf numFmtId="0" fontId="129" fillId="0" borderId="0" xfId="0" applyFont="1" applyAlignment="1">
      <alignment horizontal="right" vertical="center"/>
    </xf>
    <xf numFmtId="0" fontId="94"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4" fillId="0" borderId="1" xfId="0" applyFont="1" applyBorder="1" applyAlignment="1" applyProtection="1">
      <alignment horizontal="left" vertical="center"/>
    </xf>
    <xf numFmtId="0" fontId="94" fillId="8" borderId="5" xfId="0" applyFont="1" applyFill="1" applyBorder="1" applyAlignment="1" applyProtection="1">
      <alignment vertical="center"/>
    </xf>
    <xf numFmtId="0" fontId="94" fillId="7" borderId="54" xfId="0" applyFont="1" applyFill="1" applyBorder="1" applyAlignment="1" applyProtection="1">
      <alignment vertical="center"/>
    </xf>
    <xf numFmtId="0" fontId="94"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7"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4" fillId="6" borderId="15" xfId="0" applyFont="1" applyFill="1" applyBorder="1" applyAlignment="1" applyProtection="1">
      <alignment horizontal="center" vertical="center" wrapText="1"/>
    </xf>
    <xf numFmtId="0" fontId="94" fillId="6" borderId="0" xfId="0" applyFont="1" applyFill="1" applyBorder="1" applyAlignment="1" applyProtection="1">
      <alignment horizontal="center" vertical="center" wrapText="1"/>
    </xf>
    <xf numFmtId="0" fontId="94"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4" fillId="0" borderId="0" xfId="0" applyFont="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6" borderId="0" xfId="0" applyFont="1" applyFill="1" applyBorder="1" applyAlignment="1" applyProtection="1">
      <alignment horizontal="center" vertical="center"/>
      <protection locked="0"/>
    </xf>
    <xf numFmtId="0" fontId="94"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4" fillId="6" borderId="0" xfId="0" applyFont="1" applyFill="1" applyAlignment="1" applyProtection="1">
      <alignment horizontal="center" vertical="center"/>
      <protection locked="0"/>
    </xf>
    <xf numFmtId="0" fontId="94"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horizontal="left" vertical="center"/>
    </xf>
    <xf numFmtId="0" fontId="94" fillId="6" borderId="0" xfId="0" applyFont="1" applyFill="1" applyAlignment="1" applyProtection="1">
      <alignment horizontal="left" vertical="center"/>
    </xf>
    <xf numFmtId="0" fontId="94" fillId="6" borderId="0" xfId="0" applyFont="1" applyFill="1" applyBorder="1" applyAlignment="1" applyProtection="1">
      <alignment horizontal="center" vertical="center"/>
    </xf>
    <xf numFmtId="0" fontId="94" fillId="0" borderId="0" xfId="0" applyFont="1" applyBorder="1" applyAlignment="1" applyProtection="1">
      <alignment horizontal="center" vertical="center"/>
    </xf>
    <xf numFmtId="0" fontId="43" fillId="6" borderId="0" xfId="0" applyFont="1" applyFill="1" applyAlignment="1" applyProtection="1">
      <alignment vertical="center" wrapText="1"/>
    </xf>
    <xf numFmtId="0" fontId="43" fillId="6" borderId="0" xfId="0" applyFont="1" applyFill="1" applyAlignment="1" applyProtection="1">
      <alignment horizontal="center" vertical="center" wrapText="1"/>
    </xf>
    <xf numFmtId="0" fontId="43" fillId="0" borderId="0" xfId="0" applyFont="1" applyAlignment="1" applyProtection="1">
      <alignment vertical="center"/>
    </xf>
    <xf numFmtId="0" fontId="43" fillId="0" borderId="0" xfId="0" applyFont="1" applyAlignment="1" applyProtection="1">
      <alignment vertical="center" wrapText="1"/>
    </xf>
    <xf numFmtId="0" fontId="60" fillId="5" borderId="13" xfId="0" applyFont="1" applyFill="1" applyBorder="1" applyAlignment="1" applyProtection="1">
      <alignment horizontal="center" vertical="center" wrapText="1"/>
      <protection locked="0"/>
    </xf>
    <xf numFmtId="0" fontId="43" fillId="6" borderId="1" xfId="0" applyFont="1" applyFill="1" applyBorder="1" applyAlignment="1" applyProtection="1">
      <alignment vertical="center" wrapText="1"/>
    </xf>
    <xf numFmtId="0" fontId="46" fillId="5" borderId="15" xfId="0" applyFont="1" applyFill="1" applyBorder="1" applyAlignment="1" applyProtection="1">
      <alignment horizontal="center" vertical="center" wrapText="1"/>
      <protection locked="0"/>
    </xf>
    <xf numFmtId="0" fontId="46" fillId="6" borderId="74" xfId="0" applyFont="1" applyFill="1" applyBorder="1" applyAlignment="1" applyProtection="1">
      <alignment horizontal="center" vertical="center" wrapText="1"/>
    </xf>
    <xf numFmtId="0" fontId="46"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6"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6" fillId="6" borderId="58" xfId="0"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43" fillId="0" borderId="5" xfId="0" applyFont="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xf>
    <xf numFmtId="0" fontId="102" fillId="6" borderId="0" xfId="0" applyFont="1" applyFill="1" applyAlignment="1" applyProtection="1">
      <alignment horizontal="left" vertical="center"/>
    </xf>
    <xf numFmtId="0" fontId="100" fillId="6" borderId="0" xfId="0" applyFont="1" applyFill="1" applyAlignment="1" applyProtection="1">
      <alignment horizontal="left" vertical="center"/>
    </xf>
    <xf numFmtId="0" fontId="46" fillId="6" borderId="0" xfId="0" applyFont="1" applyFill="1" applyAlignment="1" applyProtection="1">
      <alignment horizontal="center" vertical="center" wrapText="1"/>
    </xf>
    <xf numFmtId="0" fontId="46" fillId="6" borderId="0" xfId="0" applyFont="1" applyFill="1" applyBorder="1" applyAlignment="1" applyProtection="1">
      <alignment horizontal="center" vertical="center"/>
    </xf>
    <xf numFmtId="0" fontId="46" fillId="6" borderId="0" xfId="0"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46" fillId="2" borderId="1" xfId="0" applyFont="1" applyFill="1" applyBorder="1" applyAlignment="1" applyProtection="1">
      <alignment horizontal="center" vertical="center" wrapText="1"/>
      <protection locked="0"/>
    </xf>
    <xf numFmtId="0" fontId="47" fillId="6" borderId="4" xfId="0" applyFont="1" applyFill="1" applyBorder="1" applyAlignment="1" applyProtection="1">
      <alignment horizontal="left" vertical="center"/>
    </xf>
    <xf numFmtId="180" fontId="46" fillId="6" borderId="0" xfId="0" applyNumberFormat="1" applyFont="1" applyFill="1" applyBorder="1" applyAlignment="1" applyProtection="1">
      <alignment horizontal="center" vertical="center" wrapText="1"/>
    </xf>
    <xf numFmtId="180" fontId="47" fillId="6" borderId="0" xfId="0" applyNumberFormat="1" applyFont="1" applyFill="1" applyBorder="1" applyAlignment="1" applyProtection="1">
      <alignment horizontal="center" vertical="center" wrapText="1"/>
    </xf>
    <xf numFmtId="177" fontId="46" fillId="6" borderId="0" xfId="0" applyNumberFormat="1" applyFont="1" applyFill="1" applyAlignment="1" applyProtection="1">
      <alignment horizontal="center" vertical="center" wrapText="1"/>
    </xf>
    <xf numFmtId="0" fontId="46" fillId="0" borderId="0" xfId="0" applyFont="1" applyFill="1" applyAlignment="1" applyProtection="1">
      <alignment horizontal="center" vertical="center" wrapText="1"/>
    </xf>
    <xf numFmtId="177" fontId="46" fillId="6" borderId="54" xfId="0" applyNumberFormat="1" applyFont="1" applyFill="1" applyBorder="1" applyAlignment="1" applyProtection="1">
      <alignment horizontal="center" vertical="center" wrapText="1"/>
    </xf>
    <xf numFmtId="177" fontId="46" fillId="6" borderId="3" xfId="0" applyNumberFormat="1" applyFont="1" applyFill="1" applyBorder="1" applyAlignment="1" applyProtection="1">
      <alignment horizontal="center" vertical="center" wrapText="1"/>
    </xf>
    <xf numFmtId="177" fontId="46" fillId="6" borderId="5" xfId="0" applyNumberFormat="1" applyFont="1" applyFill="1" applyBorder="1" applyAlignment="1" applyProtection="1">
      <alignment horizontal="center" vertical="center" wrapText="1"/>
    </xf>
    <xf numFmtId="177" fontId="46" fillId="0" borderId="0" xfId="0" applyNumberFormat="1" applyFont="1" applyAlignment="1" applyProtection="1">
      <alignment horizontal="center" vertical="center" wrapText="1"/>
    </xf>
    <xf numFmtId="0" fontId="46" fillId="6" borderId="46" xfId="0" applyFont="1" applyFill="1" applyBorder="1" applyAlignment="1" applyProtection="1">
      <alignment horizontal="left" vertical="center"/>
    </xf>
    <xf numFmtId="0" fontId="46" fillId="6" borderId="36" xfId="0" applyFont="1" applyFill="1" applyBorder="1" applyAlignment="1" applyProtection="1">
      <alignment horizontal="center" vertical="center" wrapText="1"/>
    </xf>
    <xf numFmtId="0" fontId="46" fillId="6" borderId="36" xfId="0" applyFont="1" applyFill="1" applyBorder="1" applyAlignment="1" applyProtection="1">
      <alignment horizontal="center" vertical="center"/>
    </xf>
    <xf numFmtId="0" fontId="46" fillId="6" borderId="59" xfId="0"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xf>
    <xf numFmtId="0" fontId="46" fillId="6" borderId="46" xfId="0" applyFont="1" applyFill="1" applyBorder="1" applyAlignment="1" applyProtection="1">
      <alignment horizontal="center" vertical="center"/>
    </xf>
    <xf numFmtId="180" fontId="46" fillId="6" borderId="5" xfId="0" applyNumberFormat="1" applyFont="1" applyFill="1" applyBorder="1" applyAlignment="1" applyProtection="1">
      <alignment horizontal="left" vertical="center"/>
    </xf>
    <xf numFmtId="0" fontId="47" fillId="6" borderId="54" xfId="0" applyFont="1" applyFill="1" applyBorder="1" applyAlignment="1" applyProtection="1">
      <alignment horizontal="center" vertical="center"/>
    </xf>
    <xf numFmtId="180" fontId="46" fillId="6" borderId="54" xfId="0" applyNumberFormat="1" applyFont="1" applyFill="1" applyBorder="1" applyAlignment="1" applyProtection="1">
      <alignment horizontal="center" vertical="center"/>
    </xf>
    <xf numFmtId="180" fontId="46" fillId="6" borderId="3" xfId="0" applyNumberFormat="1" applyFont="1" applyFill="1" applyBorder="1" applyAlignment="1" applyProtection="1">
      <alignment horizontal="center" vertical="center"/>
    </xf>
    <xf numFmtId="0" fontId="47" fillId="6" borderId="36" xfId="0" applyFont="1" applyFill="1" applyBorder="1" applyAlignment="1" applyProtection="1">
      <alignment horizontal="center" vertical="center"/>
    </xf>
    <xf numFmtId="0" fontId="46" fillId="0" borderId="0" xfId="0" applyFont="1" applyAlignment="1" applyProtection="1">
      <alignment horizontal="center" vertical="center"/>
    </xf>
    <xf numFmtId="180" fontId="46" fillId="6" borderId="0" xfId="0" applyNumberFormat="1" applyFont="1" applyFill="1" applyBorder="1" applyAlignment="1" applyProtection="1">
      <alignment horizontal="center" vertical="center"/>
    </xf>
    <xf numFmtId="0" fontId="46" fillId="2" borderId="4" xfId="0" applyFont="1" applyFill="1" applyBorder="1" applyAlignment="1" applyProtection="1">
      <alignment horizontal="left" vertical="center"/>
      <protection locked="0"/>
    </xf>
    <xf numFmtId="0" fontId="47" fillId="6" borderId="54" xfId="0" applyFont="1" applyFill="1" applyBorder="1" applyAlignment="1" applyProtection="1">
      <alignment horizontal="left" vertical="center"/>
    </xf>
    <xf numFmtId="0" fontId="46" fillId="6" borderId="7" xfId="0" applyFont="1" applyFill="1" applyBorder="1" applyAlignment="1" applyProtection="1">
      <alignment horizontal="left" vertical="center"/>
    </xf>
    <xf numFmtId="180" fontId="46" fillId="6" borderId="4" xfId="0" applyNumberFormat="1"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80" fontId="46" fillId="6" borderId="7" xfId="0" applyNumberFormat="1" applyFont="1" applyFill="1" applyBorder="1" applyAlignment="1" applyProtection="1">
      <alignment horizontal="center" vertical="center"/>
    </xf>
    <xf numFmtId="0" fontId="46" fillId="2" borderId="5" xfId="0" applyFont="1" applyFill="1" applyBorder="1" applyAlignment="1" applyProtection="1">
      <alignment horizontal="left" vertical="center"/>
      <protection locked="0"/>
    </xf>
    <xf numFmtId="0" fontId="46" fillId="6" borderId="3" xfId="0" applyFont="1" applyFill="1" applyBorder="1" applyAlignment="1" applyProtection="1">
      <alignment horizontal="right" vertical="center"/>
    </xf>
    <xf numFmtId="180" fontId="46" fillId="6" borderId="35" xfId="0"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0" fontId="46" fillId="2" borderId="54" xfId="0" applyFont="1" applyFill="1" applyBorder="1" applyAlignment="1" applyProtection="1">
      <alignment horizontal="left" vertical="center"/>
      <protection locked="0"/>
    </xf>
    <xf numFmtId="0" fontId="47"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6" fillId="6" borderId="61" xfId="0" applyFont="1" applyFill="1" applyBorder="1" applyAlignment="1" applyProtection="1">
      <alignment horizontal="center" vertical="center"/>
    </xf>
    <xf numFmtId="0" fontId="46" fillId="6" borderId="4" xfId="0" applyFont="1" applyFill="1" applyBorder="1" applyAlignment="1" applyProtection="1">
      <alignment horizontal="center" vertical="center" wrapText="1"/>
    </xf>
    <xf numFmtId="180" fontId="46" fillId="6" borderId="7" xfId="0" applyNumberFormat="1" applyFont="1" applyFill="1" applyBorder="1" applyAlignment="1" applyProtection="1">
      <alignment horizontal="center" vertical="center" wrapText="1"/>
    </xf>
    <xf numFmtId="180" fontId="46" fillId="6" borderId="2" xfId="0" applyNumberFormat="1" applyFont="1" applyFill="1" applyBorder="1" applyAlignment="1" applyProtection="1">
      <alignment horizontal="center" vertical="center" wrapText="1"/>
    </xf>
    <xf numFmtId="180" fontId="46" fillId="6" borderId="4" xfId="0" applyNumberFormat="1" applyFont="1" applyFill="1" applyBorder="1" applyAlignment="1" applyProtection="1">
      <alignment horizontal="center" vertical="center" wrapText="1"/>
    </xf>
    <xf numFmtId="0" fontId="46" fillId="6" borderId="35" xfId="0" applyFont="1" applyFill="1" applyBorder="1" applyAlignment="1" applyProtection="1">
      <alignment horizontal="center" vertical="center" wrapText="1"/>
    </xf>
    <xf numFmtId="180" fontId="46" fillId="6"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protection locked="0"/>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3" fillId="5" borderId="2" xfId="0" applyFont="1" applyFill="1" applyBorder="1" applyAlignment="1" applyProtection="1">
      <alignment horizontal="center" vertical="center" wrapText="1"/>
      <protection locked="0"/>
    </xf>
    <xf numFmtId="0" fontId="43" fillId="0" borderId="4"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77" fontId="43" fillId="0" borderId="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48" fillId="0" borderId="0" xfId="0" applyFont="1" applyAlignment="1" applyProtection="1">
      <alignment horizontal="center" vertical="center"/>
    </xf>
    <xf numFmtId="0" fontId="102" fillId="6" borderId="0" xfId="0" applyFont="1" applyFill="1" applyProtection="1">
      <alignment vertical="center"/>
    </xf>
    <xf numFmtId="0" fontId="43" fillId="0" borderId="0" xfId="0" applyFont="1" applyProtection="1">
      <alignment vertical="center"/>
      <protection locked="0"/>
    </xf>
    <xf numFmtId="177" fontId="49" fillId="6" borderId="1" xfId="1" applyNumberFormat="1" applyFont="1" applyFill="1" applyBorder="1" applyAlignment="1" applyProtection="1">
      <alignment horizontal="center" vertical="center"/>
    </xf>
    <xf numFmtId="0" fontId="43" fillId="6" borderId="5" xfId="0" applyFont="1" applyFill="1" applyBorder="1" applyProtection="1">
      <alignment vertical="center"/>
    </xf>
    <xf numFmtId="0" fontId="45" fillId="6" borderId="9" xfId="0" applyFont="1" applyFill="1" applyBorder="1" applyAlignment="1" applyProtection="1">
      <alignment horizontal="center" vertical="center"/>
    </xf>
    <xf numFmtId="177" fontId="49" fillId="6" borderId="10" xfId="1" applyNumberFormat="1" applyFont="1" applyFill="1" applyBorder="1" applyAlignment="1" applyProtection="1">
      <alignment horizontal="center" vertical="center"/>
    </xf>
    <xf numFmtId="0" fontId="43" fillId="6" borderId="2" xfId="0" applyFont="1" applyFill="1" applyBorder="1" applyProtection="1">
      <alignment vertical="center"/>
    </xf>
    <xf numFmtId="0" fontId="43" fillId="6" borderId="12" xfId="0" applyFont="1" applyFill="1" applyBorder="1" applyAlignment="1" applyProtection="1">
      <alignment vertical="center"/>
    </xf>
    <xf numFmtId="177" fontId="45" fillId="6" borderId="10" xfId="1" applyNumberFormat="1" applyFont="1" applyFill="1" applyBorder="1" applyAlignment="1" applyProtection="1">
      <alignment horizontal="center" vertical="center"/>
    </xf>
    <xf numFmtId="0" fontId="43" fillId="6" borderId="14" xfId="0" applyFont="1" applyFill="1" applyBorder="1" applyAlignment="1" applyProtection="1">
      <alignment vertical="center"/>
    </xf>
    <xf numFmtId="0" fontId="43" fillId="6" borderId="15" xfId="0" applyFont="1" applyFill="1" applyBorder="1" applyAlignment="1" applyProtection="1">
      <alignment vertical="center"/>
    </xf>
    <xf numFmtId="0" fontId="45" fillId="6" borderId="51" xfId="0" applyFont="1" applyFill="1" applyBorder="1" applyProtection="1">
      <alignment vertical="center"/>
    </xf>
    <xf numFmtId="0" fontId="43" fillId="6" borderId="21" xfId="0" applyFont="1" applyFill="1" applyBorder="1" applyProtection="1">
      <alignment vertical="center"/>
    </xf>
    <xf numFmtId="0" fontId="43" fillId="6" borderId="16" xfId="0" applyFont="1" applyFill="1" applyBorder="1" applyAlignment="1" applyProtection="1">
      <alignment vertical="center"/>
    </xf>
    <xf numFmtId="0" fontId="43" fillId="6" borderId="17" xfId="0" applyFont="1" applyFill="1" applyBorder="1" applyProtection="1">
      <alignment vertical="center"/>
    </xf>
    <xf numFmtId="0" fontId="43" fillId="6" borderId="19" xfId="0" applyFont="1" applyFill="1" applyBorder="1" applyAlignment="1" applyProtection="1">
      <alignment vertical="center"/>
    </xf>
    <xf numFmtId="0" fontId="45" fillId="6" borderId="17" xfId="0" applyFont="1" applyFill="1" applyBorder="1" applyAlignment="1" applyProtection="1">
      <alignment horizontal="center" vertical="center"/>
    </xf>
    <xf numFmtId="177" fontId="49" fillId="6" borderId="29" xfId="1" applyNumberFormat="1" applyFont="1" applyFill="1" applyBorder="1" applyAlignment="1" applyProtection="1">
      <alignment horizontal="center" vertical="center"/>
    </xf>
    <xf numFmtId="177" fontId="49" fillId="6" borderId="20" xfId="1" applyNumberFormat="1" applyFont="1" applyFill="1" applyBorder="1" applyAlignment="1" applyProtection="1">
      <alignment horizontal="center" vertical="center"/>
    </xf>
    <xf numFmtId="177" fontId="49" fillId="6" borderId="21" xfId="1" applyNumberFormat="1" applyFont="1" applyFill="1" applyBorder="1" applyAlignment="1" applyProtection="1">
      <alignment horizontal="center" vertical="center"/>
    </xf>
    <xf numFmtId="0" fontId="45" fillId="6" borderId="55" xfId="0" applyFont="1" applyFill="1" applyBorder="1" applyAlignment="1" applyProtection="1">
      <alignment horizontal="right" vertical="center"/>
    </xf>
    <xf numFmtId="180" fontId="45" fillId="2" borderId="24" xfId="0" applyNumberFormat="1" applyFont="1" applyFill="1" applyBorder="1" applyAlignment="1" applyProtection="1">
      <alignment horizontal="center" vertical="center"/>
      <protection locked="0"/>
    </xf>
    <xf numFmtId="0" fontId="43" fillId="6" borderId="2" xfId="0" applyFont="1" applyFill="1" applyBorder="1" applyAlignment="1" applyProtection="1">
      <alignment vertical="center"/>
    </xf>
    <xf numFmtId="0" fontId="43" fillId="6" borderId="0" xfId="0" applyFont="1" applyFill="1" applyBorder="1" applyAlignment="1" applyProtection="1">
      <alignment vertical="center"/>
    </xf>
    <xf numFmtId="0" fontId="45" fillId="6" borderId="2" xfId="0" applyFont="1" applyFill="1" applyBorder="1" applyAlignment="1" applyProtection="1">
      <alignment horizontal="center" vertical="center"/>
    </xf>
    <xf numFmtId="177" fontId="50" fillId="6" borderId="2" xfId="1" applyNumberFormat="1" applyFont="1" applyFill="1" applyBorder="1" applyAlignment="1" applyProtection="1">
      <alignment horizontal="center" vertical="center"/>
    </xf>
    <xf numFmtId="0" fontId="43" fillId="6" borderId="7" xfId="0" applyFont="1" applyFill="1" applyBorder="1" applyAlignment="1" applyProtection="1">
      <alignment horizontal="center" vertical="center"/>
    </xf>
    <xf numFmtId="0" fontId="43" fillId="6" borderId="8" xfId="0" applyFont="1" applyFill="1" applyBorder="1" applyAlignment="1" applyProtection="1">
      <alignment horizontal="center" vertical="center"/>
    </xf>
    <xf numFmtId="180" fontId="43" fillId="6" borderId="24" xfId="0" applyNumberFormat="1" applyFont="1" applyFill="1" applyBorder="1" applyAlignment="1" applyProtection="1">
      <alignment horizontal="center" vertical="center"/>
    </xf>
    <xf numFmtId="0" fontId="43" fillId="6" borderId="1" xfId="0" applyFont="1" applyFill="1" applyBorder="1" applyAlignment="1" applyProtection="1">
      <alignment horizontal="left" vertical="center"/>
    </xf>
    <xf numFmtId="0" fontId="43" fillId="6" borderId="18" xfId="0" applyFont="1" applyFill="1" applyBorder="1" applyProtection="1">
      <alignment vertical="center"/>
    </xf>
    <xf numFmtId="0" fontId="43" fillId="0" borderId="23" xfId="0" applyFont="1" applyBorder="1" applyProtection="1">
      <alignment vertical="center"/>
      <protection locked="0"/>
    </xf>
    <xf numFmtId="0" fontId="43" fillId="0" borderId="1" xfId="0" applyFont="1" applyBorder="1" applyProtection="1">
      <alignment vertical="center"/>
      <protection locked="0"/>
    </xf>
    <xf numFmtId="0" fontId="43" fillId="6" borderId="18" xfId="0" applyFont="1" applyFill="1" applyBorder="1" applyAlignment="1" applyProtection="1">
      <alignment vertical="center"/>
    </xf>
    <xf numFmtId="0" fontId="43" fillId="0" borderId="11" xfId="0" applyFont="1" applyBorder="1" applyProtection="1">
      <alignment vertical="center"/>
      <protection locked="0"/>
    </xf>
    <xf numFmtId="0" fontId="43" fillId="0" borderId="13" xfId="0" applyFont="1" applyBorder="1" applyProtection="1">
      <alignment vertical="center"/>
      <protection locked="0"/>
    </xf>
    <xf numFmtId="0" fontId="45" fillId="6" borderId="3" xfId="0" applyFont="1" applyFill="1" applyBorder="1" applyAlignment="1" applyProtection="1">
      <alignment horizontal="left" vertical="center"/>
    </xf>
    <xf numFmtId="0" fontId="43" fillId="6" borderId="3" xfId="0" applyFont="1" applyFill="1" applyBorder="1" applyAlignment="1" applyProtection="1">
      <alignment horizontal="left" vertical="center"/>
    </xf>
    <xf numFmtId="0" fontId="45" fillId="6" borderId="22" xfId="0" applyFont="1" applyFill="1" applyBorder="1" applyAlignment="1" applyProtection="1">
      <alignment horizontal="left" vertical="center"/>
    </xf>
    <xf numFmtId="0" fontId="43" fillId="6" borderId="42" xfId="0" applyFont="1" applyFill="1" applyBorder="1" applyAlignment="1" applyProtection="1">
      <alignment vertical="center"/>
    </xf>
    <xf numFmtId="0" fontId="43" fillId="6" borderId="33" xfId="0" applyFont="1" applyFill="1" applyBorder="1" applyProtection="1">
      <alignment vertical="center"/>
    </xf>
    <xf numFmtId="177" fontId="43" fillId="0" borderId="0" xfId="0" applyNumberFormat="1" applyFont="1" applyProtection="1">
      <alignment vertical="center"/>
      <protection locked="0"/>
    </xf>
    <xf numFmtId="0" fontId="102" fillId="6" borderId="0" xfId="0" applyFont="1" applyFill="1" applyAlignment="1" applyProtection="1">
      <alignment vertical="center" wrapText="1"/>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xf>
    <xf numFmtId="0" fontId="45" fillId="6" borderId="26" xfId="0" applyFont="1" applyFill="1" applyBorder="1" applyAlignment="1" applyProtection="1">
      <alignment vertical="center" wrapText="1"/>
    </xf>
    <xf numFmtId="0" fontId="43" fillId="6" borderId="0" xfId="0" applyFont="1" applyFill="1" applyAlignment="1" applyProtection="1">
      <alignment vertical="center"/>
      <protection locked="0"/>
    </xf>
    <xf numFmtId="180" fontId="43" fillId="6" borderId="0" xfId="0" applyNumberFormat="1" applyFont="1" applyFill="1" applyAlignment="1" applyProtection="1">
      <alignment vertical="center"/>
      <protection locked="0"/>
    </xf>
    <xf numFmtId="0" fontId="43" fillId="0" borderId="0" xfId="0" applyFont="1" applyAlignment="1" applyProtection="1">
      <alignment vertical="center"/>
      <protection locked="0"/>
    </xf>
    <xf numFmtId="0" fontId="43" fillId="6" borderId="0" xfId="0" applyFont="1" applyFill="1" applyAlignment="1" applyProtection="1">
      <alignment vertical="center"/>
    </xf>
    <xf numFmtId="0" fontId="43" fillId="6" borderId="63" xfId="0" applyFont="1" applyFill="1" applyBorder="1" applyAlignment="1" applyProtection="1">
      <alignment vertical="center"/>
    </xf>
    <xf numFmtId="0" fontId="43" fillId="6" borderId="64" xfId="0" applyFont="1" applyFill="1" applyBorder="1" applyAlignment="1" applyProtection="1">
      <alignment vertical="center"/>
    </xf>
    <xf numFmtId="180" fontId="43" fillId="6" borderId="64" xfId="0" applyNumberFormat="1" applyFont="1" applyFill="1" applyBorder="1" applyAlignment="1" applyProtection="1">
      <alignment vertical="center"/>
    </xf>
    <xf numFmtId="0" fontId="43" fillId="6" borderId="65" xfId="0" applyFont="1" applyFill="1" applyBorder="1" applyAlignment="1" applyProtection="1">
      <alignment vertical="center"/>
    </xf>
    <xf numFmtId="0" fontId="43" fillId="6" borderId="63" xfId="0" applyFont="1" applyFill="1" applyBorder="1" applyAlignment="1" applyProtection="1">
      <alignment horizontal="center" vertical="center"/>
    </xf>
    <xf numFmtId="0" fontId="43" fillId="6" borderId="64" xfId="0" applyFont="1" applyFill="1" applyBorder="1" applyAlignment="1" applyProtection="1">
      <alignment horizontal="center" vertical="center"/>
    </xf>
    <xf numFmtId="0" fontId="43" fillId="6" borderId="31" xfId="0" applyFont="1" applyFill="1" applyBorder="1" applyAlignment="1" applyProtection="1">
      <alignment vertical="center"/>
    </xf>
    <xf numFmtId="0" fontId="43" fillId="6" borderId="6" xfId="1" applyFont="1" applyFill="1" applyBorder="1" applyAlignment="1" applyProtection="1">
      <alignment vertical="center" wrapText="1"/>
    </xf>
    <xf numFmtId="0" fontId="43" fillId="6" borderId="9" xfId="1" applyFont="1" applyFill="1" applyBorder="1" applyAlignment="1" applyProtection="1">
      <alignment vertical="center" wrapText="1"/>
    </xf>
    <xf numFmtId="0" fontId="43" fillId="6" borderId="28" xfId="1" applyFont="1" applyFill="1" applyBorder="1" applyAlignment="1" applyProtection="1">
      <alignment vertical="center" wrapText="1"/>
    </xf>
    <xf numFmtId="181" fontId="50" fillId="6" borderId="6" xfId="1" applyNumberFormat="1" applyFont="1" applyFill="1" applyBorder="1" applyAlignment="1" applyProtection="1">
      <alignment horizontal="center" vertical="center" wrapText="1"/>
    </xf>
    <xf numFmtId="180" fontId="43" fillId="6" borderId="9" xfId="0" applyNumberFormat="1" applyFont="1" applyFill="1" applyBorder="1" applyAlignment="1" applyProtection="1">
      <alignment horizontal="center" vertical="center" wrapText="1"/>
    </xf>
    <xf numFmtId="0" fontId="97" fillId="6" borderId="10" xfId="0" applyFont="1" applyFill="1" applyBorder="1" applyAlignment="1" applyProtection="1">
      <alignment horizontal="center" vertical="center" wrapText="1"/>
    </xf>
    <xf numFmtId="178" fontId="43" fillId="6" borderId="6" xfId="1" applyNumberFormat="1" applyFont="1" applyFill="1" applyBorder="1" applyAlignment="1" applyProtection="1">
      <alignment horizontal="center" vertical="center" wrapText="1"/>
    </xf>
    <xf numFmtId="0" fontId="43" fillId="6" borderId="9" xfId="1" applyFont="1" applyFill="1" applyBorder="1" applyAlignment="1" applyProtection="1">
      <alignment horizontal="center" vertical="center" wrapText="1"/>
    </xf>
    <xf numFmtId="180" fontId="43" fillId="6" borderId="9" xfId="1" applyNumberFormat="1" applyFont="1" applyFill="1" applyBorder="1" applyAlignment="1" applyProtection="1">
      <alignment horizontal="center" vertical="center" wrapText="1"/>
    </xf>
    <xf numFmtId="0" fontId="43" fillId="5" borderId="9" xfId="1" applyFont="1" applyFill="1" applyBorder="1" applyAlignment="1" applyProtection="1">
      <alignment horizontal="center" vertical="center" wrapText="1"/>
      <protection locked="0"/>
    </xf>
    <xf numFmtId="0" fontId="43" fillId="6" borderId="28" xfId="1" applyFont="1" applyFill="1" applyBorder="1" applyAlignment="1" applyProtection="1">
      <alignment horizontal="center" vertical="center" wrapText="1"/>
    </xf>
    <xf numFmtId="0" fontId="43" fillId="6" borderId="6" xfId="1" applyFont="1" applyFill="1" applyBorder="1" applyAlignment="1" applyProtection="1">
      <alignment horizontal="center" vertical="center" wrapText="1"/>
    </xf>
    <xf numFmtId="0" fontId="43" fillId="6" borderId="19" xfId="1" applyFont="1" applyFill="1" applyBorder="1" applyAlignment="1" applyProtection="1">
      <alignment horizontal="center" vertical="center" wrapText="1"/>
    </xf>
    <xf numFmtId="0" fontId="43" fillId="6" borderId="62" xfId="1" applyFont="1" applyFill="1" applyBorder="1" applyAlignment="1" applyProtection="1">
      <alignment horizontal="center" vertical="center" wrapText="1"/>
    </xf>
    <xf numFmtId="0" fontId="43" fillId="6" borderId="30" xfId="0" applyFont="1" applyFill="1" applyBorder="1" applyAlignment="1" applyProtection="1">
      <alignment horizontal="center" vertical="center" wrapText="1"/>
    </xf>
    <xf numFmtId="0" fontId="43" fillId="6" borderId="3" xfId="0" applyFont="1" applyFill="1" applyBorder="1" applyAlignment="1" applyProtection="1">
      <alignment horizontal="center" vertical="center" wrapText="1"/>
      <protection locked="0"/>
    </xf>
    <xf numFmtId="0" fontId="43" fillId="6" borderId="1" xfId="1" applyFont="1" applyFill="1" applyBorder="1" applyAlignment="1" applyProtection="1">
      <alignment horizontal="center" vertical="center" wrapText="1"/>
    </xf>
    <xf numFmtId="178" fontId="46" fillId="6" borderId="23" xfId="1" applyNumberFormat="1" applyFont="1" applyFill="1" applyBorder="1" applyAlignment="1" applyProtection="1">
      <alignment horizontal="left" vertical="center"/>
    </xf>
    <xf numFmtId="178" fontId="43" fillId="6" borderId="1" xfId="1" applyNumberFormat="1" applyFont="1" applyFill="1" applyBorder="1" applyAlignment="1" applyProtection="1">
      <alignment vertical="center"/>
    </xf>
    <xf numFmtId="178" fontId="43" fillId="2" borderId="5" xfId="1" applyNumberFormat="1" applyFont="1" applyFill="1" applyBorder="1" applyAlignment="1" applyProtection="1">
      <alignment vertical="center"/>
      <protection locked="0"/>
    </xf>
    <xf numFmtId="0" fontId="97" fillId="2" borderId="3" xfId="0" applyFont="1" applyFill="1" applyBorder="1" applyAlignment="1" applyProtection="1">
      <alignment horizontal="center" vertical="center"/>
      <protection locked="0"/>
    </xf>
    <xf numFmtId="0" fontId="43" fillId="6" borderId="1" xfId="0" applyFont="1" applyFill="1" applyBorder="1" applyAlignment="1" applyProtection="1">
      <alignment horizontal="right" vertical="center"/>
    </xf>
    <xf numFmtId="178" fontId="43" fillId="6" borderId="23" xfId="1" applyNumberFormat="1" applyFont="1" applyFill="1" applyBorder="1" applyAlignment="1" applyProtection="1">
      <alignment horizontal="left" vertical="center" wrapText="1"/>
      <protection locked="0"/>
    </xf>
    <xf numFmtId="178" fontId="43" fillId="6" borderId="5" xfId="1" applyNumberFormat="1" applyFont="1" applyFill="1" applyBorder="1" applyAlignment="1" applyProtection="1">
      <alignment vertical="center"/>
    </xf>
    <xf numFmtId="0" fontId="45" fillId="6" borderId="25" xfId="1" applyFont="1" applyFill="1" applyBorder="1" applyAlignment="1" applyProtection="1">
      <alignment vertical="center" wrapText="1"/>
    </xf>
    <xf numFmtId="0" fontId="45" fillId="6" borderId="25" xfId="1" applyFont="1" applyFill="1" applyBorder="1" applyAlignment="1" applyProtection="1">
      <alignment vertical="center"/>
    </xf>
    <xf numFmtId="0" fontId="51" fillId="6" borderId="0" xfId="0" applyFont="1" applyFill="1" applyAlignment="1" applyProtection="1">
      <alignment vertical="center" wrapText="1"/>
    </xf>
    <xf numFmtId="177" fontId="50" fillId="6" borderId="6"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43" fillId="6" borderId="23" xfId="1" applyNumberFormat="1" applyFont="1" applyFill="1" applyBorder="1" applyAlignment="1" applyProtection="1">
      <alignment vertical="center" wrapText="1"/>
    </xf>
    <xf numFmtId="177" fontId="50" fillId="6" borderId="25" xfId="1" applyNumberFormat="1" applyFont="1" applyFill="1" applyBorder="1" applyAlignment="1" applyProtection="1">
      <alignment vertical="center" wrapText="1"/>
    </xf>
    <xf numFmtId="0" fontId="43" fillId="6" borderId="34" xfId="0" applyFont="1" applyFill="1" applyBorder="1" applyAlignment="1" applyProtection="1">
      <alignment horizontal="center" vertical="center"/>
    </xf>
    <xf numFmtId="0" fontId="43" fillId="6" borderId="6" xfId="0" applyFont="1" applyFill="1" applyBorder="1" applyAlignment="1" applyProtection="1">
      <alignment vertical="center" wrapText="1"/>
    </xf>
    <xf numFmtId="0" fontId="46" fillId="0" borderId="0" xfId="0" applyFont="1" applyFill="1" applyAlignment="1" applyProtection="1">
      <alignment vertical="center"/>
    </xf>
    <xf numFmtId="0" fontId="43" fillId="6" borderId="23" xfId="0" applyFont="1" applyFill="1" applyBorder="1" applyAlignment="1" applyProtection="1">
      <alignment vertical="center" wrapText="1"/>
    </xf>
    <xf numFmtId="0" fontId="43" fillId="6" borderId="25" xfId="0" applyFont="1" applyFill="1" applyBorder="1" applyAlignment="1" applyProtection="1">
      <alignment vertical="center" wrapText="1"/>
    </xf>
    <xf numFmtId="0" fontId="43" fillId="6" borderId="41" xfId="0" applyFont="1" applyFill="1" applyBorder="1" applyAlignment="1" applyProtection="1">
      <alignment vertical="center" wrapText="1"/>
    </xf>
    <xf numFmtId="0" fontId="43" fillId="6" borderId="11" xfId="0" applyFont="1" applyFill="1" applyBorder="1" applyAlignment="1" applyProtection="1">
      <alignment vertical="center" wrapText="1"/>
    </xf>
    <xf numFmtId="0" fontId="43" fillId="6" borderId="11" xfId="0" applyFont="1" applyFill="1" applyBorder="1" applyAlignment="1" applyProtection="1">
      <alignment horizontal="left" vertical="center" wrapText="1"/>
    </xf>
    <xf numFmtId="0" fontId="43" fillId="6" borderId="11" xfId="0" applyFont="1" applyFill="1" applyBorder="1" applyAlignment="1" applyProtection="1">
      <alignment horizontal="right" vertical="center" wrapText="1"/>
    </xf>
    <xf numFmtId="0" fontId="43" fillId="6" borderId="25" xfId="0" applyFont="1" applyFill="1" applyBorder="1" applyAlignment="1" applyProtection="1">
      <alignment horizontal="right" vertical="center" wrapText="1"/>
    </xf>
    <xf numFmtId="0" fontId="43" fillId="6" borderId="14" xfId="0" applyFont="1" applyFill="1" applyBorder="1" applyAlignment="1" applyProtection="1">
      <alignment vertical="center" wrapText="1"/>
    </xf>
    <xf numFmtId="0" fontId="43" fillId="6" borderId="40" xfId="0" applyFont="1" applyFill="1" applyBorder="1" applyAlignment="1" applyProtection="1">
      <alignment vertical="center" wrapText="1"/>
    </xf>
    <xf numFmtId="0" fontId="43" fillId="2" borderId="24" xfId="0" applyFont="1" applyFill="1" applyBorder="1" applyAlignment="1" applyProtection="1">
      <alignment horizontal="center" vertical="center"/>
      <protection locked="0"/>
    </xf>
    <xf numFmtId="0" fontId="43" fillId="0" borderId="23" xfId="0" applyFont="1" applyBorder="1" applyAlignment="1" applyProtection="1">
      <alignment horizontal="right" vertical="center" wrapText="1"/>
      <protection locked="0"/>
    </xf>
    <xf numFmtId="0" fontId="43" fillId="0" borderId="25" xfId="0" applyFont="1" applyBorder="1" applyAlignment="1" applyProtection="1">
      <alignment horizontal="right" vertical="center" wrapText="1"/>
      <protection locked="0"/>
    </xf>
    <xf numFmtId="0" fontId="46" fillId="7" borderId="0" xfId="0" applyFont="1" applyFill="1" applyAlignment="1" applyProtection="1">
      <alignment vertical="center" wrapText="1"/>
      <protection locked="0"/>
    </xf>
    <xf numFmtId="180" fontId="46" fillId="7"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80" fontId="46" fillId="0" borderId="0" xfId="0" applyNumberFormat="1" applyFont="1" applyAlignment="1" applyProtection="1">
      <alignment vertical="center"/>
      <protection locked="0"/>
    </xf>
    <xf numFmtId="0" fontId="46" fillId="0" borderId="0" xfId="0" applyFont="1" applyAlignment="1" applyProtection="1">
      <alignment vertical="center" wrapText="1"/>
    </xf>
    <xf numFmtId="180" fontId="46" fillId="0" borderId="0" xfId="0" applyNumberFormat="1" applyFont="1" applyAlignment="1" applyProtection="1">
      <alignment vertical="center"/>
    </xf>
    <xf numFmtId="0" fontId="46" fillId="6" borderId="0" xfId="0" applyFont="1" applyFill="1" applyProtection="1">
      <alignment vertical="center"/>
    </xf>
    <xf numFmtId="0" fontId="46" fillId="5" borderId="0" xfId="0" applyFont="1" applyFill="1" applyProtection="1">
      <alignment vertical="center"/>
      <protection locked="0"/>
    </xf>
    <xf numFmtId="0" fontId="60" fillId="6" borderId="13" xfId="0" applyFont="1" applyFill="1" applyBorder="1" applyProtection="1">
      <alignment vertical="center"/>
    </xf>
    <xf numFmtId="0" fontId="60" fillId="6" borderId="13" xfId="0" applyNumberFormat="1" applyFont="1" applyFill="1" applyBorder="1" applyProtection="1">
      <alignment vertical="center"/>
    </xf>
    <xf numFmtId="0" fontId="60" fillId="5" borderId="13" xfId="0" applyFont="1" applyFill="1" applyBorder="1" applyAlignment="1" applyProtection="1">
      <alignment horizontal="center" vertical="center"/>
      <protection locked="0"/>
    </xf>
    <xf numFmtId="0" fontId="46" fillId="7" borderId="0" xfId="0" applyFont="1" applyFill="1" applyProtection="1">
      <alignment vertical="center"/>
    </xf>
    <xf numFmtId="0" fontId="46" fillId="0" borderId="0" xfId="0" applyFont="1" applyProtection="1">
      <alignment vertical="center"/>
    </xf>
    <xf numFmtId="0" fontId="43" fillId="6" borderId="13" xfId="0" applyFont="1" applyFill="1" applyBorder="1" applyAlignment="1" applyProtection="1">
      <alignment vertical="center" wrapText="1"/>
    </xf>
    <xf numFmtId="0" fontId="43" fillId="6" borderId="13" xfId="0" applyFont="1" applyFill="1" applyBorder="1" applyAlignment="1" applyProtection="1">
      <alignment horizontal="center" vertical="center" wrapText="1"/>
    </xf>
    <xf numFmtId="0" fontId="97" fillId="2" borderId="13" xfId="0" applyFont="1" applyFill="1" applyBorder="1" applyAlignment="1" applyProtection="1">
      <alignment horizontal="center" vertical="center"/>
      <protection locked="0"/>
    </xf>
    <xf numFmtId="0" fontId="46" fillId="6" borderId="54" xfId="0" applyFont="1" applyFill="1" applyBorder="1" applyAlignment="1" applyProtection="1">
      <alignment vertical="center" wrapText="1"/>
    </xf>
    <xf numFmtId="0" fontId="45" fillId="6" borderId="5" xfId="0" applyFont="1" applyFill="1" applyBorder="1" applyAlignment="1" applyProtection="1">
      <alignment horizontal="right" vertical="center"/>
    </xf>
    <xf numFmtId="0" fontId="45" fillId="6" borderId="58" xfId="0" applyFont="1" applyFill="1" applyBorder="1" applyAlignment="1" applyProtection="1">
      <alignment horizontal="right" vertical="center"/>
    </xf>
    <xf numFmtId="0" fontId="43" fillId="6" borderId="0" xfId="0" applyFont="1" applyFill="1" applyProtection="1">
      <alignment vertical="center"/>
    </xf>
    <xf numFmtId="0" fontId="45" fillId="6" borderId="16" xfId="0" applyFont="1" applyFill="1" applyBorder="1" applyAlignment="1" applyProtection="1">
      <alignment vertical="center"/>
    </xf>
    <xf numFmtId="0" fontId="43" fillId="6" borderId="9" xfId="0" applyFont="1" applyFill="1" applyBorder="1" applyAlignment="1" applyProtection="1">
      <alignment vertical="center"/>
    </xf>
    <xf numFmtId="0" fontId="46" fillId="6" borderId="21" xfId="0" applyFont="1" applyFill="1" applyBorder="1" applyAlignment="1" applyProtection="1">
      <alignment vertical="center"/>
    </xf>
    <xf numFmtId="0" fontId="45" fillId="6" borderId="18" xfId="0" applyFont="1" applyFill="1" applyBorder="1" applyAlignment="1" applyProtection="1">
      <alignment vertical="center"/>
    </xf>
    <xf numFmtId="0" fontId="43" fillId="6" borderId="32" xfId="0" applyFont="1" applyFill="1" applyBorder="1" applyProtection="1">
      <alignment vertical="center"/>
    </xf>
    <xf numFmtId="0" fontId="46" fillId="6" borderId="68" xfId="0" applyFont="1" applyFill="1" applyBorder="1" applyAlignment="1" applyProtection="1">
      <alignment vertical="center"/>
    </xf>
    <xf numFmtId="0" fontId="43" fillId="6" borderId="70" xfId="0" applyFont="1" applyFill="1" applyBorder="1" applyProtection="1">
      <alignment vertical="center"/>
    </xf>
    <xf numFmtId="0" fontId="43" fillId="6" borderId="34" xfId="0" applyFont="1" applyFill="1" applyBorder="1" applyProtection="1">
      <alignment vertical="center"/>
    </xf>
    <xf numFmtId="0" fontId="43" fillId="6" borderId="21" xfId="0" applyFont="1" applyFill="1" applyBorder="1" applyAlignment="1" applyProtection="1">
      <alignment horizontal="center" vertical="center"/>
    </xf>
    <xf numFmtId="0" fontId="43" fillId="6" borderId="48" xfId="0" applyFont="1" applyFill="1" applyBorder="1" applyAlignment="1" applyProtection="1">
      <alignment horizontal="center" vertical="center"/>
    </xf>
    <xf numFmtId="0" fontId="99" fillId="0" borderId="23" xfId="0" applyFont="1" applyBorder="1" applyAlignment="1" applyProtection="1">
      <alignment horizontal="center" vertical="center"/>
      <protection locked="0"/>
    </xf>
    <xf numFmtId="0" fontId="46" fillId="0" borderId="0" xfId="0" applyFont="1" applyFill="1" applyProtection="1">
      <alignment vertical="center"/>
    </xf>
    <xf numFmtId="0" fontId="45" fillId="6" borderId="16" xfId="0" applyFont="1" applyFill="1" applyBorder="1" applyAlignment="1" applyProtection="1">
      <alignment horizontal="left" vertical="center"/>
    </xf>
    <xf numFmtId="0" fontId="43" fillId="6" borderId="19" xfId="0" applyFont="1" applyFill="1" applyBorder="1" applyProtection="1">
      <alignment vertical="center"/>
    </xf>
    <xf numFmtId="0" fontId="45" fillId="5" borderId="62" xfId="0" applyFont="1" applyFill="1" applyBorder="1" applyAlignment="1" applyProtection="1">
      <alignment horizontal="right" vertical="center"/>
      <protection locked="0"/>
    </xf>
    <xf numFmtId="0" fontId="46" fillId="6" borderId="5" xfId="0" applyFont="1" applyFill="1" applyBorder="1" applyProtection="1">
      <alignment vertical="center"/>
    </xf>
    <xf numFmtId="0" fontId="45"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6" fillId="6" borderId="30" xfId="0" applyFont="1" applyFill="1" applyBorder="1" applyProtection="1">
      <alignment vertical="center"/>
    </xf>
    <xf numFmtId="0" fontId="46" fillId="6" borderId="10" xfId="0" applyFont="1" applyFill="1" applyBorder="1" applyAlignment="1" applyProtection="1">
      <alignment horizontal="center" vertical="center"/>
    </xf>
    <xf numFmtId="0" fontId="45" fillId="6" borderId="69" xfId="0" applyFont="1" applyFill="1" applyBorder="1" applyAlignment="1" applyProtection="1">
      <alignment horizontal="left" vertical="center"/>
    </xf>
    <xf numFmtId="0" fontId="43" fillId="6" borderId="7" xfId="0" applyFont="1" applyFill="1" applyBorder="1" applyAlignment="1" applyProtection="1">
      <alignment horizontal="right" vertical="center"/>
    </xf>
    <xf numFmtId="0" fontId="46" fillId="6" borderId="3" xfId="0" applyFont="1" applyFill="1" applyBorder="1" applyProtection="1">
      <alignment vertical="center"/>
    </xf>
    <xf numFmtId="0" fontId="45" fillId="6" borderId="38" xfId="0" applyFont="1" applyFill="1" applyBorder="1" applyAlignment="1" applyProtection="1">
      <alignment horizontal="left" vertical="center"/>
    </xf>
    <xf numFmtId="0" fontId="43" fillId="6" borderId="66" xfId="0" applyFont="1" applyFill="1" applyBorder="1" applyAlignment="1" applyProtection="1">
      <alignment horizontal="right" vertical="center"/>
    </xf>
    <xf numFmtId="0" fontId="46" fillId="6" borderId="66" xfId="0" applyFont="1" applyFill="1" applyBorder="1" applyProtection="1">
      <alignment vertical="center"/>
    </xf>
    <xf numFmtId="0" fontId="43" fillId="6" borderId="30" xfId="0" applyFont="1" applyFill="1" applyBorder="1" applyAlignment="1" applyProtection="1">
      <alignment horizontal="left" vertical="center"/>
    </xf>
    <xf numFmtId="0" fontId="43" fillId="5" borderId="63" xfId="0" applyFont="1" applyFill="1" applyBorder="1" applyProtection="1">
      <alignment vertical="center"/>
      <protection locked="0"/>
    </xf>
    <xf numFmtId="0" fontId="43" fillId="6" borderId="65" xfId="0" applyFont="1" applyFill="1" applyBorder="1" applyProtection="1">
      <alignment vertical="center"/>
    </xf>
    <xf numFmtId="0" fontId="43" fillId="6" borderId="0" xfId="0" applyFont="1" applyFill="1" applyBorder="1" applyAlignment="1" applyProtection="1">
      <alignment horizontal="left" vertical="center"/>
      <protection locked="0"/>
    </xf>
    <xf numFmtId="0" fontId="43" fillId="6" borderId="66" xfId="0" applyFont="1" applyFill="1" applyBorder="1" applyAlignment="1" applyProtection="1">
      <alignment horizontal="left" vertical="center"/>
    </xf>
    <xf numFmtId="0" fontId="43" fillId="0" borderId="65" xfId="0" applyFont="1" applyFill="1" applyBorder="1" applyProtection="1">
      <alignment vertical="center"/>
      <protection locked="0"/>
    </xf>
    <xf numFmtId="0" fontId="99" fillId="0" borderId="6"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99" fillId="0" borderId="10" xfId="0" applyFont="1" applyFill="1" applyBorder="1" applyAlignment="1" applyProtection="1">
      <alignment horizontal="center" vertical="center"/>
      <protection locked="0"/>
    </xf>
    <xf numFmtId="0" fontId="46" fillId="6" borderId="18" xfId="0" applyFont="1" applyFill="1" applyBorder="1" applyProtection="1">
      <alignment vertical="center"/>
    </xf>
    <xf numFmtId="0" fontId="46"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2"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1" fillId="6" borderId="0" xfId="0" applyFont="1" applyFill="1" applyBorder="1" applyAlignment="1" applyProtection="1">
      <alignment horizontal="left" vertical="center"/>
    </xf>
    <xf numFmtId="0" fontId="97" fillId="6" borderId="0" xfId="0" applyFont="1" applyFill="1" applyBorder="1" applyProtection="1">
      <alignment vertical="center"/>
    </xf>
    <xf numFmtId="9" fontId="46" fillId="6" borderId="0" xfId="0" applyNumberFormat="1" applyFont="1" applyFill="1" applyAlignment="1" applyProtection="1">
      <alignment horizontal="center" vertical="center"/>
      <protection locked="0"/>
    </xf>
    <xf numFmtId="10" fontId="46" fillId="6" borderId="0" xfId="0" applyNumberFormat="1" applyFont="1" applyFill="1" applyAlignment="1" applyProtection="1">
      <alignment horizontal="center" vertical="center"/>
      <protection locked="0"/>
    </xf>
    <xf numFmtId="0" fontId="46"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left" vertical="center" wrapText="1"/>
    </xf>
    <xf numFmtId="0" fontId="46" fillId="6" borderId="0" xfId="0" applyFont="1" applyFill="1" applyBorder="1" applyAlignment="1" applyProtection="1">
      <alignment horizontal="center" vertical="center"/>
      <protection locked="0"/>
    </xf>
    <xf numFmtId="49" fontId="51" fillId="6" borderId="18" xfId="0" applyNumberFormat="1"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178" fontId="53" fillId="6" borderId="0" xfId="0" applyNumberFormat="1" applyFont="1" applyFill="1" applyBorder="1" applyAlignment="1" applyProtection="1">
      <alignment horizontal="center" vertical="center" wrapText="1"/>
    </xf>
    <xf numFmtId="10" fontId="52" fillId="6" borderId="0" xfId="0" applyNumberFormat="1" applyFont="1" applyFill="1" applyBorder="1" applyAlignment="1" applyProtection="1">
      <alignment horizontal="center" vertical="center" wrapText="1"/>
    </xf>
    <xf numFmtId="0" fontId="46" fillId="6" borderId="0" xfId="0" applyFont="1" applyFill="1" applyBorder="1" applyAlignment="1" applyProtection="1">
      <alignment horizontal="left" vertical="center"/>
    </xf>
    <xf numFmtId="0" fontId="46" fillId="6" borderId="0" xfId="2" applyFont="1" applyFill="1" applyBorder="1" applyAlignment="1" applyProtection="1">
      <alignment horizontal="left" vertical="center" wrapText="1"/>
    </xf>
    <xf numFmtId="0" fontId="97" fillId="0" borderId="0" xfId="0" applyFont="1" applyFill="1" applyProtection="1">
      <alignment vertical="center"/>
    </xf>
    <xf numFmtId="0" fontId="97" fillId="7" borderId="0" xfId="0" applyFont="1" applyFill="1" applyProtection="1">
      <alignment vertical="center"/>
      <protection locked="0"/>
    </xf>
    <xf numFmtId="0" fontId="97" fillId="7" borderId="0" xfId="0" applyFont="1" applyFill="1" applyProtection="1">
      <alignment vertical="center"/>
    </xf>
    <xf numFmtId="0" fontId="97" fillId="6" borderId="0" xfId="2" applyFont="1" applyFill="1" applyAlignment="1" applyProtection="1">
      <alignment vertical="center" wrapText="1"/>
      <protection locked="0"/>
    </xf>
    <xf numFmtId="0" fontId="97" fillId="6" borderId="0" xfId="0" applyFont="1" applyFill="1" applyProtection="1">
      <alignment vertical="center"/>
      <protection locked="0"/>
    </xf>
    <xf numFmtId="0" fontId="46" fillId="2" borderId="54" xfId="0" applyFont="1" applyFill="1" applyBorder="1" applyAlignment="1" applyProtection="1">
      <alignment horizontal="left" vertical="center" wrapText="1"/>
      <protection locked="0"/>
    </xf>
    <xf numFmtId="0" fontId="97" fillId="6" borderId="0" xfId="2" applyFont="1" applyFill="1" applyProtection="1">
      <protection locked="0"/>
    </xf>
    <xf numFmtId="10" fontId="46" fillId="2" borderId="48" xfId="0" applyNumberFormat="1" applyFont="1" applyFill="1" applyBorder="1" applyAlignment="1" applyProtection="1">
      <alignment horizontal="left" vertical="center" wrapText="1"/>
      <protection locked="0"/>
    </xf>
    <xf numFmtId="10" fontId="46" fillId="5" borderId="48" xfId="0" applyNumberFormat="1" applyFont="1" applyFill="1" applyBorder="1" applyAlignment="1" applyProtection="1">
      <alignment horizontal="left" vertical="center" wrapText="1"/>
      <protection locked="0"/>
    </xf>
    <xf numFmtId="0" fontId="97"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3" fillId="6" borderId="1" xfId="0" applyFont="1" applyFill="1" applyBorder="1" applyAlignment="1" applyProtection="1">
      <alignment vertical="center" wrapText="1"/>
    </xf>
    <xf numFmtId="0" fontId="43"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6" fillId="0" borderId="36" xfId="0" applyFont="1" applyBorder="1" applyAlignment="1" applyProtection="1">
      <alignment horizontal="left" vertical="center" wrapText="1"/>
    </xf>
    <xf numFmtId="0" fontId="55" fillId="5" borderId="36" xfId="0" applyFont="1" applyFill="1" applyBorder="1" applyAlignment="1" applyProtection="1">
      <alignment horizontal="left" vertical="center" wrapText="1"/>
      <protection locked="0"/>
    </xf>
    <xf numFmtId="0" fontId="46" fillId="7" borderId="36" xfId="0" applyFont="1" applyFill="1" applyBorder="1" applyAlignment="1" applyProtection="1">
      <alignment horizontal="center" vertical="center" wrapText="1"/>
    </xf>
    <xf numFmtId="0" fontId="46" fillId="7" borderId="36" xfId="0" applyFont="1" applyFill="1" applyBorder="1" applyAlignment="1" applyProtection="1">
      <alignment horizontal="center" vertical="center"/>
    </xf>
    <xf numFmtId="0" fontId="46" fillId="7" borderId="22" xfId="0" applyFont="1" applyFill="1" applyBorder="1" applyProtection="1">
      <alignment vertical="center"/>
    </xf>
    <xf numFmtId="0" fontId="46" fillId="7" borderId="58"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center" vertical="center" wrapText="1"/>
      <protection locked="0"/>
    </xf>
    <xf numFmtId="0" fontId="46" fillId="7" borderId="0" xfId="0" applyFont="1" applyFill="1" applyBorder="1" applyAlignment="1" applyProtection="1">
      <alignment horizontal="center" vertical="center"/>
      <protection locked="0"/>
    </xf>
    <xf numFmtId="0" fontId="46" fillId="7" borderId="35" xfId="0" applyFont="1" applyFill="1" applyBorder="1" applyProtection="1">
      <alignment vertical="center"/>
      <protection locked="0"/>
    </xf>
    <xf numFmtId="0" fontId="46" fillId="7" borderId="4" xfId="0" applyFont="1" applyFill="1" applyBorder="1" applyAlignment="1" applyProtection="1">
      <alignment horizontal="left" vertical="center" wrapText="1"/>
      <protection locked="0"/>
    </xf>
    <xf numFmtId="0" fontId="46" fillId="7" borderId="60" xfId="0" applyFont="1" applyFill="1" applyBorder="1" applyAlignment="1" applyProtection="1">
      <alignment horizontal="left" vertical="center" wrapText="1"/>
      <protection locked="0"/>
    </xf>
    <xf numFmtId="0" fontId="46" fillId="7" borderId="60" xfId="0" applyFont="1" applyFill="1" applyBorder="1" applyAlignment="1" applyProtection="1">
      <alignment horizontal="center" vertical="center" wrapText="1"/>
      <protection locked="0"/>
    </xf>
    <xf numFmtId="0" fontId="46" fillId="7" borderId="60" xfId="0" applyFont="1" applyFill="1" applyBorder="1" applyAlignment="1" applyProtection="1">
      <alignment horizontal="center" vertical="center"/>
      <protection locked="0"/>
    </xf>
    <xf numFmtId="0" fontId="46" fillId="7" borderId="7" xfId="0" applyFont="1" applyFill="1" applyBorder="1" applyProtection="1">
      <alignment vertical="center"/>
      <protection locked="0"/>
    </xf>
    <xf numFmtId="0" fontId="51" fillId="7" borderId="60" xfId="0" applyFont="1" applyFill="1" applyBorder="1" applyAlignment="1" applyProtection="1">
      <alignment horizontal="left" vertical="center"/>
      <protection locked="0"/>
    </xf>
    <xf numFmtId="0" fontId="46" fillId="7" borderId="60" xfId="0" applyFont="1" applyFill="1" applyBorder="1" applyProtection="1">
      <alignment vertical="center"/>
      <protection locked="0"/>
    </xf>
    <xf numFmtId="0" fontId="46" fillId="7" borderId="60"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46"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53" fillId="5" borderId="5" xfId="1" applyFont="1" applyFill="1" applyBorder="1" applyAlignment="1" applyProtection="1">
      <alignment vertical="center"/>
      <protection locked="0"/>
    </xf>
    <xf numFmtId="0" fontId="56" fillId="6" borderId="3" xfId="1" applyFont="1" applyFill="1" applyBorder="1" applyAlignment="1" applyProtection="1">
      <alignment vertical="center"/>
    </xf>
    <xf numFmtId="0" fontId="56" fillId="5" borderId="1" xfId="1" applyFont="1" applyFill="1" applyBorder="1" applyAlignment="1" applyProtection="1">
      <alignment vertical="center"/>
      <protection locked="0"/>
    </xf>
    <xf numFmtId="0" fontId="53"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6" fontId="46" fillId="5" borderId="1" xfId="0" applyNumberFormat="1" applyFont="1" applyFill="1" applyBorder="1" applyAlignment="1" applyProtection="1">
      <alignment horizontal="center" vertical="center" wrapText="1"/>
      <protection locked="0"/>
    </xf>
    <xf numFmtId="49" fontId="46"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1" fillId="6" borderId="54" xfId="0" applyFont="1" applyFill="1" applyBorder="1" applyAlignment="1" applyProtection="1">
      <alignment vertical="center"/>
    </xf>
    <xf numFmtId="0" fontId="46" fillId="6" borderId="5" xfId="0" applyFont="1" applyFill="1" applyBorder="1" applyAlignment="1" applyProtection="1"/>
    <xf numFmtId="0" fontId="45" fillId="6" borderId="1" xfId="1" applyFont="1" applyFill="1" applyBorder="1" applyAlignment="1" applyProtection="1">
      <alignment vertical="center" wrapText="1"/>
    </xf>
    <xf numFmtId="49" fontId="46" fillId="6" borderId="25" xfId="0" applyNumberFormat="1" applyFont="1" applyFill="1" applyBorder="1" applyAlignment="1" applyProtection="1">
      <alignment horizontal="center" vertical="center"/>
    </xf>
    <xf numFmtId="49" fontId="100" fillId="6" borderId="51" xfId="0" applyNumberFormat="1" applyFont="1" applyFill="1" applyBorder="1" applyAlignment="1" applyProtection="1"/>
    <xf numFmtId="0" fontId="97" fillId="6" borderId="19" xfId="0" applyFont="1" applyFill="1" applyBorder="1">
      <alignment vertical="center"/>
    </xf>
    <xf numFmtId="0" fontId="97" fillId="6" borderId="31" xfId="0" applyFont="1" applyFill="1" applyBorder="1">
      <alignment vertical="center"/>
    </xf>
    <xf numFmtId="0" fontId="56" fillId="6" borderId="23" xfId="1" applyFont="1" applyFill="1" applyBorder="1" applyAlignment="1" applyProtection="1">
      <alignment vertical="center"/>
    </xf>
    <xf numFmtId="0" fontId="97" fillId="6" borderId="5" xfId="0" applyFont="1" applyFill="1" applyBorder="1">
      <alignment vertical="center"/>
    </xf>
    <xf numFmtId="0" fontId="97"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7" fillId="6" borderId="1" xfId="0" applyFont="1" applyFill="1" applyBorder="1" applyAlignment="1">
      <alignment horizontal="center" vertical="center"/>
    </xf>
    <xf numFmtId="0" fontId="97" fillId="5" borderId="1" xfId="0" applyFont="1" applyFill="1" applyBorder="1" applyAlignment="1" applyProtection="1">
      <alignment horizontal="center" vertical="center"/>
      <protection locked="0"/>
    </xf>
    <xf numFmtId="0" fontId="97" fillId="6" borderId="66" xfId="0" applyFont="1" applyFill="1" applyBorder="1">
      <alignment vertical="center"/>
    </xf>
    <xf numFmtId="0" fontId="61" fillId="6" borderId="85" xfId="0" applyFont="1" applyFill="1" applyBorder="1" applyAlignment="1" applyProtection="1">
      <alignment horizontal="right" vertical="center"/>
    </xf>
    <xf numFmtId="0" fontId="61" fillId="5" borderId="78" xfId="0" applyFont="1" applyFill="1" applyBorder="1" applyAlignment="1" applyProtection="1">
      <alignment horizontal="center" vertical="center"/>
      <protection locked="0"/>
    </xf>
    <xf numFmtId="0" fontId="61" fillId="6" borderId="89" xfId="0" applyFont="1" applyFill="1" applyBorder="1" applyAlignment="1" applyProtection="1">
      <alignment horizontal="center" vertical="center"/>
    </xf>
    <xf numFmtId="0" fontId="53" fillId="5" borderId="4" xfId="1" applyFont="1" applyFill="1" applyBorder="1" applyAlignment="1" applyProtection="1">
      <alignment vertical="center"/>
      <protection locked="0"/>
    </xf>
    <xf numFmtId="0" fontId="56" fillId="6" borderId="7" xfId="1" applyFont="1" applyFill="1" applyBorder="1" applyAlignment="1" applyProtection="1">
      <alignment vertical="center"/>
      <protection locked="0"/>
    </xf>
    <xf numFmtId="0" fontId="56" fillId="5" borderId="2" xfId="1" applyFont="1" applyFill="1" applyBorder="1" applyAlignment="1" applyProtection="1">
      <alignment vertical="center"/>
      <protection locked="0"/>
    </xf>
    <xf numFmtId="189" fontId="56" fillId="6" borderId="0" xfId="0" applyNumberFormat="1" applyFont="1" applyFill="1" applyBorder="1" applyAlignment="1" applyProtection="1">
      <alignment horizontal="center" vertical="center"/>
      <protection locked="0"/>
    </xf>
    <xf numFmtId="0" fontId="56" fillId="6" borderId="18"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9" fontId="43" fillId="6" borderId="21" xfId="0" applyNumberFormat="1" applyFont="1" applyFill="1" applyBorder="1" applyAlignment="1" applyProtection="1">
      <alignment horizontal="center" vertical="center" wrapText="1"/>
    </xf>
    <xf numFmtId="189" fontId="43" fillId="6" borderId="48" xfId="0" applyNumberFormat="1" applyFont="1" applyFill="1" applyBorder="1" applyAlignment="1" applyProtection="1">
      <alignment horizontal="center" vertical="center" wrapText="1"/>
    </xf>
    <xf numFmtId="0" fontId="43" fillId="6" borderId="48" xfId="0" applyNumberFormat="1"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protection locked="0"/>
    </xf>
    <xf numFmtId="0" fontId="43" fillId="0" borderId="46" xfId="0" applyFont="1" applyFill="1" applyBorder="1" applyAlignment="1" applyProtection="1">
      <alignment horizontal="center" vertical="center" wrapText="1"/>
      <protection locked="0"/>
    </xf>
    <xf numFmtId="0" fontId="57" fillId="6" borderId="48" xfId="0" applyNumberFormat="1" applyFont="1" applyFill="1" applyBorder="1" applyAlignment="1" applyProtection="1">
      <alignment horizontal="center" vertical="center" wrapText="1"/>
    </xf>
    <xf numFmtId="0" fontId="43" fillId="0" borderId="33" xfId="0" applyFont="1" applyFill="1" applyBorder="1" applyAlignment="1" applyProtection="1">
      <alignment horizontal="center" vertical="center" wrapText="1"/>
      <protection locked="0"/>
    </xf>
    <xf numFmtId="49" fontId="50" fillId="6" borderId="40" xfId="0" applyNumberFormat="1" applyFont="1" applyFill="1" applyBorder="1" applyAlignment="1" applyProtection="1">
      <alignment horizontal="center" vertical="center" wrapText="1"/>
    </xf>
    <xf numFmtId="49" fontId="50" fillId="2" borderId="41"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7" fillId="6" borderId="50"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protection locked="0"/>
    </xf>
    <xf numFmtId="49" fontId="50" fillId="2" borderId="14" xfId="0" applyNumberFormat="1" applyFont="1" applyFill="1" applyBorder="1" applyAlignment="1" applyProtection="1">
      <alignment horizontal="center" vertical="center" wrapText="1"/>
      <protection locked="0"/>
    </xf>
    <xf numFmtId="49" fontId="50"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7" fillId="6" borderId="80" xfId="0" applyNumberFormat="1"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center" vertical="center" wrapText="1"/>
      <protection locked="0"/>
    </xf>
    <xf numFmtId="0" fontId="50" fillId="2" borderId="6" xfId="0"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wrapText="1"/>
      <protection locked="0"/>
    </xf>
    <xf numFmtId="0" fontId="50" fillId="2" borderId="3" xfId="0" applyFont="1" applyFill="1" applyBorder="1" applyAlignment="1" applyProtection="1">
      <alignment horizontal="center" vertical="center" wrapText="1"/>
      <protection locked="0"/>
    </xf>
    <xf numFmtId="189" fontId="50" fillId="6" borderId="48" xfId="0" applyNumberFormat="1" applyFont="1" applyFill="1" applyBorder="1" applyAlignment="1" applyProtection="1">
      <alignment horizontal="center" vertical="center"/>
    </xf>
    <xf numFmtId="189" fontId="50" fillId="6" borderId="49" xfId="0" applyNumberFormat="1" applyFont="1" applyFill="1" applyBorder="1" applyAlignment="1" applyProtection="1">
      <alignment horizontal="center" vertical="center" wrapText="1"/>
    </xf>
    <xf numFmtId="0" fontId="50" fillId="0" borderId="18" xfId="0" applyFont="1" applyFill="1" applyBorder="1" applyAlignment="1" applyProtection="1">
      <alignment horizontal="center" vertical="center"/>
      <protection locked="0"/>
    </xf>
    <xf numFmtId="0" fontId="67" fillId="0" borderId="18" xfId="0" applyFont="1" applyFill="1" applyBorder="1" applyAlignment="1" applyProtection="1">
      <alignment horizontal="center" vertical="center"/>
      <protection locked="0"/>
    </xf>
    <xf numFmtId="0" fontId="50" fillId="0" borderId="18" xfId="0" applyFont="1" applyBorder="1" applyAlignment="1" applyProtection="1">
      <protection locked="0"/>
    </xf>
    <xf numFmtId="0" fontId="45" fillId="6" borderId="0" xfId="0" applyNumberFormat="1" applyFont="1" applyFill="1" applyBorder="1" applyAlignment="1" applyProtection="1">
      <alignment vertical="center" wrapText="1"/>
    </xf>
    <xf numFmtId="9" fontId="43" fillId="0" borderId="18" xfId="0" applyNumberFormat="1" applyFont="1" applyFill="1" applyBorder="1" applyAlignment="1" applyProtection="1">
      <alignment horizontal="center" vertical="center" wrapText="1"/>
      <protection locked="0"/>
    </xf>
    <xf numFmtId="0" fontId="97" fillId="0" borderId="18" xfId="0" applyFont="1" applyFill="1" applyBorder="1" applyAlignment="1" applyProtection="1">
      <alignment vertical="center"/>
      <protection locked="0"/>
    </xf>
    <xf numFmtId="0" fontId="43"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protection locked="0"/>
    </xf>
    <xf numFmtId="0" fontId="48" fillId="0" borderId="18" xfId="0" applyFont="1" applyFill="1" applyBorder="1" applyAlignment="1" applyProtection="1">
      <alignment vertical="center" wrapText="1"/>
      <protection locked="0"/>
    </xf>
    <xf numFmtId="0" fontId="43" fillId="0" borderId="18" xfId="0" applyFont="1" applyFill="1" applyBorder="1" applyAlignment="1" applyProtection="1">
      <alignment vertical="center" wrapText="1"/>
      <protection locked="0"/>
    </xf>
    <xf numFmtId="0" fontId="43" fillId="0" borderId="83"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7" fillId="6" borderId="16"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0" fillId="6" borderId="19" xfId="0" applyFont="1" applyFill="1" applyBorder="1" applyAlignment="1" applyProtection="1">
      <alignment horizontal="center" vertical="center"/>
    </xf>
    <xf numFmtId="0" fontId="50" fillId="6" borderId="31" xfId="0" applyFont="1" applyFill="1" applyBorder="1" applyAlignment="1" applyProtection="1">
      <alignment horizontal="center" vertical="center"/>
    </xf>
    <xf numFmtId="0" fontId="9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57" fillId="6" borderId="69" xfId="0" applyFont="1" applyFill="1" applyBorder="1" applyProtection="1">
      <alignment vertical="center"/>
    </xf>
    <xf numFmtId="0" fontId="97" fillId="6" borderId="5" xfId="0" applyFont="1" applyFill="1" applyBorder="1" applyAlignment="1" applyProtection="1">
      <alignment horizontal="center" vertical="center"/>
    </xf>
    <xf numFmtId="0" fontId="97" fillId="6" borderId="92" xfId="0" applyFont="1" applyFill="1" applyBorder="1" applyAlignment="1" applyProtection="1">
      <alignment horizontal="center" vertical="center"/>
    </xf>
    <xf numFmtId="0" fontId="57" fillId="6" borderId="60" xfId="0" applyFont="1" applyFill="1" applyBorder="1" applyAlignment="1" applyProtection="1">
      <alignment horizontal="center" vertical="center"/>
    </xf>
    <xf numFmtId="0" fontId="97" fillId="0" borderId="2" xfId="0" applyFont="1" applyBorder="1" applyAlignment="1" applyProtection="1">
      <alignment horizontal="center" vertical="center"/>
      <protection locked="0"/>
    </xf>
    <xf numFmtId="0" fontId="97" fillId="6" borderId="7" xfId="0" applyFont="1" applyFill="1" applyBorder="1" applyAlignment="1" applyProtection="1">
      <alignment horizontal="center" vertical="center"/>
    </xf>
    <xf numFmtId="0" fontId="97" fillId="6" borderId="3" xfId="0" applyFont="1" applyFill="1" applyBorder="1" applyAlignment="1" applyProtection="1">
      <alignment horizontal="center" vertical="center"/>
    </xf>
    <xf numFmtId="0" fontId="97" fillId="0" borderId="1" xfId="0" applyFont="1" applyBorder="1" applyAlignment="1" applyProtection="1">
      <alignment horizontal="center" vertical="center"/>
      <protection locked="0"/>
    </xf>
    <xf numFmtId="0" fontId="97" fillId="6" borderId="25" xfId="0" applyFont="1" applyFill="1" applyBorder="1" applyAlignment="1" applyProtection="1">
      <alignment horizontal="center" vertical="center"/>
    </xf>
    <xf numFmtId="0" fontId="57" fillId="6" borderId="94" xfId="0" applyFont="1" applyFill="1" applyBorder="1" applyAlignment="1" applyProtection="1">
      <alignment horizontal="left" vertical="center"/>
    </xf>
    <xf numFmtId="0" fontId="50" fillId="6" borderId="47" xfId="0" applyFont="1" applyFill="1" applyBorder="1" applyAlignment="1" applyProtection="1">
      <alignment horizontal="center" vertical="center"/>
    </xf>
    <xf numFmtId="0" fontId="50" fillId="6" borderId="43" xfId="0" applyFont="1" applyFill="1" applyBorder="1" applyAlignment="1" applyProtection="1">
      <alignment horizontal="center" vertical="center"/>
    </xf>
    <xf numFmtId="0" fontId="97" fillId="6" borderId="66" xfId="0" applyFont="1" applyFill="1" applyBorder="1" applyAlignment="1" applyProtection="1">
      <alignment horizontal="center" vertical="center"/>
    </xf>
    <xf numFmtId="0" fontId="61" fillId="6" borderId="89" xfId="0" applyFont="1" applyFill="1" applyBorder="1" applyAlignment="1" applyProtection="1">
      <alignment horizontal="center" vertical="center"/>
      <protection locked="0"/>
    </xf>
    <xf numFmtId="0" fontId="61" fillId="6" borderId="87"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protection locked="0"/>
    </xf>
    <xf numFmtId="0" fontId="62" fillId="6" borderId="0"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protection locked="0"/>
    </xf>
    <xf numFmtId="49" fontId="50" fillId="6" borderId="11"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protection locked="0"/>
    </xf>
    <xf numFmtId="0" fontId="61" fillId="6" borderId="88" xfId="0" applyFont="1" applyFill="1" applyBorder="1" applyAlignment="1" applyProtection="1">
      <alignment horizontal="right" vertical="center"/>
    </xf>
    <xf numFmtId="0" fontId="50" fillId="6" borderId="17" xfId="0" applyFont="1" applyFill="1" applyBorder="1" applyAlignment="1" applyProtection="1">
      <alignment horizontal="center" vertical="center"/>
    </xf>
    <xf numFmtId="0" fontId="43" fillId="6" borderId="24"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49" fontId="50" fillId="6" borderId="39"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protection locked="0"/>
    </xf>
    <xf numFmtId="0" fontId="43" fillId="2" borderId="7" xfId="0" applyNumberFormat="1" applyFont="1" applyFill="1" applyBorder="1" applyAlignment="1" applyProtection="1">
      <alignment horizontal="center" vertical="center" wrapText="1"/>
      <protection locked="0"/>
    </xf>
    <xf numFmtId="0" fontId="43" fillId="0" borderId="24" xfId="0" applyFont="1" applyFill="1" applyBorder="1" applyAlignment="1" applyProtection="1">
      <alignment horizontal="center" vertical="center" wrapText="1"/>
      <protection locked="0"/>
    </xf>
    <xf numFmtId="0" fontId="50" fillId="2" borderId="6"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43" fillId="0" borderId="54"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horizontal="center" vertical="center" wrapText="1"/>
    </xf>
    <xf numFmtId="0" fontId="50" fillId="6" borderId="41" xfId="0" applyNumberFormat="1" applyFont="1" applyFill="1" applyBorder="1" applyAlignment="1" applyProtection="1">
      <alignment horizontal="center" vertical="center" wrapText="1"/>
    </xf>
    <xf numFmtId="49" fontId="49" fillId="5" borderId="20" xfId="0" applyNumberFormat="1" applyFont="1" applyFill="1" applyBorder="1" applyAlignment="1" applyProtection="1">
      <alignment vertical="center"/>
      <protection locked="0"/>
    </xf>
    <xf numFmtId="184" fontId="43" fillId="0" borderId="26" xfId="0" applyNumberFormat="1" applyFont="1" applyFill="1" applyBorder="1" applyAlignment="1" applyProtection="1">
      <alignment horizontal="center" vertical="center" wrapText="1"/>
      <protection locked="0"/>
    </xf>
    <xf numFmtId="0" fontId="43" fillId="0" borderId="38" xfId="0" applyNumberFormat="1" applyFont="1" applyFill="1" applyBorder="1" applyAlignment="1" applyProtection="1">
      <alignment horizontal="center" vertical="center" wrapText="1"/>
      <protection locked="0"/>
    </xf>
    <xf numFmtId="0" fontId="50" fillId="0" borderId="55" xfId="0" applyNumberFormat="1" applyFont="1" applyFill="1" applyBorder="1" applyAlignment="1" applyProtection="1">
      <alignment horizontal="center" vertical="center" wrapText="1"/>
      <protection locked="0"/>
    </xf>
    <xf numFmtId="0" fontId="43" fillId="2" borderId="51" xfId="0" applyNumberFormat="1" applyFont="1" applyFill="1" applyBorder="1" applyAlignment="1" applyProtection="1">
      <alignment horizontal="center" vertical="center" wrapText="1"/>
      <protection locked="0"/>
    </xf>
    <xf numFmtId="0" fontId="43" fillId="2" borderId="69"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protection locked="0"/>
    </xf>
    <xf numFmtId="9" fontId="43" fillId="2" borderId="37"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49" fontId="49" fillId="2" borderId="10" xfId="0" applyNumberFormat="1" applyFont="1" applyFill="1" applyBorder="1" applyAlignment="1" applyProtection="1">
      <alignment vertical="center"/>
      <protection locked="0"/>
    </xf>
    <xf numFmtId="0" fontId="50" fillId="5" borderId="9" xfId="0" applyFont="1" applyFill="1" applyBorder="1" applyAlignment="1" applyProtection="1">
      <alignment horizontal="center" vertical="center"/>
      <protection locked="0"/>
    </xf>
    <xf numFmtId="0" fontId="50" fillId="6" borderId="19" xfId="0" applyFont="1" applyFill="1" applyBorder="1" applyAlignment="1" applyProtection="1">
      <alignment horizontal="center" vertical="center" wrapText="1"/>
      <protection locked="0"/>
    </xf>
    <xf numFmtId="0" fontId="97" fillId="6" borderId="95" xfId="0" applyFont="1" applyFill="1" applyBorder="1" applyAlignment="1" applyProtection="1">
      <alignment horizontal="center" vertical="center"/>
    </xf>
    <xf numFmtId="0" fontId="99" fillId="6" borderId="0" xfId="0" applyFont="1" applyFill="1" applyAlignment="1" applyProtection="1">
      <alignment horizontal="left" vertical="center"/>
      <protection locked="0"/>
    </xf>
    <xf numFmtId="0" fontId="98" fillId="6" borderId="23" xfId="0" applyFont="1" applyFill="1" applyBorder="1" applyAlignment="1" applyProtection="1">
      <alignment horizontal="center" vertical="center"/>
    </xf>
    <xf numFmtId="0" fontId="98" fillId="6" borderId="25" xfId="0" applyFont="1" applyFill="1" applyBorder="1" applyAlignment="1" applyProtection="1">
      <alignment horizontal="center" vertical="center"/>
    </xf>
    <xf numFmtId="0" fontId="45" fillId="6" borderId="16" xfId="0" applyNumberFormat="1" applyFont="1" applyFill="1" applyBorder="1" applyAlignment="1" applyProtection="1">
      <alignment vertical="center"/>
    </xf>
    <xf numFmtId="0" fontId="45" fillId="5"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horizontal="center" vertical="center" wrapText="1"/>
    </xf>
    <xf numFmtId="0" fontId="50" fillId="0" borderId="24" xfId="0" applyFont="1" applyFill="1" applyBorder="1" applyAlignment="1" applyProtection="1">
      <alignment horizontal="center" vertical="center"/>
      <protection locked="0"/>
    </xf>
    <xf numFmtId="0" fontId="97" fillId="0" borderId="49" xfId="0" applyFont="1" applyFill="1" applyBorder="1" applyAlignment="1" applyProtection="1">
      <alignment horizontal="center" vertical="center"/>
      <protection locked="0"/>
    </xf>
    <xf numFmtId="0" fontId="45" fillId="6" borderId="37" xfId="0" applyNumberFormat="1" applyFont="1" applyFill="1" applyBorder="1" applyAlignment="1" applyProtection="1">
      <alignment horizontal="center" vertical="center" wrapText="1"/>
    </xf>
    <xf numFmtId="0" fontId="52" fillId="6" borderId="0" xfId="0" applyFont="1" applyFill="1" applyAlignment="1" applyProtection="1">
      <alignment vertical="center" wrapText="1"/>
    </xf>
    <xf numFmtId="0" fontId="97" fillId="6" borderId="6" xfId="0" applyNumberFormat="1" applyFont="1" applyFill="1" applyBorder="1" applyAlignment="1" applyProtection="1">
      <alignment horizontal="center" vertical="center"/>
    </xf>
    <xf numFmtId="0" fontId="52" fillId="0" borderId="0" xfId="0" applyFont="1" applyAlignment="1" applyProtection="1">
      <alignment vertical="center" wrapText="1"/>
      <protection locked="0"/>
    </xf>
    <xf numFmtId="0" fontId="52" fillId="0" borderId="0" xfId="0" applyFont="1" applyAlignment="1" applyProtection="1">
      <alignment vertical="center" wrapText="1"/>
    </xf>
    <xf numFmtId="0" fontId="56" fillId="6" borderId="5" xfId="1" applyFont="1" applyFill="1" applyBorder="1" applyAlignment="1" applyProtection="1">
      <alignment vertical="center"/>
    </xf>
    <xf numFmtId="0" fontId="52" fillId="6" borderId="1"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vertical="center" wrapText="1"/>
    </xf>
    <xf numFmtId="0" fontId="97" fillId="6" borderId="23" xfId="0" applyNumberFormat="1" applyFont="1" applyFill="1" applyBorder="1" applyAlignment="1" applyProtection="1">
      <alignment horizontal="center" vertical="center"/>
    </xf>
    <xf numFmtId="0" fontId="52" fillId="5" borderId="1" xfId="0" applyFont="1" applyFill="1" applyBorder="1" applyAlignment="1" applyProtection="1">
      <alignment horizontal="left" vertical="center"/>
      <protection locked="0"/>
    </xf>
    <xf numFmtId="49" fontId="49" fillId="6" borderId="13" xfId="0" applyNumberFormat="1" applyFont="1" applyFill="1" applyBorder="1" applyAlignment="1" applyProtection="1">
      <alignment horizontal="left" vertical="center" wrapText="1"/>
    </xf>
    <xf numFmtId="0" fontId="49" fillId="6" borderId="13" xfId="0" applyFont="1" applyFill="1" applyBorder="1" applyAlignment="1" applyProtection="1">
      <alignment horizontal="left" vertical="center" wrapText="1"/>
    </xf>
    <xf numFmtId="0" fontId="49" fillId="6" borderId="36"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50" fillId="6" borderId="22" xfId="0" applyFont="1" applyFill="1" applyBorder="1" applyAlignment="1" applyProtection="1">
      <alignment vertical="center" wrapText="1"/>
    </xf>
    <xf numFmtId="0" fontId="50" fillId="7" borderId="0" xfId="0" applyFont="1" applyFill="1" applyAlignment="1" applyProtection="1">
      <alignment vertical="center"/>
      <protection locked="0"/>
    </xf>
    <xf numFmtId="0" fontId="50" fillId="6" borderId="0" xfId="8" applyFont="1" applyFill="1" applyAlignment="1" applyProtection="1">
      <alignment horizontal="center" vertical="center" wrapText="1"/>
      <protection locked="0"/>
    </xf>
    <xf numFmtId="0" fontId="50" fillId="7" borderId="0" xfId="8" applyFont="1" applyFill="1" applyAlignment="1" applyProtection="1">
      <alignment horizontal="center" vertical="center" wrapText="1"/>
    </xf>
    <xf numFmtId="0" fontId="50" fillId="0" borderId="0" xfId="8" applyFont="1" applyAlignment="1" applyProtection="1">
      <alignment horizontal="center" vertical="center" wrapText="1"/>
    </xf>
    <xf numFmtId="0" fontId="50" fillId="0" borderId="0" xfId="0" applyFont="1" applyAlignment="1" applyProtection="1">
      <alignment vertical="center" wrapText="1"/>
    </xf>
    <xf numFmtId="49" fontId="53" fillId="6" borderId="26" xfId="0" applyNumberFormat="1" applyFont="1" applyFill="1" applyBorder="1" applyAlignment="1" applyProtection="1">
      <alignment horizontal="center" vertical="center" wrapText="1"/>
    </xf>
    <xf numFmtId="0" fontId="53"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2" fillId="6" borderId="64" xfId="0" applyFont="1" applyFill="1" applyBorder="1" applyAlignment="1" applyProtection="1">
      <alignment vertical="center" wrapText="1"/>
    </xf>
    <xf numFmtId="0" fontId="52" fillId="6" borderId="65" xfId="0" applyFont="1" applyFill="1" applyBorder="1" applyAlignment="1" applyProtection="1">
      <alignment vertical="center" wrapText="1"/>
    </xf>
    <xf numFmtId="0" fontId="53" fillId="6" borderId="9" xfId="0" applyFont="1" applyFill="1" applyBorder="1" applyAlignment="1" applyProtection="1">
      <alignment horizontal="left" vertical="center" wrapText="1"/>
    </xf>
    <xf numFmtId="0" fontId="52" fillId="6" borderId="9" xfId="0" applyFont="1" applyFill="1" applyBorder="1" applyAlignment="1" applyProtection="1">
      <alignment horizontal="center" vertical="center" wrapText="1"/>
    </xf>
    <xf numFmtId="0" fontId="52" fillId="6" borderId="19" xfId="0" applyFont="1" applyFill="1" applyBorder="1" applyAlignment="1" applyProtection="1">
      <alignment horizontal="center" vertical="center" wrapText="1"/>
    </xf>
    <xf numFmtId="0" fontId="52" fillId="6" borderId="19"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5" borderId="1" xfId="0" applyFont="1" applyFill="1" applyBorder="1" applyAlignment="1" applyProtection="1">
      <alignment horizontal="center" vertical="center" wrapText="1"/>
      <protection locked="0"/>
    </xf>
    <xf numFmtId="0" fontId="52" fillId="6" borderId="5" xfId="0" applyFont="1" applyFill="1" applyBorder="1" applyAlignment="1" applyProtection="1">
      <alignment vertical="center"/>
    </xf>
    <xf numFmtId="0" fontId="52" fillId="6" borderId="54" xfId="0" applyFont="1" applyFill="1" applyBorder="1" applyAlignment="1" applyProtection="1">
      <alignment vertical="center" wrapText="1"/>
    </xf>
    <xf numFmtId="0" fontId="52" fillId="6" borderId="48"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0" fontId="52" fillId="6" borderId="36" xfId="0" applyFont="1" applyFill="1" applyBorder="1" applyAlignment="1" applyProtection="1">
      <alignment vertical="center" wrapText="1"/>
    </xf>
    <xf numFmtId="0" fontId="52" fillId="6" borderId="59" xfId="0" applyFont="1" applyFill="1" applyBorder="1" applyAlignment="1" applyProtection="1">
      <alignment vertical="center" wrapText="1"/>
    </xf>
    <xf numFmtId="0" fontId="53" fillId="6" borderId="17" xfId="0" applyFont="1" applyFill="1" applyBorder="1" applyAlignment="1" applyProtection="1">
      <alignment horizontal="left" vertical="center" wrapText="1"/>
    </xf>
    <xf numFmtId="0" fontId="52" fillId="6" borderId="28" xfId="0" applyFont="1" applyFill="1" applyBorder="1" applyAlignment="1" applyProtection="1">
      <alignment vertical="center"/>
    </xf>
    <xf numFmtId="0" fontId="52" fillId="6" borderId="20" xfId="0" applyFont="1" applyFill="1" applyBorder="1" applyAlignment="1" applyProtection="1">
      <alignment horizontal="center" vertical="center" wrapText="1"/>
    </xf>
    <xf numFmtId="0" fontId="52" fillId="6" borderId="20" xfId="0" applyFont="1" applyFill="1" applyBorder="1" applyAlignment="1" applyProtection="1">
      <alignment vertical="center" wrapText="1"/>
    </xf>
    <xf numFmtId="0" fontId="52" fillId="6" borderId="21" xfId="0" applyFont="1" applyFill="1" applyBorder="1" applyAlignment="1" applyProtection="1">
      <alignment vertical="center" wrapText="1"/>
    </xf>
    <xf numFmtId="0" fontId="97" fillId="6" borderId="25" xfId="0" applyNumberFormat="1" applyFont="1" applyFill="1" applyBorder="1" applyAlignment="1" applyProtection="1">
      <alignment horizontal="center" vertical="center"/>
    </xf>
    <xf numFmtId="0" fontId="98" fillId="6" borderId="13" xfId="0" applyFont="1" applyFill="1" applyBorder="1" applyAlignment="1" applyProtection="1">
      <alignment horizontal="left" vertical="center" wrapText="1"/>
    </xf>
    <xf numFmtId="0" fontId="98" fillId="6" borderId="3" xfId="0" applyFont="1" applyFill="1" applyBorder="1" applyAlignment="1" applyProtection="1">
      <alignment horizontal="center" vertical="center" wrapText="1"/>
    </xf>
    <xf numFmtId="0" fontId="98" fillId="6" borderId="2" xfId="0" applyFont="1" applyFill="1" applyBorder="1" applyAlignment="1" applyProtection="1">
      <alignment horizontal="left" vertical="center" wrapText="1"/>
    </xf>
    <xf numFmtId="0" fontId="98" fillId="5" borderId="3" xfId="0" applyFont="1" applyFill="1" applyBorder="1" applyAlignment="1" applyProtection="1">
      <alignment horizontal="center" vertical="center" wrapText="1"/>
      <protection locked="0"/>
    </xf>
    <xf numFmtId="0" fontId="98" fillId="5" borderId="1"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protection locked="0"/>
    </xf>
    <xf numFmtId="0" fontId="52" fillId="6" borderId="0" xfId="0" applyFont="1" applyFill="1" applyBorder="1" applyAlignment="1" applyProtection="1">
      <alignment vertical="center" wrapText="1"/>
    </xf>
    <xf numFmtId="0" fontId="52" fillId="5" borderId="9" xfId="0" applyFont="1" applyFill="1" applyBorder="1" applyAlignment="1" applyProtection="1">
      <alignment horizontal="center" vertical="center" wrapText="1"/>
      <protection locked="0"/>
    </xf>
    <xf numFmtId="0" fontId="52" fillId="5" borderId="10" xfId="0" applyFont="1" applyFill="1" applyBorder="1" applyAlignment="1" applyProtection="1">
      <alignment horizontal="center" vertical="center" wrapText="1"/>
      <protection locked="0"/>
    </xf>
    <xf numFmtId="0" fontId="52" fillId="7" borderId="0" xfId="0" applyFont="1" applyFill="1" applyAlignment="1" applyProtection="1">
      <alignment vertical="center" wrapText="1"/>
    </xf>
    <xf numFmtId="49" fontId="49" fillId="6" borderId="26" xfId="0" applyNumberFormat="1" applyFont="1" applyFill="1" applyBorder="1" applyAlignment="1" applyProtection="1">
      <alignment horizontal="left" vertical="center" wrapText="1"/>
    </xf>
    <xf numFmtId="0" fontId="49" fillId="6" borderId="84" xfId="0" applyFont="1" applyFill="1" applyBorder="1" applyAlignment="1" applyProtection="1">
      <alignment horizontal="left" vertical="center" wrapText="1"/>
    </xf>
    <xf numFmtId="0" fontId="52" fillId="6" borderId="64" xfId="0" applyFont="1" applyFill="1" applyBorder="1" applyAlignment="1" applyProtection="1">
      <alignment vertical="center"/>
    </xf>
    <xf numFmtId="0" fontId="52" fillId="0" borderId="0" xfId="0" applyFont="1" applyAlignment="1" applyProtection="1">
      <alignment horizontal="center" vertical="center" wrapText="1"/>
    </xf>
    <xf numFmtId="0" fontId="50" fillId="6" borderId="84" xfId="0" applyFont="1" applyFill="1" applyBorder="1" applyAlignment="1" applyProtection="1">
      <alignment horizontal="center" vertical="center" wrapText="1"/>
    </xf>
    <xf numFmtId="0" fontId="50" fillId="6" borderId="6" xfId="0" applyFont="1" applyFill="1" applyBorder="1" applyAlignment="1" applyProtection="1">
      <alignment vertical="center" wrapText="1"/>
    </xf>
    <xf numFmtId="0" fontId="52" fillId="6" borderId="64"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49" fontId="49" fillId="6" borderId="40" xfId="0" applyNumberFormat="1" applyFont="1" applyFill="1" applyBorder="1" applyAlignment="1" applyProtection="1">
      <alignment horizontal="left" vertical="center" wrapText="1"/>
    </xf>
    <xf numFmtId="0" fontId="49" fillId="6" borderId="17"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wrapText="1"/>
    </xf>
    <xf numFmtId="0" fontId="50" fillId="6" borderId="25" xfId="0" applyFont="1" applyFill="1" applyBorder="1" applyAlignment="1" applyProtection="1">
      <alignment vertical="center" wrapText="1"/>
    </xf>
    <xf numFmtId="0" fontId="50" fillId="6" borderId="19" xfId="8" applyFont="1" applyFill="1" applyBorder="1" applyAlignment="1" applyProtection="1">
      <alignment horizontal="center" vertical="center" wrapText="1"/>
      <protection locked="0"/>
    </xf>
    <xf numFmtId="0" fontId="50" fillId="6" borderId="9" xfId="8" applyFont="1" applyFill="1" applyBorder="1" applyAlignment="1" applyProtection="1">
      <alignment vertical="center" wrapText="1"/>
      <protection locked="0"/>
    </xf>
    <xf numFmtId="0" fontId="50" fillId="6" borderId="31" xfId="8" applyFont="1" applyFill="1" applyBorder="1" applyAlignment="1" applyProtection="1">
      <alignment vertical="center"/>
      <protection locked="0"/>
    </xf>
    <xf numFmtId="49" fontId="49" fillId="6" borderId="6"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protection locked="0"/>
    </xf>
    <xf numFmtId="0" fontId="50" fillId="6" borderId="19" xfId="0" applyFont="1" applyFill="1" applyBorder="1" applyAlignment="1" applyProtection="1">
      <alignment vertical="center" wrapText="1"/>
    </xf>
    <xf numFmtId="0" fontId="50" fillId="6" borderId="10" xfId="0" applyFont="1" applyFill="1" applyBorder="1" applyAlignment="1" applyProtection="1">
      <alignment vertical="center" wrapText="1"/>
    </xf>
    <xf numFmtId="0" fontId="50" fillId="6" borderId="23" xfId="8"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187" fontId="52" fillId="6" borderId="15" xfId="0" applyNumberFormat="1" applyFont="1" applyFill="1" applyBorder="1" applyAlignment="1" applyProtection="1">
      <alignment horizontal="center" vertical="center" wrapText="1"/>
    </xf>
    <xf numFmtId="187" fontId="52" fillId="6" borderId="58" xfId="0" applyNumberFormat="1" applyFont="1" applyFill="1" applyBorder="1" applyAlignment="1" applyProtection="1">
      <alignment horizontal="center" vertical="center" wrapText="1"/>
    </xf>
    <xf numFmtId="0" fontId="52" fillId="6" borderId="22" xfId="0" applyFont="1" applyFill="1" applyBorder="1" applyAlignment="1" applyProtection="1">
      <alignment vertical="center" wrapText="1"/>
    </xf>
    <xf numFmtId="0" fontId="50" fillId="6" borderId="13" xfId="0" applyFont="1" applyFill="1" applyBorder="1" applyAlignment="1" applyProtection="1">
      <alignment vertical="center" wrapText="1"/>
    </xf>
    <xf numFmtId="0" fontId="50" fillId="6" borderId="61" xfId="0" applyFont="1" applyFill="1" applyBorder="1" applyAlignment="1" applyProtection="1">
      <alignment vertical="center" wrapText="1"/>
    </xf>
    <xf numFmtId="0" fontId="50" fillId="6" borderId="84" xfId="0" applyFont="1" applyFill="1" applyBorder="1" applyAlignment="1" applyProtection="1">
      <alignment vertical="center" wrapText="1"/>
    </xf>
    <xf numFmtId="0" fontId="50" fillId="6" borderId="67" xfId="0" applyFont="1" applyFill="1" applyBorder="1" applyAlignment="1" applyProtection="1">
      <alignment vertical="center" wrapText="1"/>
    </xf>
    <xf numFmtId="0" fontId="50" fillId="6" borderId="25" xfId="8" applyFont="1" applyFill="1" applyBorder="1" applyAlignment="1" applyProtection="1">
      <alignment horizontal="center" vertical="center" wrapText="1"/>
    </xf>
    <xf numFmtId="0" fontId="49" fillId="6" borderId="28" xfId="0" applyFont="1" applyFill="1" applyBorder="1" applyAlignment="1" applyProtection="1">
      <alignment horizontal="left" vertical="center" wrapText="1"/>
    </xf>
    <xf numFmtId="0" fontId="53" fillId="6" borderId="19" xfId="0" applyFont="1" applyFill="1" applyBorder="1" applyAlignment="1" applyProtection="1">
      <alignment vertical="center" wrapText="1"/>
    </xf>
    <xf numFmtId="49" fontId="49" fillId="6" borderId="14" xfId="0" applyNumberFormat="1" applyFont="1" applyFill="1" applyBorder="1" applyAlignment="1" applyProtection="1">
      <alignment horizontal="center" vertical="center" wrapText="1"/>
    </xf>
    <xf numFmtId="0" fontId="52" fillId="6" borderId="5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2" fillId="6" borderId="56"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2" fillId="6" borderId="75"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2" fillId="6" borderId="43" xfId="0" applyFont="1" applyFill="1" applyBorder="1" applyAlignment="1" applyProtection="1">
      <alignment vertical="center" wrapText="1"/>
    </xf>
    <xf numFmtId="49" fontId="49" fillId="6" borderId="40" xfId="0" applyNumberFormat="1" applyFont="1" applyFill="1" applyBorder="1" applyAlignment="1" applyProtection="1">
      <alignment horizontal="center" vertical="center" wrapText="1"/>
    </xf>
    <xf numFmtId="0" fontId="53" fillId="6" borderId="30" xfId="0" applyFont="1" applyFill="1" applyBorder="1" applyAlignment="1" applyProtection="1">
      <alignment vertical="center" wrapText="1"/>
    </xf>
    <xf numFmtId="0" fontId="49" fillId="6" borderId="9"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0" fontId="53" fillId="6" borderId="28" xfId="0" applyFont="1" applyFill="1" applyBorder="1" applyAlignment="1" applyProtection="1">
      <alignment vertical="center" wrapText="1"/>
    </xf>
    <xf numFmtId="0" fontId="52" fillId="6" borderId="14"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wrapText="1"/>
    </xf>
    <xf numFmtId="0" fontId="52" fillId="0" borderId="1" xfId="0" applyFont="1" applyBorder="1" applyAlignment="1" applyProtection="1">
      <alignment vertical="center" wrapText="1"/>
      <protection locked="0"/>
    </xf>
    <xf numFmtId="0" fontId="98" fillId="6" borderId="54" xfId="0" applyFont="1" applyFill="1" applyBorder="1" applyAlignment="1" applyProtection="1">
      <alignment vertical="center"/>
    </xf>
    <xf numFmtId="0" fontId="98" fillId="6" borderId="48" xfId="0" applyFont="1" applyFill="1" applyBorder="1" applyAlignment="1" applyProtection="1">
      <alignment vertical="center"/>
    </xf>
    <xf numFmtId="0" fontId="53" fillId="6" borderId="12" xfId="0" applyFont="1" applyFill="1" applyBorder="1" applyAlignment="1" applyProtection="1">
      <alignment vertical="center" wrapText="1"/>
    </xf>
    <xf numFmtId="0" fontId="52" fillId="6" borderId="66" xfId="0" applyFont="1" applyFill="1" applyBorder="1" applyAlignment="1" applyProtection="1">
      <alignment horizontal="left" vertical="center" wrapText="1"/>
    </xf>
    <xf numFmtId="0" fontId="52" fillId="0" borderId="32" xfId="0" applyFont="1" applyBorder="1" applyAlignment="1" applyProtection="1">
      <alignment vertical="center" wrapText="1"/>
      <protection locked="0"/>
    </xf>
    <xf numFmtId="0" fontId="52" fillId="6" borderId="32" xfId="0" applyFont="1" applyFill="1" applyBorder="1" applyAlignment="1" applyProtection="1">
      <alignment vertical="center"/>
    </xf>
    <xf numFmtId="0" fontId="52" fillId="6" borderId="52" xfId="0" applyFont="1" applyFill="1" applyBorder="1" applyAlignment="1" applyProtection="1">
      <alignment vertical="center" wrapText="1"/>
    </xf>
    <xf numFmtId="0" fontId="52" fillId="6" borderId="68" xfId="0" applyFont="1" applyFill="1" applyBorder="1" applyAlignment="1" applyProtection="1">
      <alignment vertical="center" wrapText="1"/>
    </xf>
    <xf numFmtId="0" fontId="53" fillId="6" borderId="40" xfId="0" applyFont="1" applyFill="1" applyBorder="1" applyAlignment="1" applyProtection="1">
      <alignment vertical="center" wrapText="1"/>
    </xf>
    <xf numFmtId="0" fontId="53" fillId="6" borderId="39" xfId="0" applyFont="1" applyFill="1" applyBorder="1" applyAlignment="1" applyProtection="1">
      <alignment horizontal="left" vertical="center" wrapText="1"/>
    </xf>
    <xf numFmtId="0" fontId="52" fillId="6" borderId="20" xfId="0" applyFont="1" applyFill="1" applyBorder="1" applyAlignment="1" applyProtection="1">
      <alignment vertical="center"/>
    </xf>
    <xf numFmtId="0" fontId="52" fillId="6" borderId="30" xfId="0" applyFont="1" applyFill="1" applyBorder="1" applyAlignment="1" applyProtection="1">
      <alignment vertical="center"/>
    </xf>
    <xf numFmtId="0" fontId="53" fillId="6" borderId="7" xfId="0" applyFont="1" applyFill="1" applyBorder="1" applyAlignment="1" applyProtection="1">
      <alignment vertical="center" wrapText="1"/>
    </xf>
    <xf numFmtId="0" fontId="49" fillId="6" borderId="2" xfId="0" applyFont="1" applyFill="1" applyBorder="1" applyAlignment="1" applyProtection="1">
      <alignment horizontal="center" vertical="center" wrapText="1"/>
    </xf>
    <xf numFmtId="0" fontId="98" fillId="6" borderId="7"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wrapText="1"/>
    </xf>
    <xf numFmtId="0" fontId="53" fillId="6" borderId="14" xfId="0" applyFont="1" applyFill="1" applyBorder="1" applyAlignment="1" applyProtection="1">
      <alignment vertical="center" wrapText="1"/>
    </xf>
    <xf numFmtId="0" fontId="52" fillId="6" borderId="16" xfId="0" applyFont="1" applyFill="1" applyBorder="1" applyAlignment="1" applyProtection="1">
      <alignment vertical="center"/>
      <protection locked="0"/>
    </xf>
    <xf numFmtId="0" fontId="52" fillId="6" borderId="31" xfId="0" applyFont="1" applyFill="1" applyBorder="1" applyAlignment="1" applyProtection="1">
      <alignment vertical="center" wrapText="1"/>
      <protection locked="0"/>
    </xf>
    <xf numFmtId="9" fontId="52" fillId="6" borderId="24" xfId="0" applyNumberFormat="1" applyFont="1" applyFill="1" applyBorder="1" applyAlignment="1" applyProtection="1">
      <alignment horizontal="center" vertical="center"/>
    </xf>
    <xf numFmtId="0" fontId="98" fillId="6" borderId="66" xfId="0" applyFont="1" applyFill="1" applyBorder="1" applyAlignment="1" applyProtection="1">
      <alignment horizontal="center" vertical="center" wrapText="1"/>
    </xf>
    <xf numFmtId="0" fontId="52" fillId="6" borderId="43"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9" fontId="52" fillId="6" borderId="49" xfId="0" applyNumberFormat="1" applyFont="1" applyFill="1" applyBorder="1" applyAlignment="1" applyProtection="1">
      <alignment horizontal="center" vertical="center" wrapText="1"/>
    </xf>
    <xf numFmtId="0" fontId="52" fillId="7" borderId="0" xfId="0" applyFont="1" applyFill="1" applyAlignment="1" applyProtection="1">
      <alignment horizontal="left" vertical="center" wrapText="1"/>
      <protection locked="0"/>
    </xf>
    <xf numFmtId="0" fontId="108" fillId="6" borderId="0" xfId="0" applyFont="1" applyFill="1" applyProtection="1">
      <alignment vertical="center"/>
    </xf>
    <xf numFmtId="187" fontId="97"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7" fontId="202" fillId="6" borderId="19" xfId="0" applyNumberFormat="1" applyFont="1" applyFill="1" applyBorder="1" applyAlignment="1" applyProtection="1">
      <alignment horizontal="center" vertical="center" wrapText="1"/>
    </xf>
    <xf numFmtId="0" fontId="97"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8"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8" fillId="6" borderId="1" xfId="0" applyNumberFormat="1" applyFont="1" applyFill="1" applyBorder="1" applyAlignment="1" applyProtection="1">
      <alignment horizontal="center" vertical="center" wrapText="1"/>
    </xf>
    <xf numFmtId="0" fontId="98"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8" fillId="6" borderId="37" xfId="0" applyFont="1" applyFill="1" applyBorder="1" applyAlignment="1" applyProtection="1">
      <alignment horizontal="center" vertical="center" wrapText="1"/>
    </xf>
    <xf numFmtId="0" fontId="98" fillId="6" borderId="25" xfId="0" applyFont="1" applyFill="1" applyBorder="1" applyAlignment="1" applyProtection="1">
      <alignment horizontal="center" vertical="center" wrapText="1"/>
    </xf>
    <xf numFmtId="49" fontId="98" fillId="6" borderId="74" xfId="0" applyNumberFormat="1" applyFont="1" applyFill="1" applyBorder="1" applyAlignment="1" applyProtection="1">
      <alignment horizontal="center" vertical="center" wrapText="1"/>
    </xf>
    <xf numFmtId="49" fontId="98" fillId="6" borderId="32" xfId="0" applyNumberFormat="1"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8" fillId="6" borderId="32" xfId="0" applyNumberFormat="1" applyFont="1" applyFill="1" applyBorder="1" applyAlignment="1" applyProtection="1">
      <alignment horizontal="center" vertical="center" wrapText="1"/>
    </xf>
    <xf numFmtId="0" fontId="52" fillId="0" borderId="0" xfId="0" applyFont="1" applyAlignment="1" applyProtection="1">
      <alignment horizontal="left" vertical="center" wrapText="1"/>
    </xf>
    <xf numFmtId="0" fontId="123" fillId="6" borderId="1" xfId="0" applyFont="1" applyFill="1" applyBorder="1">
      <alignment vertical="center"/>
    </xf>
    <xf numFmtId="0" fontId="97" fillId="6" borderId="1" xfId="0" applyFont="1" applyFill="1" applyBorder="1">
      <alignment vertical="center"/>
    </xf>
    <xf numFmtId="0" fontId="97" fillId="6" borderId="0" xfId="0" applyFont="1" applyFill="1">
      <alignment vertical="center"/>
    </xf>
    <xf numFmtId="0" fontId="51" fillId="6" borderId="95" xfId="0" applyNumberFormat="1" applyFont="1" applyFill="1" applyBorder="1" applyAlignment="1" applyProtection="1">
      <alignment horizontal="center" vertical="center" wrapText="1"/>
    </xf>
    <xf numFmtId="0" fontId="46" fillId="10" borderId="16" xfId="0" applyNumberFormat="1" applyFont="1" applyFill="1" applyBorder="1" applyAlignment="1" applyProtection="1">
      <alignment horizontal="center" vertical="center" wrapText="1"/>
    </xf>
    <xf numFmtId="0" fontId="51" fillId="6" borderId="16" xfId="0" applyFont="1" applyFill="1" applyBorder="1" applyAlignment="1" applyProtection="1">
      <alignment horizontal="left" vertical="center"/>
      <protection locked="0"/>
    </xf>
    <xf numFmtId="0" fontId="53" fillId="5" borderId="38" xfId="1" applyFont="1" applyFill="1" applyBorder="1" applyAlignment="1" applyProtection="1">
      <alignment vertical="center"/>
      <protection locked="0"/>
    </xf>
    <xf numFmtId="0" fontId="56" fillId="5" borderId="49" xfId="1" applyFont="1" applyFill="1" applyBorder="1" applyAlignment="1" applyProtection="1">
      <alignment vertical="center"/>
      <protection locked="0"/>
    </xf>
    <xf numFmtId="182" fontId="98"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2" fillId="6" borderId="33" xfId="0" applyFont="1" applyFill="1" applyBorder="1" applyAlignment="1" applyProtection="1">
      <alignment horizontal="center" vertical="center" wrapText="1"/>
    </xf>
    <xf numFmtId="0" fontId="52" fillId="5" borderId="32" xfId="0" applyFont="1" applyFill="1" applyBorder="1" applyAlignment="1" applyProtection="1">
      <alignment horizontal="right" vertical="center" wrapText="1"/>
      <protection locked="0"/>
    </xf>
    <xf numFmtId="0" fontId="52" fillId="6" borderId="66" xfId="0" applyFont="1" applyFill="1" applyBorder="1" applyAlignment="1" applyProtection="1">
      <alignment horizontal="center" vertical="center" wrapText="1"/>
    </xf>
    <xf numFmtId="49" fontId="49" fillId="6" borderId="12" xfId="0" applyNumberFormat="1" applyFont="1" applyFill="1" applyBorder="1" applyAlignment="1" applyProtection="1">
      <alignment horizontal="left" vertical="center" wrapText="1"/>
    </xf>
    <xf numFmtId="0" fontId="49" fillId="6" borderId="74" xfId="0" applyFont="1" applyFill="1" applyBorder="1" applyAlignment="1" applyProtection="1">
      <alignment horizontal="left" vertical="center" wrapText="1"/>
    </xf>
    <xf numFmtId="0" fontId="49" fillId="6" borderId="75" xfId="0" applyFont="1" applyFill="1" applyBorder="1" applyAlignment="1" applyProtection="1">
      <alignment horizontal="center" vertical="center" wrapText="1"/>
    </xf>
    <xf numFmtId="0" fontId="52" fillId="6" borderId="75" xfId="0" applyFont="1" applyFill="1" applyBorder="1" applyAlignment="1" applyProtection="1">
      <alignment vertical="center"/>
    </xf>
    <xf numFmtId="0" fontId="49" fillId="6" borderId="47" xfId="0" applyFont="1" applyFill="1" applyBorder="1" applyAlignment="1" applyProtection="1">
      <alignment horizontal="center" vertical="center" wrapText="1"/>
    </xf>
    <xf numFmtId="0" fontId="50" fillId="6" borderId="43" xfId="0" applyFont="1" applyFill="1" applyBorder="1" applyAlignment="1" applyProtection="1">
      <alignment vertical="center" wrapText="1"/>
    </xf>
    <xf numFmtId="0" fontId="52" fillId="6" borderId="32" xfId="0" applyFont="1" applyFill="1" applyBorder="1" applyAlignment="1" applyProtection="1">
      <alignment horizontal="left" vertical="center"/>
    </xf>
    <xf numFmtId="0" fontId="52" fillId="6" borderId="74" xfId="0" applyFont="1" applyFill="1" applyBorder="1" applyAlignment="1" applyProtection="1">
      <alignment horizontal="center" vertical="center" wrapText="1"/>
    </xf>
    <xf numFmtId="0" fontId="52" fillId="6" borderId="75" xfId="0" applyFont="1" applyFill="1" applyBorder="1" applyAlignment="1" applyProtection="1">
      <alignment horizontal="center" vertical="center" wrapText="1"/>
    </xf>
    <xf numFmtId="0" fontId="52" fillId="6" borderId="76" xfId="0" applyFont="1" applyFill="1" applyBorder="1" applyAlignment="1" applyProtection="1">
      <alignment horizontal="center" vertical="center" wrapText="1"/>
    </xf>
    <xf numFmtId="0" fontId="52"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1" fillId="0" borderId="0" xfId="9" applyFont="1" applyAlignment="1">
      <alignment horizontal="left" vertical="center"/>
    </xf>
    <xf numFmtId="0" fontId="101" fillId="0" borderId="119" xfId="9" applyFont="1" applyBorder="1" applyAlignment="1">
      <alignment horizontal="left" vertical="center"/>
    </xf>
    <xf numFmtId="0" fontId="96"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1" fillId="0" borderId="120" xfId="9" applyFont="1" applyBorder="1" applyAlignment="1">
      <alignment horizontal="left" vertical="center"/>
    </xf>
    <xf numFmtId="0" fontId="137" fillId="15" borderId="0" xfId="9" applyFont="1" applyFill="1" applyAlignment="1">
      <alignment horizontal="left" vertical="center"/>
    </xf>
    <xf numFmtId="0" fontId="97"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1" fillId="15" borderId="121" xfId="9" applyFont="1" applyFill="1" applyBorder="1" applyAlignment="1">
      <alignment horizontal="left" vertical="center"/>
    </xf>
    <xf numFmtId="0" fontId="101"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1" fillId="15" borderId="0" xfId="9" applyFont="1" applyFill="1" applyAlignment="1">
      <alignment horizontal="left" vertical="center"/>
    </xf>
    <xf numFmtId="0" fontId="135" fillId="15" borderId="0" xfId="9" applyFont="1" applyFill="1" applyAlignment="1">
      <alignment horizontal="left" vertical="center"/>
    </xf>
    <xf numFmtId="0" fontId="98" fillId="15" borderId="0" xfId="9" applyFont="1" applyFill="1" applyAlignment="1">
      <alignment horizontal="left" vertical="center"/>
    </xf>
    <xf numFmtId="10" fontId="98" fillId="15" borderId="0" xfId="9" applyNumberFormat="1" applyFont="1" applyFill="1" applyAlignment="1">
      <alignment horizontal="left" vertical="center"/>
    </xf>
    <xf numFmtId="0" fontId="101" fillId="0" borderId="0" xfId="9" applyFont="1" applyFill="1" applyAlignment="1">
      <alignment horizontal="left" vertical="center"/>
    </xf>
    <xf numFmtId="0" fontId="97"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1" fillId="0" borderId="121" xfId="9" applyFont="1" applyFill="1" applyBorder="1" applyAlignment="1">
      <alignment horizontal="left" vertical="center"/>
    </xf>
    <xf numFmtId="0" fontId="101" fillId="0" borderId="0" xfId="9" applyFont="1" applyFill="1" applyBorder="1" applyAlignment="1">
      <alignment horizontal="left" vertical="center"/>
    </xf>
    <xf numFmtId="0" fontId="101" fillId="0" borderId="0" xfId="9" applyFont="1" applyFill="1" applyBorder="1" applyAlignment="1" applyProtection="1">
      <alignment horizontal="left" vertical="center"/>
      <protection locked="0"/>
    </xf>
    <xf numFmtId="0" fontId="98" fillId="0" borderId="0" xfId="9" applyFont="1" applyAlignment="1">
      <alignment horizontal="left" vertical="center"/>
    </xf>
    <xf numFmtId="10" fontId="98" fillId="0" borderId="0" xfId="9" applyNumberFormat="1" applyFont="1" applyAlignment="1">
      <alignment horizontal="left" vertical="center"/>
    </xf>
    <xf numFmtId="49" fontId="52" fillId="13" borderId="1" xfId="9" applyNumberFormat="1" applyFont="1" applyFill="1" applyBorder="1" applyAlignment="1" applyProtection="1">
      <alignment horizontal="left" vertical="center" wrapText="1"/>
    </xf>
    <xf numFmtId="186"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1"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1" fillId="13" borderId="121" xfId="9" applyFont="1" applyFill="1" applyBorder="1" applyAlignment="1">
      <alignment horizontal="left" vertical="center"/>
    </xf>
    <xf numFmtId="0" fontId="112" fillId="5" borderId="0" xfId="9" applyFont="1" applyFill="1" applyAlignment="1">
      <alignment horizontal="left" vertical="center"/>
    </xf>
    <xf numFmtId="0" fontId="98" fillId="13" borderId="0" xfId="9" applyFont="1" applyFill="1" applyAlignment="1">
      <alignment horizontal="left" vertical="center"/>
    </xf>
    <xf numFmtId="10" fontId="98" fillId="13" borderId="0" xfId="9" applyNumberFormat="1" applyFont="1" applyFill="1" applyAlignment="1">
      <alignment horizontal="left" vertical="center"/>
    </xf>
    <xf numFmtId="49" fontId="52" fillId="6" borderId="1" xfId="9" applyNumberFormat="1" applyFont="1" applyFill="1" applyBorder="1" applyAlignment="1" applyProtection="1">
      <alignment horizontal="left" vertical="center" wrapText="1"/>
    </xf>
    <xf numFmtId="186" fontId="98"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8" fillId="0" borderId="121" xfId="9" applyNumberFormat="1" applyFont="1" applyBorder="1" applyAlignment="1">
      <alignment horizontal="left" vertical="center"/>
    </xf>
    <xf numFmtId="178" fontId="98" fillId="0" borderId="0" xfId="9" applyNumberFormat="1" applyFont="1" applyAlignment="1">
      <alignment horizontal="left" vertical="center"/>
    </xf>
    <xf numFmtId="0" fontId="98" fillId="0" borderId="0" xfId="9" applyFont="1" applyFill="1" applyAlignment="1">
      <alignment horizontal="left" vertical="center"/>
    </xf>
    <xf numFmtId="10" fontId="98"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6" fontId="101" fillId="11" borderId="123" xfId="9" applyNumberFormat="1" applyFont="1" applyFill="1" applyBorder="1" applyAlignment="1" applyProtection="1">
      <alignment horizontal="left" vertical="center" wrapText="1"/>
    </xf>
    <xf numFmtId="186" fontId="101"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6" fontId="101" fillId="11" borderId="123" xfId="9" applyNumberFormat="1" applyFont="1" applyFill="1" applyBorder="1" applyAlignment="1">
      <alignment horizontal="left" vertical="center" wrapText="1"/>
    </xf>
    <xf numFmtId="186" fontId="101" fillId="11" borderId="129" xfId="9" applyNumberFormat="1" applyFont="1" applyFill="1" applyBorder="1" applyAlignment="1">
      <alignment horizontal="left" vertical="center" wrapText="1"/>
    </xf>
    <xf numFmtId="182" fontId="98" fillId="0" borderId="121" xfId="9" applyNumberFormat="1" applyFont="1" applyBorder="1" applyAlignment="1">
      <alignment horizontal="left" vertical="center"/>
    </xf>
    <xf numFmtId="182" fontId="98" fillId="0" borderId="0" xfId="9" applyNumberFormat="1" applyFont="1" applyAlignment="1">
      <alignment horizontal="left" vertical="center"/>
    </xf>
    <xf numFmtId="10" fontId="98" fillId="0" borderId="128" xfId="9" applyNumberFormat="1" applyFont="1" applyBorder="1" applyAlignment="1">
      <alignment horizontal="left" vertical="center"/>
    </xf>
    <xf numFmtId="10" fontId="98"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8" fillId="0" borderId="134" xfId="9" applyNumberFormat="1" applyFont="1" applyBorder="1" applyAlignment="1">
      <alignment horizontal="left" vertical="center"/>
    </xf>
    <xf numFmtId="10" fontId="98" fillId="0" borderId="36" xfId="9" applyNumberFormat="1" applyFont="1" applyBorder="1" applyAlignment="1">
      <alignment horizontal="left" vertical="center"/>
    </xf>
    <xf numFmtId="0" fontId="98"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8" fillId="0" borderId="0" xfId="9" applyNumberFormat="1" applyFont="1" applyBorder="1" applyAlignment="1">
      <alignment horizontal="left" vertical="center"/>
    </xf>
    <xf numFmtId="186" fontId="101" fillId="11" borderId="126" xfId="9" applyNumberFormat="1" applyFont="1" applyFill="1" applyBorder="1" applyAlignment="1">
      <alignment horizontal="left" vertical="center" wrapText="1"/>
    </xf>
    <xf numFmtId="186" fontId="101" fillId="11" borderId="135" xfId="9" applyNumberFormat="1" applyFont="1" applyFill="1" applyBorder="1" applyAlignment="1">
      <alignment horizontal="left" vertical="center" wrapText="1"/>
    </xf>
    <xf numFmtId="0" fontId="98" fillId="12" borderId="123" xfId="9" applyFont="1" applyFill="1" applyBorder="1" applyAlignment="1" applyProtection="1">
      <alignment horizontal="left" vertical="center" wrapText="1"/>
    </xf>
    <xf numFmtId="0" fontId="98" fillId="12" borderId="124" xfId="9" applyFont="1" applyFill="1" applyBorder="1" applyAlignment="1" applyProtection="1">
      <alignment horizontal="left" vertical="center" wrapText="1"/>
    </xf>
    <xf numFmtId="49" fontId="52" fillId="5" borderId="1" xfId="9" applyNumberFormat="1" applyFont="1" applyFill="1" applyBorder="1" applyAlignment="1" applyProtection="1">
      <alignment horizontal="left" vertical="center" wrapText="1"/>
    </xf>
    <xf numFmtId="186" fontId="98" fillId="5" borderId="0" xfId="9" applyNumberFormat="1" applyFont="1" applyFill="1" applyAlignment="1">
      <alignment horizontal="left" vertical="center"/>
    </xf>
    <xf numFmtId="0" fontId="98" fillId="5" borderId="126" xfId="9" applyFont="1" applyFill="1" applyBorder="1" applyAlignment="1" applyProtection="1">
      <alignment horizontal="left" vertical="center" wrapText="1"/>
    </xf>
    <xf numFmtId="0" fontId="98" fillId="5" borderId="130" xfId="9" applyFont="1" applyFill="1" applyBorder="1" applyAlignment="1" applyProtection="1">
      <alignment horizontal="left" vertical="center" wrapText="1"/>
    </xf>
    <xf numFmtId="0" fontId="98" fillId="5" borderId="0" xfId="9" applyFont="1" applyFill="1" applyAlignment="1">
      <alignment horizontal="left" vertical="center"/>
    </xf>
    <xf numFmtId="10" fontId="98" fillId="5" borderId="121" xfId="9" applyNumberFormat="1" applyFont="1" applyFill="1" applyBorder="1" applyAlignment="1">
      <alignment horizontal="left" vertical="center"/>
    </xf>
    <xf numFmtId="10" fontId="98" fillId="5" borderId="0" xfId="9" applyNumberFormat="1" applyFont="1" applyFill="1" applyAlignment="1">
      <alignment horizontal="left" vertical="center"/>
    </xf>
    <xf numFmtId="178" fontId="98" fillId="5" borderId="0" xfId="9" applyNumberFormat="1" applyFont="1" applyFill="1" applyAlignment="1">
      <alignment horizontal="left" vertical="center"/>
    </xf>
    <xf numFmtId="10" fontId="98" fillId="5" borderId="128" xfId="9" applyNumberFormat="1" applyFont="1" applyFill="1" applyBorder="1" applyAlignment="1">
      <alignment horizontal="left" vertical="center"/>
    </xf>
    <xf numFmtId="10" fontId="98"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8" fillId="5" borderId="0" xfId="9" applyNumberFormat="1" applyFont="1" applyFill="1" applyAlignment="1">
      <alignment horizontal="left" vertical="center"/>
    </xf>
    <xf numFmtId="0" fontId="98" fillId="11" borderId="132" xfId="9" applyFont="1" applyFill="1" applyBorder="1" applyAlignment="1" applyProtection="1">
      <alignment horizontal="left" vertical="center" wrapText="1"/>
    </xf>
    <xf numFmtId="0" fontId="98" fillId="11" borderId="133" xfId="9" applyFont="1" applyFill="1" applyBorder="1" applyAlignment="1" applyProtection="1">
      <alignment horizontal="left" vertical="center" wrapText="1"/>
    </xf>
    <xf numFmtId="14" fontId="98" fillId="0" borderId="0" xfId="9" applyNumberFormat="1" applyFont="1" applyAlignment="1">
      <alignment horizontal="left" vertical="center"/>
    </xf>
    <xf numFmtId="0" fontId="121" fillId="0" borderId="0" xfId="9" applyFont="1" applyAlignment="1">
      <alignment horizontal="left" vertical="center"/>
    </xf>
    <xf numFmtId="0" fontId="98" fillId="0" borderId="0" xfId="9" applyNumberFormat="1" applyFont="1" applyAlignment="1">
      <alignment horizontal="left" vertical="center"/>
    </xf>
    <xf numFmtId="186" fontId="101" fillId="11" borderId="132" xfId="9" applyNumberFormat="1" applyFont="1" applyFill="1" applyBorder="1" applyAlignment="1">
      <alignment horizontal="left" vertical="center" wrapText="1"/>
    </xf>
    <xf numFmtId="186" fontId="101" fillId="11" borderId="136" xfId="9" applyNumberFormat="1" applyFont="1" applyFill="1" applyBorder="1" applyAlignment="1">
      <alignment horizontal="left" vertical="center" wrapText="1"/>
    </xf>
    <xf numFmtId="186" fontId="98" fillId="13" borderId="0" xfId="9" applyNumberFormat="1" applyFont="1" applyFill="1" applyAlignment="1">
      <alignment horizontal="left" vertical="center"/>
    </xf>
    <xf numFmtId="186" fontId="98"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8" fillId="0" borderId="47" xfId="9" applyFont="1" applyBorder="1" applyAlignment="1">
      <alignment horizontal="left" vertical="center"/>
    </xf>
    <xf numFmtId="10" fontId="98" fillId="0" borderId="139" xfId="9" applyNumberFormat="1" applyFont="1" applyBorder="1" applyAlignment="1">
      <alignment horizontal="left" vertical="center"/>
    </xf>
    <xf numFmtId="10" fontId="98" fillId="0" borderId="47" xfId="9" applyNumberFormat="1" applyFont="1" applyBorder="1" applyAlignment="1">
      <alignment horizontal="left" vertical="center"/>
    </xf>
    <xf numFmtId="178" fontId="98"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8" fillId="14" borderId="121" xfId="9" applyNumberFormat="1" applyFont="1" applyFill="1" applyBorder="1" applyAlignment="1">
      <alignment horizontal="left" vertical="center"/>
    </xf>
    <xf numFmtId="10" fontId="98" fillId="14" borderId="0" xfId="9" applyNumberFormat="1" applyFont="1" applyFill="1" applyAlignment="1">
      <alignment horizontal="left" vertical="center"/>
    </xf>
    <xf numFmtId="179" fontId="98" fillId="0" borderId="0" xfId="9" applyNumberFormat="1" applyFont="1" applyAlignment="1">
      <alignment horizontal="left" vertical="center"/>
    </xf>
    <xf numFmtId="10" fontId="98" fillId="14" borderId="128" xfId="9" applyNumberFormat="1" applyFont="1" applyFill="1" applyBorder="1" applyAlignment="1">
      <alignment horizontal="left" vertical="center"/>
    </xf>
    <xf numFmtId="10" fontId="98" fillId="14" borderId="60" xfId="9" applyNumberFormat="1" applyFont="1" applyFill="1" applyBorder="1" applyAlignment="1">
      <alignment horizontal="left" vertical="center"/>
    </xf>
    <xf numFmtId="10" fontId="98" fillId="14" borderId="139" xfId="9" applyNumberFormat="1" applyFont="1" applyFill="1" applyBorder="1" applyAlignment="1">
      <alignment horizontal="left" vertical="center"/>
    </xf>
    <xf numFmtId="10" fontId="98" fillId="14" borderId="47" xfId="9" applyNumberFormat="1" applyFont="1" applyFill="1" applyBorder="1" applyAlignment="1">
      <alignment horizontal="left" vertical="center"/>
    </xf>
    <xf numFmtId="179" fontId="98" fillId="0" borderId="47" xfId="9" applyNumberFormat="1" applyFont="1" applyBorder="1" applyAlignment="1">
      <alignment horizontal="left" vertical="center"/>
    </xf>
    <xf numFmtId="0" fontId="101" fillId="12" borderId="142" xfId="9" applyFont="1" applyFill="1" applyBorder="1" applyAlignment="1">
      <alignment horizontal="left" vertical="center" wrapText="1"/>
    </xf>
    <xf numFmtId="0" fontId="101" fillId="12" borderId="143" xfId="9" applyFont="1" applyFill="1" applyBorder="1" applyAlignment="1">
      <alignment horizontal="left" vertical="center" wrapText="1"/>
    </xf>
    <xf numFmtId="181" fontId="98" fillId="0" borderId="0" xfId="9" applyNumberFormat="1" applyFont="1" applyAlignment="1">
      <alignment horizontal="left" vertical="center"/>
    </xf>
    <xf numFmtId="181" fontId="98" fillId="0" borderId="121" xfId="9" applyNumberFormat="1" applyFont="1" applyBorder="1" applyAlignment="1">
      <alignment horizontal="left" vertical="center"/>
    </xf>
    <xf numFmtId="178" fontId="98"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1" fillId="11" borderId="132" xfId="9" applyFont="1" applyFill="1" applyBorder="1" applyAlignment="1">
      <alignment horizontal="left" vertical="center" wrapText="1"/>
    </xf>
    <xf numFmtId="0" fontId="101"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1" fontId="98" fillId="5" borderId="0" xfId="9" applyNumberFormat="1" applyFont="1" applyFill="1" applyAlignment="1">
      <alignment horizontal="left" vertical="center"/>
    </xf>
    <xf numFmtId="0" fontId="98" fillId="5" borderId="121" xfId="9" applyFont="1" applyFill="1" applyBorder="1" applyAlignment="1">
      <alignment horizontal="left" vertical="center"/>
    </xf>
    <xf numFmtId="179" fontId="98" fillId="5" borderId="0" xfId="9" applyNumberFormat="1" applyFont="1" applyFill="1" applyAlignment="1">
      <alignment horizontal="left" vertical="center"/>
    </xf>
    <xf numFmtId="0" fontId="101" fillId="11" borderId="144" xfId="9" applyFont="1" applyFill="1" applyBorder="1" applyAlignment="1">
      <alignment horizontal="left" vertical="center" wrapText="1"/>
    </xf>
    <xf numFmtId="0" fontId="101" fillId="11" borderId="145" xfId="9" applyFont="1" applyFill="1" applyBorder="1" applyAlignment="1">
      <alignment horizontal="left" vertical="center" wrapText="1"/>
    </xf>
    <xf numFmtId="0" fontId="101"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1" fontId="112" fillId="0" borderId="0" xfId="9" applyNumberFormat="1" applyFont="1" applyAlignment="1">
      <alignment horizontal="left" vertical="center"/>
    </xf>
    <xf numFmtId="181"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0"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0" fillId="7" borderId="154" xfId="0" applyFont="1" applyFill="1" applyBorder="1" applyAlignment="1" applyProtection="1">
      <protection locked="0"/>
    </xf>
    <xf numFmtId="0" fontId="100" fillId="7" borderId="154" xfId="0" applyFont="1" applyFill="1" applyBorder="1" applyAlignment="1" applyProtection="1"/>
    <xf numFmtId="0" fontId="100" fillId="0" borderId="154" xfId="0" applyFont="1" applyFill="1" applyBorder="1" applyAlignment="1" applyProtection="1"/>
    <xf numFmtId="0" fontId="76" fillId="18" borderId="0" xfId="0" applyFont="1" applyFill="1" applyAlignment="1" applyProtection="1">
      <alignment horizontal="left" vertical="center"/>
    </xf>
    <xf numFmtId="10" fontId="46" fillId="18" borderId="0" xfId="0" applyNumberFormat="1" applyFont="1" applyFill="1" applyAlignment="1" applyProtection="1">
      <alignment horizontal="left" vertical="center"/>
    </xf>
    <xf numFmtId="0" fontId="46" fillId="18" borderId="0" xfId="0" applyFont="1" applyFill="1" applyAlignment="1" applyProtection="1">
      <alignment horizontal="left" vertical="center"/>
    </xf>
    <xf numFmtId="0" fontId="76" fillId="18" borderId="0" xfId="0" applyFont="1" applyFill="1" applyProtection="1">
      <alignment vertical="center"/>
    </xf>
    <xf numFmtId="0" fontId="76" fillId="18" borderId="3" xfId="0" applyFont="1" applyFill="1" applyBorder="1" applyAlignment="1" applyProtection="1">
      <alignment horizontal="left" vertical="center" wrapText="1"/>
      <protection locked="0"/>
    </xf>
    <xf numFmtId="182" fontId="46" fillId="18" borderId="48" xfId="0" applyNumberFormat="1" applyFont="1" applyFill="1" applyBorder="1" applyAlignment="1" applyProtection="1">
      <alignment horizontal="center" vertical="center" wrapText="1"/>
    </xf>
    <xf numFmtId="0" fontId="46" fillId="18" borderId="1" xfId="0" applyFont="1" applyFill="1" applyBorder="1" applyAlignment="1" applyProtection="1">
      <alignment horizontal="center" vertical="center"/>
    </xf>
    <xf numFmtId="0" fontId="53" fillId="18" borderId="68" xfId="0" applyNumberFormat="1" applyFont="1" applyFill="1" applyBorder="1" applyAlignment="1" applyProtection="1">
      <alignment horizontal="left" vertical="center" wrapText="1"/>
      <protection locked="0"/>
    </xf>
    <xf numFmtId="182" fontId="49" fillId="18" borderId="68" xfId="0" applyNumberFormat="1" applyFont="1" applyFill="1" applyBorder="1" applyAlignment="1" applyProtection="1">
      <alignment horizontal="left" vertical="center" wrapText="1"/>
      <protection locked="0"/>
    </xf>
    <xf numFmtId="177" fontId="50" fillId="18" borderId="48" xfId="0" applyNumberFormat="1" applyFont="1" applyFill="1" applyBorder="1" applyAlignment="1" applyProtection="1">
      <alignment horizontal="left" vertical="center" wrapText="1"/>
    </xf>
    <xf numFmtId="177" fontId="50" fillId="6" borderId="48"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xf>
    <xf numFmtId="0" fontId="46" fillId="6" borderId="5" xfId="0" applyFont="1" applyFill="1" applyBorder="1" applyAlignment="1" applyProtection="1">
      <alignment horizontal="left" vertical="center"/>
    </xf>
    <xf numFmtId="0" fontId="45" fillId="6" borderId="21" xfId="0" applyFont="1" applyFill="1" applyBorder="1" applyAlignment="1" applyProtection="1">
      <alignment horizontal="center" vertical="center"/>
    </xf>
    <xf numFmtId="10" fontId="46" fillId="6" borderId="5" xfId="0" applyNumberFormat="1" applyFont="1" applyFill="1" applyBorder="1" applyAlignment="1" applyProtection="1">
      <alignment horizontal="left" vertical="center" wrapText="1"/>
    </xf>
    <xf numFmtId="10" fontId="46" fillId="6" borderId="54" xfId="0" applyNumberFormat="1" applyFont="1" applyFill="1" applyBorder="1" applyAlignment="1" applyProtection="1">
      <alignment horizontal="left" vertical="center" wrapText="1"/>
    </xf>
    <xf numFmtId="10" fontId="46" fillId="6" borderId="48" xfId="0" applyNumberFormat="1" applyFont="1" applyFill="1" applyBorder="1" applyAlignment="1" applyProtection="1">
      <alignment horizontal="left" vertical="center" wrapText="1"/>
    </xf>
    <xf numFmtId="0" fontId="43" fillId="6" borderId="1"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48"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2" fontId="117" fillId="0" borderId="1" xfId="5" applyNumberFormat="1" applyFont="1" applyFill="1" applyBorder="1" applyAlignment="1">
      <alignment horizontal="left" vertical="center"/>
    </xf>
    <xf numFmtId="192"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4"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2"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4"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4"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3" fillId="0" borderId="0" xfId="5" applyFont="1" applyBorder="1" applyAlignment="1">
      <alignment horizontal="left" vertical="center"/>
    </xf>
    <xf numFmtId="0" fontId="46" fillId="6" borderId="26" xfId="0" applyFont="1" applyFill="1" applyBorder="1" applyAlignment="1" applyProtection="1">
      <alignment vertical="center" wrapText="1"/>
    </xf>
    <xf numFmtId="0" fontId="46" fillId="6" borderId="0" xfId="0" applyFont="1" applyFill="1" applyBorder="1" applyAlignment="1" applyProtection="1">
      <alignment vertical="center" wrapText="1"/>
    </xf>
    <xf numFmtId="0" fontId="46"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14" fontId="46" fillId="0" borderId="13" xfId="0" applyNumberFormat="1" applyFont="1" applyFill="1" applyBorder="1" applyAlignment="1" applyProtection="1">
      <alignment horizontal="left" vertical="center"/>
      <protection locked="0"/>
    </xf>
    <xf numFmtId="0" fontId="46" fillId="16" borderId="1" xfId="0" applyFont="1" applyFill="1" applyBorder="1" applyAlignment="1" applyProtection="1">
      <alignment vertical="center" wrapText="1"/>
    </xf>
    <xf numFmtId="14" fontId="46" fillId="5" borderId="78" xfId="0" applyNumberFormat="1" applyFont="1" applyFill="1" applyBorder="1" applyAlignment="1" applyProtection="1">
      <alignment horizontal="center" vertical="center"/>
      <protection locked="0"/>
    </xf>
    <xf numFmtId="0" fontId="46" fillId="6" borderId="78" xfId="0" applyFont="1" applyFill="1" applyBorder="1" applyAlignment="1" applyProtection="1">
      <alignment horizontal="right" vertical="center" shrinkToFit="1"/>
    </xf>
    <xf numFmtId="0" fontId="46" fillId="6" borderId="78" xfId="0" applyNumberFormat="1" applyFont="1" applyFill="1" applyBorder="1" applyAlignment="1" applyProtection="1">
      <alignment horizontal="right" vertical="center" shrinkToFit="1"/>
    </xf>
    <xf numFmtId="0" fontId="46" fillId="6" borderId="58" xfId="0" applyNumberFormat="1" applyFont="1" applyFill="1" applyBorder="1" applyAlignment="1" applyProtection="1">
      <alignment horizontal="left" vertical="center"/>
    </xf>
    <xf numFmtId="0" fontId="46" fillId="6" borderId="4" xfId="0" applyFont="1" applyFill="1" applyBorder="1" applyAlignment="1" applyProtection="1">
      <alignment vertical="center" wrapText="1"/>
    </xf>
    <xf numFmtId="0" fontId="46" fillId="7" borderId="150" xfId="0" applyFont="1" applyFill="1" applyBorder="1" applyAlignment="1" applyProtection="1">
      <alignment vertical="center" wrapText="1"/>
      <protection locked="0"/>
    </xf>
    <xf numFmtId="0" fontId="46" fillId="7" borderId="60" xfId="0" applyFont="1" applyFill="1" applyBorder="1" applyAlignment="1" applyProtection="1">
      <alignment vertical="center" wrapText="1"/>
    </xf>
    <xf numFmtId="0" fontId="46" fillId="7" borderId="7" xfId="0" applyFont="1" applyFill="1" applyBorder="1" applyAlignment="1" applyProtection="1">
      <alignment vertical="center" wrapText="1"/>
    </xf>
    <xf numFmtId="0" fontId="46" fillId="6" borderId="46" xfId="0" applyFont="1" applyFill="1" applyBorder="1" applyAlignment="1" applyProtection="1">
      <alignment vertical="center" wrapText="1"/>
    </xf>
    <xf numFmtId="0" fontId="46" fillId="7" borderId="5" xfId="0" applyFont="1" applyFill="1" applyBorder="1" applyAlignment="1" applyProtection="1">
      <alignment vertical="center"/>
      <protection locked="0"/>
    </xf>
    <xf numFmtId="0" fontId="46" fillId="7" borderId="54" xfId="0" applyFont="1" applyFill="1" applyBorder="1" applyAlignment="1" applyProtection="1">
      <alignment vertical="center" wrapText="1"/>
    </xf>
    <xf numFmtId="0" fontId="46" fillId="7" borderId="22" xfId="0" applyFont="1" applyFill="1" applyBorder="1" applyAlignment="1" applyProtection="1">
      <alignment vertical="center" wrapText="1"/>
    </xf>
    <xf numFmtId="0" fontId="46" fillId="7" borderId="5" xfId="0" applyFont="1" applyFill="1" applyBorder="1" applyAlignment="1" applyProtection="1">
      <alignment vertical="center" wrapText="1"/>
      <protection locked="0"/>
    </xf>
    <xf numFmtId="0" fontId="46" fillId="16" borderId="46" xfId="0" applyFont="1" applyFill="1" applyBorder="1" applyAlignment="1" applyProtection="1">
      <alignment vertical="center" wrapText="1"/>
    </xf>
    <xf numFmtId="0" fontId="46" fillId="5" borderId="5" xfId="0" applyFont="1" applyFill="1" applyBorder="1" applyAlignment="1" applyProtection="1">
      <alignment horizontal="left" vertical="center" wrapText="1"/>
      <protection locked="0"/>
    </xf>
    <xf numFmtId="0" fontId="46" fillId="5" borderId="54" xfId="0" applyFont="1" applyFill="1" applyBorder="1" applyAlignment="1" applyProtection="1">
      <alignment vertical="center" wrapText="1"/>
    </xf>
    <xf numFmtId="0" fontId="46" fillId="5" borderId="13" xfId="0" applyFont="1" applyFill="1" applyBorder="1" applyAlignment="1" applyProtection="1">
      <alignment horizontal="left" vertical="center"/>
      <protection locked="0"/>
    </xf>
    <xf numFmtId="0" fontId="46" fillId="5" borderId="22" xfId="0" applyFont="1" applyFill="1" applyBorder="1" applyAlignment="1" applyProtection="1">
      <alignment vertical="center" wrapText="1"/>
    </xf>
    <xf numFmtId="0" fontId="46" fillId="16" borderId="85" xfId="0" applyFont="1" applyFill="1" applyBorder="1" applyAlignment="1" applyProtection="1">
      <alignment vertical="center" wrapText="1"/>
    </xf>
    <xf numFmtId="0" fontId="46" fillId="5" borderId="85" xfId="0" applyFont="1" applyFill="1" applyBorder="1" applyAlignment="1" applyProtection="1">
      <alignment horizontal="left" vertical="center"/>
      <protection locked="0"/>
    </xf>
    <xf numFmtId="0" fontId="46" fillId="5" borderId="88" xfId="0" applyFont="1" applyFill="1" applyBorder="1" applyAlignment="1" applyProtection="1">
      <alignment vertical="center" wrapText="1"/>
    </xf>
    <xf numFmtId="0" fontId="46" fillId="5" borderId="118" xfId="0" applyFont="1" applyFill="1" applyBorder="1" applyAlignment="1" applyProtection="1">
      <alignment vertical="center" wrapText="1"/>
    </xf>
    <xf numFmtId="0" fontId="46" fillId="16" borderId="2"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protection locked="0"/>
    </xf>
    <xf numFmtId="0" fontId="46" fillId="7" borderId="60" xfId="0" applyFont="1" applyFill="1" applyBorder="1" applyAlignment="1" applyProtection="1">
      <alignment vertical="center" wrapText="1"/>
      <protection locked="0"/>
    </xf>
    <xf numFmtId="49" fontId="46" fillId="6" borderId="2" xfId="0" applyNumberFormat="1" applyFont="1" applyFill="1" applyBorder="1" applyAlignment="1" applyProtection="1">
      <alignment horizontal="left" vertical="center" wrapText="1"/>
    </xf>
    <xf numFmtId="0" fontId="46" fillId="16" borderId="46" xfId="0" applyFont="1" applyFill="1" applyBorder="1" applyAlignment="1" applyProtection="1">
      <alignment horizontal="left" vertical="center"/>
    </xf>
    <xf numFmtId="0" fontId="46" fillId="5" borderId="13" xfId="0" applyFont="1" applyFill="1" applyBorder="1" applyAlignment="1" applyProtection="1">
      <alignment horizontal="center" vertical="center" wrapText="1"/>
      <protection locked="0"/>
    </xf>
    <xf numFmtId="0" fontId="46" fillId="7" borderId="54" xfId="0" applyFont="1" applyFill="1" applyBorder="1" applyAlignment="1" applyProtection="1">
      <alignment vertical="center" wrapText="1"/>
      <protection locked="0"/>
    </xf>
    <xf numFmtId="0" fontId="46" fillId="7" borderId="3" xfId="0" applyFont="1" applyFill="1" applyBorder="1" applyAlignment="1" applyProtection="1">
      <alignment vertical="center" wrapText="1"/>
    </xf>
    <xf numFmtId="49" fontId="46" fillId="16" borderId="13" xfId="0" applyNumberFormat="1" applyFont="1" applyFill="1" applyBorder="1" applyAlignment="1" applyProtection="1">
      <alignment horizontal="left" vertical="center" wrapText="1"/>
    </xf>
    <xf numFmtId="49" fontId="46" fillId="6" borderId="1" xfId="0" applyNumberFormat="1" applyFont="1" applyFill="1" applyBorder="1" applyAlignment="1" applyProtection="1">
      <alignment horizontal="center" vertical="center" wrapText="1"/>
    </xf>
    <xf numFmtId="0" fontId="46" fillId="16" borderId="60" xfId="0" applyFont="1" applyFill="1" applyBorder="1" applyAlignment="1" applyProtection="1">
      <alignment vertical="center" wrapText="1"/>
    </xf>
    <xf numFmtId="178" fontId="46" fillId="5" borderId="1" xfId="1" applyNumberFormat="1" applyFont="1" applyFill="1" applyBorder="1" applyAlignment="1" applyProtection="1">
      <alignment horizontal="center" vertical="center"/>
      <protection locked="0"/>
    </xf>
    <xf numFmtId="0" fontId="46" fillId="6" borderId="60" xfId="0" applyFont="1" applyFill="1" applyBorder="1" applyAlignment="1" applyProtection="1">
      <alignment vertical="center" wrapText="1"/>
    </xf>
    <xf numFmtId="180" fontId="46" fillId="6" borderId="1"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46" fillId="6" borderId="15"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wrapText="1"/>
      <protection locked="0"/>
    </xf>
    <xf numFmtId="0" fontId="46" fillId="6" borderId="78" xfId="0" applyFont="1" applyFill="1" applyBorder="1" applyAlignment="1" applyProtection="1">
      <alignment horizontal="center" vertical="center" wrapText="1"/>
    </xf>
    <xf numFmtId="0" fontId="46" fillId="2" borderId="4" xfId="0" applyFont="1" applyFill="1" applyBorder="1" applyAlignment="1" applyProtection="1">
      <alignment vertical="center"/>
      <protection locked="0"/>
    </xf>
    <xf numFmtId="0" fontId="46" fillId="2" borderId="7" xfId="0" applyFont="1" applyFill="1" applyBorder="1" applyAlignment="1" applyProtection="1">
      <alignment vertical="center" wrapText="1"/>
    </xf>
    <xf numFmtId="0" fontId="46" fillId="2" borderId="7" xfId="0" applyFont="1" applyFill="1" applyBorder="1" applyAlignment="1" applyProtection="1">
      <alignment horizontal="left" vertical="center"/>
      <protection locked="0"/>
    </xf>
    <xf numFmtId="0" fontId="46" fillId="0" borderId="2" xfId="0" applyFont="1" applyBorder="1" applyAlignment="1" applyProtection="1">
      <alignment horizontal="left" vertical="center" wrapText="1"/>
      <protection locked="0"/>
    </xf>
    <xf numFmtId="0" fontId="46" fillId="2" borderId="5" xfId="0" applyFont="1" applyFill="1" applyBorder="1" applyAlignment="1" applyProtection="1">
      <alignment vertical="center"/>
      <protection locked="0"/>
    </xf>
    <xf numFmtId="0" fontId="46" fillId="2" borderId="3" xfId="0" applyFont="1" applyFill="1" applyBorder="1" applyAlignment="1" applyProtection="1">
      <alignment vertical="center"/>
    </xf>
    <xf numFmtId="0" fontId="46" fillId="5" borderId="3"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6" borderId="35" xfId="0" applyFont="1" applyFill="1" applyBorder="1" applyAlignment="1" applyProtection="1">
      <alignment horizontal="left" vertical="center"/>
    </xf>
    <xf numFmtId="0" fontId="46" fillId="5" borderId="22" xfId="0" applyFont="1" applyFill="1" applyBorder="1" applyAlignment="1" applyProtection="1">
      <alignment horizontal="center" vertical="center" wrapText="1"/>
      <protection locked="0"/>
    </xf>
    <xf numFmtId="0" fontId="46" fillId="0" borderId="13" xfId="0" applyFont="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vertical="center" wrapText="1"/>
    </xf>
    <xf numFmtId="0" fontId="46" fillId="6" borderId="13" xfId="0" applyNumberFormat="1" applyFont="1" applyFill="1" applyBorder="1" applyAlignment="1" applyProtection="1">
      <alignment vertical="center" wrapText="1"/>
    </xf>
    <xf numFmtId="0" fontId="46" fillId="6" borderId="58" xfId="0" applyNumberFormat="1" applyFont="1" applyFill="1" applyBorder="1" applyAlignment="1" applyProtection="1">
      <alignment vertical="center" wrapText="1"/>
    </xf>
    <xf numFmtId="0" fontId="46" fillId="5" borderId="1" xfId="0" applyNumberFormat="1" applyFont="1" applyFill="1" applyBorder="1" applyAlignment="1" applyProtection="1">
      <alignment horizontal="center" vertical="center" wrapText="1"/>
      <protection locked="0"/>
    </xf>
    <xf numFmtId="0" fontId="46"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1" fillId="6" borderId="151" xfId="0" applyFont="1" applyFill="1" applyBorder="1" applyAlignment="1" applyProtection="1">
      <alignment vertical="center" wrapText="1"/>
    </xf>
    <xf numFmtId="0" fontId="51" fillId="0" borderId="151" xfId="0" applyFont="1" applyBorder="1" applyAlignment="1" applyProtection="1">
      <alignment vertical="center" wrapText="1"/>
    </xf>
    <xf numFmtId="0" fontId="51" fillId="6" borderId="5" xfId="0" applyFont="1" applyFill="1" applyBorder="1" applyAlignment="1" applyProtection="1">
      <alignment vertical="center"/>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51" fillId="6" borderId="40" xfId="0" applyFont="1" applyFill="1" applyBorder="1" applyAlignment="1" applyProtection="1">
      <alignment vertical="center" wrapText="1"/>
    </xf>
    <xf numFmtId="0" fontId="51" fillId="6" borderId="14" xfId="0" applyFont="1" applyFill="1" applyBorder="1" applyAlignment="1" applyProtection="1">
      <alignment vertical="center" wrapText="1"/>
    </xf>
    <xf numFmtId="0" fontId="51" fillId="6" borderId="12" xfId="0" applyFont="1" applyFill="1" applyBorder="1" applyAlignment="1" applyProtection="1">
      <alignment vertical="center" wrapText="1"/>
    </xf>
    <xf numFmtId="0" fontId="51" fillId="6" borderId="27" xfId="0" applyFont="1" applyFill="1" applyBorder="1" applyAlignment="1" applyProtection="1">
      <alignment vertical="center" wrapText="1"/>
    </xf>
    <xf numFmtId="49" fontId="51" fillId="6" borderId="27" xfId="0" applyNumberFormat="1" applyFont="1" applyFill="1" applyBorder="1" applyAlignment="1" applyProtection="1">
      <alignment vertical="center" wrapText="1"/>
    </xf>
    <xf numFmtId="0" fontId="51" fillId="6" borderId="80" xfId="0" applyFont="1" applyFill="1" applyBorder="1" applyAlignment="1" applyProtection="1">
      <alignment vertical="center" wrapText="1"/>
    </xf>
    <xf numFmtId="49" fontId="51" fillId="6" borderId="80" xfId="0" applyNumberFormat="1" applyFont="1" applyFill="1" applyBorder="1" applyAlignment="1" applyProtection="1">
      <alignment vertical="center" wrapText="1"/>
    </xf>
    <xf numFmtId="49" fontId="51" fillId="6" borderId="81" xfId="0" applyNumberFormat="1" applyFont="1" applyFill="1" applyBorder="1" applyAlignment="1" applyProtection="1">
      <alignment vertical="center" wrapText="1"/>
    </xf>
    <xf numFmtId="0" fontId="51"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1" fillId="6" borderId="63" xfId="0" applyFont="1" applyFill="1" applyBorder="1" applyAlignment="1" applyProtection="1">
      <alignment vertical="center" wrapText="1"/>
    </xf>
    <xf numFmtId="0" fontId="51" fillId="6" borderId="34" xfId="0" applyFont="1" applyFill="1" applyBorder="1" applyAlignment="1" applyProtection="1">
      <alignment vertical="center" wrapText="1"/>
    </xf>
    <xf numFmtId="0" fontId="51" fillId="6" borderId="65" xfId="0" applyFont="1" applyFill="1" applyBorder="1" applyAlignment="1" applyProtection="1">
      <alignment vertical="center"/>
    </xf>
    <xf numFmtId="0" fontId="51" fillId="6" borderId="0" xfId="0" applyFont="1" applyFill="1" applyBorder="1" applyAlignment="1" applyProtection="1">
      <alignment vertical="center" wrapText="1"/>
    </xf>
    <xf numFmtId="0" fontId="46" fillId="6" borderId="64" xfId="0" applyFont="1" applyFill="1" applyBorder="1" applyAlignment="1" applyProtection="1">
      <alignment vertical="center"/>
    </xf>
    <xf numFmtId="0" fontId="46"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6" fillId="6" borderId="0" xfId="0" applyNumberFormat="1" applyFont="1" applyFill="1" applyBorder="1" applyAlignment="1" applyProtection="1">
      <alignment vertical="center" wrapText="1"/>
      <protection locked="0"/>
    </xf>
    <xf numFmtId="0" fontId="46"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6"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6" fillId="6" borderId="0" xfId="0" applyFont="1" applyFill="1" applyBorder="1" applyAlignment="1" applyProtection="1">
      <alignment vertical="center" wrapText="1"/>
      <protection locked="0"/>
    </xf>
    <xf numFmtId="49" fontId="46" fillId="6" borderId="12" xfId="0" applyNumberFormat="1" applyFont="1" applyFill="1" applyBorder="1" applyAlignment="1" applyProtection="1">
      <alignment vertical="center" wrapText="1"/>
    </xf>
    <xf numFmtId="0" fontId="46"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6" fillId="6" borderId="0" xfId="0" applyFont="1" applyFill="1" applyBorder="1" applyAlignment="1" applyProtection="1">
      <alignment vertical="center"/>
      <protection locked="0"/>
    </xf>
    <xf numFmtId="0" fontId="46"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3" fillId="7" borderId="0" xfId="0" applyFont="1" applyFill="1" applyBorder="1" applyAlignment="1" applyProtection="1">
      <alignment vertical="center" wrapText="1"/>
      <protection locked="0"/>
    </xf>
    <xf numFmtId="0" fontId="43" fillId="7" borderId="0" xfId="0" applyNumberFormat="1" applyFont="1" applyFill="1" applyBorder="1" applyAlignment="1" applyProtection="1">
      <alignment vertical="center" wrapText="1"/>
      <protection locked="0"/>
    </xf>
    <xf numFmtId="49" fontId="43" fillId="7" borderId="0" xfId="0" applyNumberFormat="1" applyFont="1" applyFill="1" applyBorder="1" applyAlignment="1" applyProtection="1">
      <alignment vertical="center" wrapText="1"/>
      <protection locked="0"/>
    </xf>
    <xf numFmtId="0" fontId="43" fillId="0" borderId="0" xfId="0" applyFont="1" applyFill="1" applyAlignment="1" applyProtection="1">
      <alignment vertical="center"/>
      <protection locked="0"/>
    </xf>
    <xf numFmtId="0" fontId="51" fillId="6" borderId="0" xfId="0" applyFont="1" applyFill="1" applyBorder="1" applyAlignment="1" applyProtection="1">
      <alignment vertical="center" wrapText="1"/>
      <protection locked="0"/>
    </xf>
    <xf numFmtId="0" fontId="46" fillId="6" borderId="0" xfId="0" applyNumberFormat="1" applyFont="1" applyFill="1" applyBorder="1" applyAlignment="1" applyProtection="1">
      <alignment vertical="center" wrapText="1"/>
      <protection locked="0"/>
    </xf>
    <xf numFmtId="0" fontId="59"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8" fillId="6" borderId="104" xfId="0" applyFont="1" applyFill="1" applyBorder="1" applyAlignment="1" applyProtection="1">
      <alignment vertical="center"/>
    </xf>
    <xf numFmtId="0" fontId="43" fillId="7" borderId="0" xfId="0" applyFont="1" applyFill="1" applyAlignment="1" applyProtection="1">
      <alignment vertical="center" wrapText="1"/>
      <protection locked="0"/>
    </xf>
    <xf numFmtId="0" fontId="43" fillId="7" borderId="0" xfId="0" applyNumberFormat="1" applyFont="1" applyFill="1" applyAlignment="1" applyProtection="1">
      <alignment vertical="center" wrapText="1"/>
      <protection locked="0"/>
    </xf>
    <xf numFmtId="0" fontId="43" fillId="7" borderId="0" xfId="0" applyNumberFormat="1" applyFont="1" applyFill="1" applyAlignment="1" applyProtection="1">
      <alignment vertical="center"/>
      <protection locked="0"/>
    </xf>
    <xf numFmtId="0" fontId="51" fillId="6" borderId="16" xfId="0" applyFont="1" applyFill="1" applyBorder="1" applyAlignment="1" applyProtection="1">
      <alignment vertical="center" wrapText="1"/>
    </xf>
    <xf numFmtId="0" fontId="51" fillId="6" borderId="31" xfId="0" applyFont="1" applyFill="1" applyBorder="1" applyAlignment="1" applyProtection="1">
      <alignment vertical="center" wrapText="1"/>
    </xf>
    <xf numFmtId="0" fontId="51" fillId="6" borderId="82" xfId="0" applyFont="1" applyFill="1" applyBorder="1" applyAlignment="1" applyProtection="1">
      <alignment vertical="center" wrapText="1"/>
    </xf>
    <xf numFmtId="0" fontId="46" fillId="6" borderId="6" xfId="0" applyFont="1" applyFill="1" applyBorder="1" applyAlignment="1" applyProtection="1">
      <alignment vertical="center" wrapText="1"/>
    </xf>
    <xf numFmtId="49" fontId="46" fillId="6" borderId="62" xfId="0" applyNumberFormat="1" applyFont="1" applyFill="1" applyBorder="1" applyAlignment="1" applyProtection="1">
      <alignment vertical="center" wrapText="1"/>
    </xf>
    <xf numFmtId="0" fontId="46" fillId="6" borderId="10" xfId="0" applyNumberFormat="1" applyFont="1" applyFill="1" applyBorder="1" applyAlignment="1" applyProtection="1">
      <alignment vertical="center" wrapText="1"/>
    </xf>
    <xf numFmtId="0" fontId="46" fillId="6" borderId="41" xfId="0" applyFont="1" applyFill="1" applyBorder="1" applyAlignment="1" applyProtection="1">
      <alignment vertical="center" wrapText="1"/>
    </xf>
    <xf numFmtId="49" fontId="46" fillId="6" borderId="24" xfId="0" applyNumberFormat="1" applyFont="1" applyFill="1" applyBorder="1" applyAlignment="1" applyProtection="1">
      <alignment vertical="center" wrapText="1"/>
    </xf>
    <xf numFmtId="0" fontId="46" fillId="6" borderId="23" xfId="0" applyFont="1" applyFill="1" applyBorder="1" applyAlignment="1" applyProtection="1">
      <alignment vertical="center" wrapText="1"/>
    </xf>
    <xf numFmtId="0" fontId="46" fillId="6" borderId="24" xfId="0" applyNumberFormat="1" applyFont="1" applyFill="1" applyBorder="1" applyAlignment="1" applyProtection="1">
      <alignment vertical="center" wrapText="1"/>
    </xf>
    <xf numFmtId="0" fontId="46" fillId="0" borderId="24" xfId="0" applyNumberFormat="1" applyFont="1" applyFill="1" applyBorder="1" applyAlignment="1" applyProtection="1">
      <alignment vertical="center" wrapText="1"/>
      <protection locked="0"/>
    </xf>
    <xf numFmtId="0" fontId="46" fillId="5" borderId="24" xfId="0" applyNumberFormat="1" applyFont="1" applyFill="1" applyBorder="1" applyAlignment="1" applyProtection="1">
      <alignment vertical="center" wrapText="1"/>
      <protection locked="0"/>
    </xf>
    <xf numFmtId="0" fontId="46" fillId="6" borderId="25" xfId="0" applyFont="1" applyFill="1" applyBorder="1" applyAlignment="1" applyProtection="1">
      <alignment vertical="center" wrapText="1"/>
    </xf>
    <xf numFmtId="0" fontId="46" fillId="0" borderId="49" xfId="0" applyNumberFormat="1" applyFont="1" applyFill="1" applyBorder="1" applyAlignment="1" applyProtection="1">
      <alignment vertical="center" wrapText="1"/>
      <protection locked="0"/>
    </xf>
    <xf numFmtId="0" fontId="46" fillId="6" borderId="49" xfId="0" applyNumberFormat="1" applyFont="1" applyFill="1" applyBorder="1" applyAlignment="1" applyProtection="1">
      <alignment vertical="center" wrapText="1"/>
    </xf>
    <xf numFmtId="0" fontId="46" fillId="6" borderId="0" xfId="0" applyNumberFormat="1"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4"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99" fillId="7" borderId="0" xfId="0" applyFont="1" applyFill="1" applyProtection="1">
      <alignment vertical="center"/>
    </xf>
    <xf numFmtId="0" fontId="9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left" vertical="center"/>
    </xf>
    <xf numFmtId="9" fontId="105" fillId="6" borderId="1" xfId="0" applyNumberFormat="1" applyFont="1" applyFill="1" applyBorder="1" applyAlignment="1" applyProtection="1">
      <alignment horizontal="left" vertical="center"/>
    </xf>
    <xf numFmtId="0" fontId="105" fillId="6" borderId="13" xfId="0" applyFont="1" applyFill="1" applyBorder="1" applyAlignment="1" applyProtection="1">
      <alignment horizontal="left" vertical="center" wrapText="1"/>
    </xf>
    <xf numFmtId="9" fontId="105" fillId="6" borderId="13" xfId="0" applyNumberFormat="1" applyFont="1" applyFill="1" applyBorder="1" applyAlignment="1" applyProtection="1">
      <alignment horizontal="left" vertical="center"/>
    </xf>
    <xf numFmtId="0" fontId="98" fillId="6" borderId="5" xfId="0" applyFont="1" applyFill="1" applyBorder="1" applyAlignment="1" applyProtection="1">
      <alignment horizontal="left" vertical="center" wrapText="1"/>
    </xf>
    <xf numFmtId="0" fontId="105" fillId="6" borderId="46" xfId="0" applyFont="1" applyFill="1" applyBorder="1" applyAlignment="1" applyProtection="1">
      <alignment horizontal="left" vertical="center" wrapText="1"/>
    </xf>
    <xf numFmtId="0" fontId="105" fillId="6" borderId="36" xfId="0" applyFont="1" applyFill="1" applyBorder="1" applyAlignment="1" applyProtection="1">
      <alignment horizontal="left" vertical="center" wrapText="1"/>
    </xf>
    <xf numFmtId="0" fontId="105" fillId="6" borderId="22"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54" xfId="0" applyFont="1" applyFill="1" applyBorder="1" applyAlignment="1" applyProtection="1">
      <alignment horizontal="left" vertical="center"/>
    </xf>
    <xf numFmtId="0" fontId="105" fillId="6" borderId="3" xfId="0" applyFont="1" applyFill="1" applyBorder="1" applyAlignment="1" applyProtection="1">
      <alignment horizontal="left" vertical="center" wrapText="1"/>
    </xf>
    <xf numFmtId="0" fontId="105" fillId="6" borderId="58" xfId="0" applyFont="1" applyFill="1" applyBorder="1" applyAlignment="1" applyProtection="1">
      <alignment horizontal="left" vertical="center" wrapText="1"/>
    </xf>
    <xf numFmtId="0" fontId="105" fillId="6" borderId="0" xfId="0" applyFont="1" applyFill="1" applyBorder="1" applyAlignment="1" applyProtection="1">
      <alignment horizontal="left" vertical="center" wrapText="1"/>
    </xf>
    <xf numFmtId="0" fontId="105" fillId="6" borderId="35" xfId="0" applyFont="1" applyFill="1" applyBorder="1" applyAlignment="1" applyProtection="1">
      <alignment horizontal="left" vertical="center" wrapText="1"/>
    </xf>
    <xf numFmtId="0" fontId="105" fillId="6" borderId="4" xfId="0" applyFont="1" applyFill="1" applyBorder="1" applyAlignment="1" applyProtection="1">
      <alignment horizontal="left" vertical="center" wrapText="1"/>
    </xf>
    <xf numFmtId="0" fontId="105" fillId="6" borderId="60" xfId="0" applyFont="1" applyFill="1" applyBorder="1" applyAlignment="1" applyProtection="1">
      <alignment horizontal="left" vertical="center" wrapText="1"/>
    </xf>
    <xf numFmtId="0" fontId="105" fillId="6" borderId="7" xfId="0" applyFont="1" applyFill="1" applyBorder="1" applyAlignment="1" applyProtection="1">
      <alignment horizontal="left" vertical="center" wrapText="1"/>
    </xf>
    <xf numFmtId="0" fontId="46" fillId="7" borderId="0" xfId="0" applyFont="1" applyFill="1" applyAlignment="1" applyProtection="1">
      <alignment horizontal="left" vertical="center"/>
      <protection locked="0"/>
    </xf>
    <xf numFmtId="0" fontId="46" fillId="6" borderId="0" xfId="0" applyFont="1" applyFill="1" applyAlignment="1" applyProtection="1">
      <alignment horizontal="left" vertical="center"/>
      <protection locked="0"/>
    </xf>
    <xf numFmtId="182" fontId="46" fillId="6" borderId="0" xfId="0" applyNumberFormat="1" applyFont="1" applyFill="1" applyAlignment="1" applyProtection="1">
      <alignment horizontal="left" vertical="center"/>
    </xf>
    <xf numFmtId="9" fontId="46" fillId="6" borderId="24" xfId="0" applyNumberFormat="1" applyFont="1" applyFill="1" applyBorder="1" applyAlignment="1" applyProtection="1">
      <alignment horizontal="left" vertical="center"/>
    </xf>
    <xf numFmtId="9" fontId="46" fillId="6" borderId="0" xfId="0" applyNumberFormat="1" applyFont="1" applyFill="1" applyAlignment="1" applyProtection="1">
      <alignment horizontal="left" vertical="center"/>
      <protection locked="0"/>
    </xf>
    <xf numFmtId="10" fontId="46" fillId="6" borderId="2" xfId="0" applyNumberFormat="1" applyFont="1" applyFill="1" applyBorder="1" applyAlignment="1" applyProtection="1">
      <alignment horizontal="left" vertical="center"/>
    </xf>
    <xf numFmtId="0" fontId="47" fillId="0" borderId="24"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wrapText="1"/>
    </xf>
    <xf numFmtId="0" fontId="46" fillId="6" borderId="58" xfId="0" applyFont="1" applyFill="1" applyBorder="1" applyAlignment="1" applyProtection="1">
      <alignment horizontal="left" vertical="center"/>
    </xf>
    <xf numFmtId="0" fontId="46" fillId="6" borderId="41" xfId="0" applyFont="1" applyFill="1" applyBorder="1" applyAlignment="1" applyProtection="1">
      <alignment horizontal="left" vertical="center" wrapText="1"/>
    </xf>
    <xf numFmtId="10" fontId="46" fillId="6" borderId="1" xfId="0" applyNumberFormat="1"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47"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6" fillId="6" borderId="0" xfId="0" applyFont="1" applyFill="1" applyBorder="1" applyAlignment="1" applyProtection="1">
      <alignment horizontal="left" vertical="center" wrapText="1"/>
      <protection locked="0"/>
    </xf>
    <xf numFmtId="0" fontId="46" fillId="18" borderId="33" xfId="0" applyFont="1" applyFill="1" applyBorder="1" applyAlignment="1" applyProtection="1">
      <alignment horizontal="left" vertical="center"/>
    </xf>
    <xf numFmtId="0" fontId="46" fillId="18" borderId="32" xfId="0" applyFont="1" applyFill="1" applyBorder="1" applyAlignment="1" applyProtection="1">
      <alignment horizontal="left" vertical="center" wrapText="1"/>
    </xf>
    <xf numFmtId="10" fontId="46"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8" fontId="53" fillId="6" borderId="2" xfId="0" applyNumberFormat="1" applyFont="1" applyFill="1" applyBorder="1" applyAlignment="1" applyProtection="1">
      <alignment horizontal="left" vertical="center" wrapText="1"/>
    </xf>
    <xf numFmtId="178" fontId="52" fillId="6" borderId="1" xfId="0" applyNumberFormat="1" applyFont="1" applyFill="1" applyBorder="1" applyAlignment="1" applyProtection="1">
      <alignment horizontal="left" vertical="center" wrapText="1"/>
    </xf>
    <xf numFmtId="178" fontId="52" fillId="0" borderId="1" xfId="0" applyNumberFormat="1"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wrapText="1"/>
      <protection locked="0"/>
    </xf>
    <xf numFmtId="178" fontId="53" fillId="6" borderId="1" xfId="0" applyNumberFormat="1" applyFont="1" applyFill="1" applyBorder="1" applyAlignment="1" applyProtection="1">
      <alignment horizontal="left" vertical="center" wrapText="1"/>
    </xf>
    <xf numFmtId="178" fontId="53" fillId="6" borderId="32" xfId="0" applyNumberFormat="1" applyFont="1" applyFill="1" applyBorder="1" applyAlignment="1" applyProtection="1">
      <alignment horizontal="left" vertical="center" wrapText="1"/>
    </xf>
    <xf numFmtId="10" fontId="52" fillId="6" borderId="32" xfId="0" applyNumberFormat="1"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43" fillId="2" borderId="1" xfId="2" applyFont="1" applyFill="1" applyBorder="1" applyAlignment="1" applyProtection="1">
      <alignment horizontal="left" vertical="center" wrapText="1"/>
      <protection locked="0"/>
    </xf>
    <xf numFmtId="178" fontId="52" fillId="0" borderId="24" xfId="0" applyNumberFormat="1" applyFont="1" applyFill="1" applyBorder="1" applyAlignment="1" applyProtection="1">
      <alignment horizontal="left" vertical="center" wrapText="1"/>
      <protection locked="0"/>
    </xf>
    <xf numFmtId="9" fontId="43" fillId="6" borderId="0" xfId="0" applyNumberFormat="1" applyFont="1" applyFill="1" applyBorder="1" applyAlignment="1" applyProtection="1">
      <alignment horizontal="left" vertical="center"/>
    </xf>
    <xf numFmtId="10" fontId="52" fillId="6" borderId="1" xfId="0" applyNumberFormat="1" applyFont="1" applyFill="1" applyBorder="1" applyAlignment="1" applyProtection="1">
      <alignment horizontal="left" vertical="center" wrapText="1"/>
    </xf>
    <xf numFmtId="191" fontId="52" fillId="6" borderId="1" xfId="0" applyNumberFormat="1"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82" fontId="53" fillId="6" borderId="1" xfId="0" applyNumberFormat="1"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191" fontId="52" fillId="0" borderId="1" xfId="0" applyNumberFormat="1" applyFont="1" applyFill="1" applyBorder="1" applyAlignment="1" applyProtection="1">
      <alignment horizontal="left" vertical="center" wrapText="1"/>
      <protection locked="0"/>
    </xf>
    <xf numFmtId="10" fontId="51"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24"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3" fillId="6" borderId="5" xfId="0" applyFont="1" applyFill="1" applyBorder="1" applyAlignment="1" applyProtection="1">
      <alignment horizontal="left" vertical="center" wrapText="1"/>
    </xf>
    <xf numFmtId="0" fontId="103"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3" fillId="6" borderId="33" xfId="0" applyFont="1" applyFill="1" applyBorder="1" applyAlignment="1" applyProtection="1">
      <alignment horizontal="left" vertical="center" wrapText="1"/>
    </xf>
    <xf numFmtId="0" fontId="103" fillId="6" borderId="68"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xf>
    <xf numFmtId="0" fontId="43" fillId="18" borderId="24" xfId="0" applyFont="1" applyFill="1" applyBorder="1" applyAlignment="1" applyProtection="1">
      <alignment horizontal="left" vertical="center"/>
    </xf>
    <xf numFmtId="0" fontId="43" fillId="6" borderId="24" xfId="0"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43" fillId="6" borderId="49" xfId="0" applyFont="1" applyFill="1" applyBorder="1" applyAlignment="1" applyProtection="1">
      <alignment horizontal="left" vertical="center"/>
    </xf>
    <xf numFmtId="0" fontId="43" fillId="6" borderId="1" xfId="0" applyFont="1" applyFill="1" applyBorder="1" applyAlignment="1" applyProtection="1">
      <alignment horizontal="left" vertical="center" wrapText="1"/>
      <protection locked="0"/>
    </xf>
    <xf numFmtId="0" fontId="97" fillId="6" borderId="5" xfId="0" applyFont="1" applyFill="1" applyBorder="1" applyAlignment="1">
      <alignment horizontal="right" vertical="center"/>
    </xf>
    <xf numFmtId="0" fontId="97"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7" fillId="6" borderId="23" xfId="0" applyFont="1" applyFill="1" applyBorder="1" applyAlignment="1">
      <alignment horizontal="left" vertical="center"/>
    </xf>
    <xf numFmtId="0" fontId="97" fillId="6" borderId="25" xfId="0" applyFont="1" applyFill="1" applyBorder="1" applyAlignment="1">
      <alignment horizontal="left" vertical="center"/>
    </xf>
    <xf numFmtId="0" fontId="97" fillId="6" borderId="5" xfId="0" applyFont="1" applyFill="1" applyBorder="1" applyAlignment="1" applyProtection="1">
      <alignment horizontal="left" vertical="center"/>
    </xf>
    <xf numFmtId="0" fontId="97"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7" fillId="6" borderId="1" xfId="0" applyFont="1" applyFill="1" applyBorder="1" applyAlignment="1">
      <alignment horizontal="left" vertical="center"/>
    </xf>
    <xf numFmtId="49" fontId="46" fillId="6" borderId="0" xfId="0" applyNumberFormat="1" applyFont="1" applyFill="1" applyAlignment="1" applyProtection="1">
      <alignment horizontal="center" vertical="center" wrapText="1"/>
      <protection locked="0"/>
    </xf>
    <xf numFmtId="0" fontId="46" fillId="6" borderId="58" xfId="0" applyNumberFormat="1" applyFont="1" applyFill="1" applyBorder="1" applyAlignment="1" applyProtection="1">
      <alignment horizontal="left" vertical="center"/>
      <protection locked="0"/>
    </xf>
    <xf numFmtId="0" fontId="46" fillId="6" borderId="58"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wrapText="1"/>
      <protection locked="0"/>
    </xf>
    <xf numFmtId="180" fontId="46" fillId="6" borderId="58" xfId="0" applyNumberFormat="1" applyFont="1" applyFill="1" applyBorder="1" applyAlignment="1" applyProtection="1">
      <alignment horizontal="center" vertical="center" wrapText="1"/>
      <protection locked="0"/>
    </xf>
    <xf numFmtId="180" fontId="46" fillId="6" borderId="58" xfId="0" applyNumberFormat="1" applyFont="1" applyFill="1" applyBorder="1" applyAlignment="1" applyProtection="1">
      <alignment horizontal="left" vertical="center"/>
      <protection locked="0"/>
    </xf>
    <xf numFmtId="0" fontId="46" fillId="6" borderId="58"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protection locked="0"/>
    </xf>
    <xf numFmtId="0" fontId="51" fillId="6" borderId="151" xfId="0" applyFont="1" applyFill="1" applyBorder="1" applyAlignment="1" applyProtection="1">
      <alignment vertical="center" wrapText="1"/>
      <protection locked="0"/>
    </xf>
    <xf numFmtId="0" fontId="51" fillId="6" borderId="152" xfId="0" applyFont="1" applyFill="1" applyBorder="1" applyAlignment="1" applyProtection="1">
      <alignment vertical="center" wrapText="1"/>
      <protection locked="0"/>
    </xf>
    <xf numFmtId="0" fontId="51" fillId="6" borderId="151" xfId="0" applyFont="1" applyFill="1" applyBorder="1" applyAlignment="1" applyProtection="1">
      <alignment horizontal="center" vertical="center" wrapText="1"/>
      <protection locked="0"/>
    </xf>
    <xf numFmtId="0" fontId="51" fillId="0" borderId="151" xfId="0" applyFont="1" applyBorder="1" applyAlignment="1" applyProtection="1">
      <alignment vertical="center" wrapText="1"/>
      <protection locked="0"/>
    </xf>
    <xf numFmtId="49" fontId="46" fillId="6" borderId="5" xfId="0" applyNumberFormat="1" applyFont="1" applyFill="1" applyBorder="1" applyAlignment="1" applyProtection="1">
      <alignment horizontal="center" vertical="center" wrapText="1"/>
      <protection locked="0"/>
    </xf>
    <xf numFmtId="49" fontId="46" fillId="6" borderId="1" xfId="0" applyNumberFormat="1" applyFont="1" applyFill="1" applyBorder="1" applyAlignment="1" applyProtection="1">
      <alignment horizontal="center" vertical="center" wrapText="1"/>
      <protection locked="0"/>
    </xf>
    <xf numFmtId="49" fontId="46" fillId="0" borderId="58"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16" borderId="15" xfId="0" applyNumberFormat="1" applyFont="1" applyFill="1" applyBorder="1" applyAlignment="1" applyProtection="1">
      <alignment vertical="center" wrapText="1"/>
    </xf>
    <xf numFmtId="0" fontId="46" fillId="16" borderId="78" xfId="0" applyNumberFormat="1" applyFont="1" applyFill="1" applyBorder="1" applyAlignment="1" applyProtection="1">
      <alignment vertical="center" wrapText="1"/>
    </xf>
    <xf numFmtId="0" fontId="46" fillId="6" borderId="5" xfId="0" applyFont="1" applyFill="1" applyBorder="1" applyAlignment="1" applyProtection="1">
      <alignment vertical="center" wrapText="1"/>
    </xf>
    <xf numFmtId="0" fontId="46" fillId="5" borderId="23" xfId="0" applyFont="1" applyFill="1" applyBorder="1" applyAlignment="1" applyProtection="1">
      <alignment vertical="center" wrapText="1"/>
      <protection locked="0"/>
    </xf>
    <xf numFmtId="0" fontId="46" fillId="5" borderId="24" xfId="0" applyFont="1" applyFill="1" applyBorder="1" applyAlignment="1" applyProtection="1">
      <alignment vertical="center" wrapText="1"/>
      <protection locked="0"/>
    </xf>
    <xf numFmtId="0" fontId="46" fillId="5" borderId="5" xfId="0" applyFont="1" applyFill="1" applyBorder="1" applyAlignment="1" applyProtection="1">
      <alignment vertical="center" wrapText="1"/>
      <protection locked="0"/>
    </xf>
    <xf numFmtId="0" fontId="46" fillId="5" borderId="23" xfId="0" applyFont="1" applyFill="1" applyBorder="1" applyAlignment="1" applyProtection="1">
      <alignment vertical="center" wrapText="1" shrinkToFit="1"/>
      <protection locked="0"/>
    </xf>
    <xf numFmtId="0" fontId="46" fillId="6" borderId="18" xfId="0" applyFont="1" applyFill="1" applyBorder="1" applyAlignment="1" applyProtection="1">
      <alignment vertical="center" wrapText="1"/>
    </xf>
    <xf numFmtId="184" fontId="166" fillId="0" borderId="24" xfId="0" applyNumberFormat="1" applyFont="1" applyFill="1" applyBorder="1" applyAlignment="1" applyProtection="1">
      <alignment vertical="center" shrinkToFit="1"/>
      <protection locked="0"/>
    </xf>
    <xf numFmtId="0" fontId="46" fillId="6" borderId="16" xfId="0" applyFont="1" applyFill="1" applyBorder="1" applyAlignment="1" applyProtection="1">
      <alignment vertical="center" wrapText="1"/>
    </xf>
    <xf numFmtId="184"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6" fillId="6" borderId="89" xfId="0" applyFont="1" applyFill="1" applyBorder="1" applyAlignment="1" applyProtection="1">
      <alignment vertical="center" wrapText="1"/>
    </xf>
    <xf numFmtId="0" fontId="46"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6" fillId="6" borderId="27" xfId="0" applyFont="1" applyFill="1" applyBorder="1" applyAlignment="1" applyProtection="1">
      <alignment horizontal="left" vertical="center"/>
    </xf>
    <xf numFmtId="0" fontId="46" fillId="0" borderId="96" xfId="0" applyFont="1" applyBorder="1" applyAlignment="1" applyProtection="1">
      <alignment horizontal="left" vertical="center" wrapText="1"/>
      <protection locked="0"/>
    </xf>
    <xf numFmtId="0" fontId="43" fillId="0" borderId="0" xfId="0" applyFont="1" applyFill="1" applyProtection="1">
      <alignment vertical="center"/>
      <protection locked="0"/>
    </xf>
    <xf numFmtId="0" fontId="43" fillId="6" borderId="51" xfId="0" applyFont="1" applyFill="1" applyBorder="1" applyProtection="1">
      <alignment vertical="center"/>
    </xf>
    <xf numFmtId="0" fontId="43" fillId="6" borderId="20" xfId="0" applyFont="1" applyFill="1" applyBorder="1" applyProtection="1">
      <alignment vertical="center"/>
    </xf>
    <xf numFmtId="0" fontId="43" fillId="6" borderId="41" xfId="0" applyFont="1" applyFill="1" applyBorder="1" applyProtection="1">
      <alignment vertical="center"/>
    </xf>
    <xf numFmtId="0" fontId="43" fillId="6" borderId="14" xfId="0" applyFont="1" applyFill="1" applyBorder="1" applyProtection="1">
      <alignment vertical="center"/>
    </xf>
    <xf numFmtId="0" fontId="43" fillId="6" borderId="61" xfId="0" applyFont="1" applyFill="1" applyBorder="1" applyAlignment="1" applyProtection="1">
      <alignment horizontal="center" vertical="center"/>
    </xf>
    <xf numFmtId="0" fontId="43" fillId="6" borderId="38" xfId="0" applyFont="1" applyFill="1" applyBorder="1" applyProtection="1">
      <alignment vertical="center"/>
    </xf>
    <xf numFmtId="0" fontId="43" fillId="6" borderId="66" xfId="0" applyFont="1" applyFill="1" applyBorder="1" applyProtection="1">
      <alignment vertical="center"/>
    </xf>
    <xf numFmtId="0" fontId="43" fillId="0" borderId="49" xfId="0" applyFont="1" applyFill="1" applyBorder="1" applyAlignment="1" applyProtection="1">
      <alignment horizontal="center" vertical="center"/>
      <protection locked="0"/>
    </xf>
    <xf numFmtId="0" fontId="46" fillId="6" borderId="82" xfId="0" applyFont="1" applyFill="1" applyBorder="1" applyAlignment="1" applyProtection="1">
      <alignment horizontal="center" vertical="center"/>
    </xf>
    <xf numFmtId="0" fontId="43" fillId="12" borderId="0" xfId="0" applyFont="1" applyFill="1" applyProtection="1">
      <alignment vertical="center"/>
      <protection locked="0"/>
    </xf>
    <xf numFmtId="0" fontId="43" fillId="12" borderId="0" xfId="0" applyFont="1" applyFill="1" applyBorder="1" applyProtection="1">
      <alignment vertical="center"/>
      <protection locked="0"/>
    </xf>
    <xf numFmtId="0" fontId="43" fillId="12" borderId="0" xfId="0" applyFont="1" applyFill="1" applyAlignment="1" applyProtection="1">
      <alignment horizontal="center" vertical="center"/>
      <protection locked="0"/>
    </xf>
    <xf numFmtId="0" fontId="46"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46" fillId="12" borderId="0" xfId="0" applyFont="1" applyFill="1" applyAlignment="1" applyProtection="1">
      <alignment vertical="center" wrapText="1"/>
      <protection locked="0"/>
    </xf>
    <xf numFmtId="0" fontId="46"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6" fillId="12" borderId="60" xfId="0" applyFont="1" applyFill="1" applyBorder="1" applyAlignment="1" applyProtection="1">
      <alignment vertical="center" wrapText="1"/>
    </xf>
    <xf numFmtId="0" fontId="46" fillId="12" borderId="60" xfId="0" applyFont="1" applyFill="1" applyBorder="1" applyAlignment="1" applyProtection="1">
      <alignment horizontal="center" vertical="center" wrapText="1"/>
    </xf>
    <xf numFmtId="0" fontId="46" fillId="12" borderId="7"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46" fillId="12" borderId="0" xfId="0" applyFont="1" applyFill="1" applyAlignment="1" applyProtection="1">
      <alignment vertical="center"/>
      <protection locked="0"/>
    </xf>
    <xf numFmtId="0" fontId="46" fillId="12" borderId="0" xfId="0" applyFont="1" applyFill="1" applyAlignment="1" applyProtection="1">
      <alignment horizontal="center" vertical="center"/>
      <protection locked="0"/>
    </xf>
    <xf numFmtId="0" fontId="43" fillId="12" borderId="0" xfId="0" applyFont="1" applyFill="1" applyAlignment="1" applyProtection="1">
      <alignment vertical="center"/>
      <protection locked="0"/>
    </xf>
    <xf numFmtId="0" fontId="43" fillId="12" borderId="0" xfId="0" applyFont="1" applyFill="1" applyBorder="1" applyAlignment="1" applyProtection="1">
      <alignment vertical="center"/>
      <protection locked="0"/>
    </xf>
    <xf numFmtId="180" fontId="46" fillId="12" borderId="0" xfId="0" applyNumberFormat="1" applyFont="1" applyFill="1" applyAlignment="1" applyProtection="1">
      <alignment vertical="center"/>
      <protection locked="0"/>
    </xf>
    <xf numFmtId="180" fontId="43" fillId="12" borderId="0" xfId="0" applyNumberFormat="1" applyFont="1" applyFill="1" applyAlignment="1" applyProtection="1">
      <alignment vertical="center"/>
      <protection locked="0"/>
    </xf>
    <xf numFmtId="0" fontId="43" fillId="12" borderId="67" xfId="0" applyFont="1" applyFill="1" applyBorder="1" applyAlignment="1" applyProtection="1">
      <alignment horizontal="center" vertical="center"/>
      <protection locked="0"/>
    </xf>
    <xf numFmtId="0" fontId="99" fillId="12" borderId="0" xfId="0" applyFont="1" applyFill="1" applyAlignment="1" applyProtection="1">
      <alignment horizontal="left" vertical="center"/>
      <protection locked="0"/>
    </xf>
    <xf numFmtId="180" fontId="43" fillId="12" borderId="0" xfId="0" applyNumberFormat="1" applyFont="1" applyFill="1" applyAlignment="1" applyProtection="1">
      <alignment horizontal="center" vertical="center"/>
      <protection locked="0"/>
    </xf>
    <xf numFmtId="0" fontId="99"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6" fillId="12" borderId="0" xfId="0" applyFont="1" applyFill="1" applyAlignment="1" applyProtection="1">
      <alignment vertical="center"/>
    </xf>
    <xf numFmtId="182" fontId="97" fillId="12" borderId="0" xfId="0" applyNumberFormat="1" applyFont="1" applyFill="1" applyAlignment="1" applyProtection="1">
      <alignment horizontal="center" vertical="center"/>
    </xf>
    <xf numFmtId="180" fontId="99" fillId="12" borderId="0" xfId="0" applyNumberFormat="1" applyFont="1" applyFill="1" applyAlignment="1" applyProtection="1">
      <alignment vertical="center"/>
      <protection locked="0"/>
    </xf>
    <xf numFmtId="0" fontId="43"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2" fontId="46" fillId="6" borderId="0" xfId="0" applyNumberFormat="1" applyFont="1" applyFill="1" applyProtection="1">
      <alignment vertical="center"/>
      <protection locked="0"/>
    </xf>
    <xf numFmtId="0" fontId="97" fillId="0" borderId="0" xfId="0" applyFont="1" applyFill="1" applyProtection="1">
      <alignment vertical="center"/>
      <protection locked="0"/>
    </xf>
    <xf numFmtId="0" fontId="62" fillId="6" borderId="0" xfId="0" applyFont="1" applyFill="1" applyAlignment="1" applyProtection="1">
      <alignment vertical="center"/>
      <protection locked="0"/>
    </xf>
    <xf numFmtId="49" fontId="61" fillId="6" borderId="0" xfId="0" applyNumberFormat="1" applyFont="1" applyFill="1" applyBorder="1" applyAlignment="1" applyProtection="1">
      <alignment horizontal="center"/>
      <protection locked="0"/>
    </xf>
    <xf numFmtId="49" fontId="61" fillId="6" borderId="0" xfId="0" applyNumberFormat="1" applyFont="1" applyFill="1" applyBorder="1" applyAlignment="1" applyProtection="1">
      <alignment horizontal="left"/>
      <protection locked="0"/>
    </xf>
    <xf numFmtId="49" fontId="53" fillId="6" borderId="0" xfId="0" applyNumberFormat="1" applyFont="1" applyFill="1" applyBorder="1" applyAlignment="1" applyProtection="1">
      <alignment horizontal="center"/>
      <protection locked="0"/>
    </xf>
    <xf numFmtId="49" fontId="53" fillId="6" borderId="0" xfId="0" applyNumberFormat="1" applyFont="1" applyFill="1" applyBorder="1" applyAlignment="1" applyProtection="1">
      <alignment horizontal="left"/>
      <protection locked="0"/>
    </xf>
    <xf numFmtId="49" fontId="53" fillId="6" borderId="0" xfId="0" applyNumberFormat="1" applyFont="1" applyFill="1" applyBorder="1" applyAlignment="1" applyProtection="1">
      <alignment horizontal="left" vertical="center"/>
      <protection locked="0"/>
    </xf>
    <xf numFmtId="0" fontId="52" fillId="6" borderId="0" xfId="0" applyFont="1" applyFill="1" applyBorder="1" applyAlignment="1" applyProtection="1">
      <alignment horizontal="left" vertical="center"/>
      <protection locked="0"/>
    </xf>
    <xf numFmtId="180" fontId="59" fillId="6" borderId="0" xfId="0" applyNumberFormat="1" applyFont="1" applyFill="1" applyBorder="1" applyAlignment="1" applyProtection="1">
      <alignment horizontal="center" vertical="center"/>
      <protection locked="0"/>
    </xf>
    <xf numFmtId="0" fontId="98" fillId="6" borderId="0" xfId="0" applyFont="1" applyFill="1" applyAlignment="1" applyProtection="1">
      <protection locked="0"/>
    </xf>
    <xf numFmtId="0" fontId="98" fillId="6" borderId="0" xfId="0" applyFont="1" applyFill="1" applyAlignment="1" applyProtection="1">
      <alignment horizontal="left"/>
      <protection locked="0"/>
    </xf>
    <xf numFmtId="0" fontId="51" fillId="6" borderId="0" xfId="0" applyFont="1" applyFill="1" applyAlignment="1" applyProtection="1">
      <alignment horizontal="left"/>
      <protection locked="0"/>
    </xf>
    <xf numFmtId="0" fontId="51" fillId="6" borderId="0" xfId="0" applyFont="1" applyFill="1" applyAlignment="1" applyProtection="1">
      <protection locked="0"/>
    </xf>
    <xf numFmtId="0" fontId="52"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8" fontId="53" fillId="7" borderId="0" xfId="0" applyNumberFormat="1" applyFont="1" applyFill="1" applyBorder="1" applyAlignment="1" applyProtection="1">
      <protection locked="0"/>
    </xf>
    <xf numFmtId="0" fontId="97" fillId="12" borderId="0" xfId="0" applyFont="1" applyFill="1">
      <alignment vertical="center"/>
    </xf>
    <xf numFmtId="0" fontId="202" fillId="12" borderId="0" xfId="0" applyFont="1" applyFill="1" applyBorder="1">
      <alignment vertical="center"/>
    </xf>
    <xf numFmtId="0" fontId="97" fillId="12" borderId="0" xfId="0" applyFont="1" applyFill="1" applyBorder="1">
      <alignment vertical="center"/>
    </xf>
    <xf numFmtId="0" fontId="97" fillId="12" borderId="47" xfId="0" applyFont="1" applyFill="1" applyBorder="1">
      <alignment vertical="center"/>
    </xf>
    <xf numFmtId="0" fontId="97" fillId="12" borderId="56" xfId="0" applyFont="1" applyFill="1" applyBorder="1" applyProtection="1">
      <alignment vertical="center"/>
    </xf>
    <xf numFmtId="0" fontId="56" fillId="12" borderId="18" xfId="1" applyFont="1" applyFill="1" applyBorder="1" applyAlignment="1" applyProtection="1">
      <alignment vertical="center"/>
    </xf>
    <xf numFmtId="182" fontId="56" fillId="12" borderId="0" xfId="0" applyNumberFormat="1" applyFont="1" applyFill="1" applyBorder="1" applyAlignment="1" applyProtection="1">
      <alignment vertical="center"/>
      <protection locked="0"/>
    </xf>
    <xf numFmtId="0" fontId="56" fillId="12" borderId="0" xfId="0" applyFont="1" applyFill="1" applyBorder="1" applyAlignment="1" applyProtection="1">
      <alignment horizontal="center" vertical="center"/>
      <protection locked="0"/>
    </xf>
    <xf numFmtId="182" fontId="43" fillId="12" borderId="0" xfId="0" applyNumberFormat="1" applyFont="1" applyFill="1" applyBorder="1" applyAlignment="1" applyProtection="1">
      <alignment vertical="center" wrapText="1"/>
      <protection locked="0"/>
    </xf>
    <xf numFmtId="0" fontId="50" fillId="12" borderId="0" xfId="0" applyFont="1" applyFill="1" applyBorder="1" applyAlignment="1" applyProtection="1">
      <alignment horizontal="center" vertical="center"/>
      <protection locked="0"/>
    </xf>
    <xf numFmtId="182" fontId="43" fillId="12" borderId="0" xfId="0" applyNumberFormat="1" applyFont="1" applyFill="1" applyBorder="1" applyAlignment="1" applyProtection="1">
      <alignment horizontal="center" vertical="center" wrapText="1"/>
      <protection locked="0"/>
    </xf>
    <xf numFmtId="0" fontId="43" fillId="12" borderId="0" xfId="0" applyFont="1" applyFill="1" applyBorder="1" applyAlignment="1" applyProtection="1">
      <alignment horizontal="center" vertical="center"/>
      <protection locked="0"/>
    </xf>
    <xf numFmtId="182"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protection locked="0"/>
    </xf>
    <xf numFmtId="182" fontId="48" fillId="12" borderId="0" xfId="0" applyNumberFormat="1" applyFont="1" applyFill="1" applyBorder="1" applyAlignment="1" applyProtection="1">
      <alignment horizontal="center" vertical="center" wrapText="1"/>
      <protection locked="0"/>
    </xf>
    <xf numFmtId="182" fontId="67"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2" fontId="50" fillId="12" borderId="0" xfId="0" applyNumberFormat="1" applyFont="1" applyFill="1" applyBorder="1" applyAlignment="1" applyProtection="1">
      <alignment vertical="center" wrapText="1"/>
      <protection locked="0"/>
    </xf>
    <xf numFmtId="0" fontId="50" fillId="12" borderId="0" xfId="0" applyFont="1" applyFill="1" applyAlignment="1" applyProtection="1">
      <alignment horizontal="center" vertical="center"/>
      <protection locked="0"/>
    </xf>
    <xf numFmtId="182" fontId="50" fillId="12" borderId="0" xfId="0" applyNumberFormat="1" applyFont="1" applyFill="1" applyAlignment="1" applyProtection="1">
      <alignment horizontal="center" vertical="center"/>
      <protection locked="0"/>
    </xf>
    <xf numFmtId="182"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89" fontId="50" fillId="12" borderId="0" xfId="0" applyNumberFormat="1" applyFont="1" applyFill="1" applyAlignment="1" applyProtection="1">
      <alignment horizontal="center" vertical="center"/>
      <protection locked="0"/>
    </xf>
    <xf numFmtId="14" fontId="50" fillId="12" borderId="0" xfId="0" applyNumberFormat="1" applyFont="1" applyFill="1" applyAlignment="1" applyProtection="1">
      <alignment horizontal="center" vertical="center"/>
      <protection locked="0"/>
    </xf>
    <xf numFmtId="177" fontId="50" fillId="12" borderId="0" xfId="0" applyNumberFormat="1" applyFont="1" applyFill="1" applyAlignment="1" applyProtection="1">
      <alignment horizontal="center" vertical="center"/>
      <protection locked="0"/>
    </xf>
    <xf numFmtId="189" fontId="67" fillId="12" borderId="0" xfId="0" applyNumberFormat="1" applyFont="1" applyFill="1" applyAlignment="1" applyProtection="1">
      <alignment horizontal="center" vertical="center"/>
      <protection locked="0"/>
    </xf>
    <xf numFmtId="182"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0" fontId="67" fillId="12" borderId="18" xfId="0" applyFont="1" applyFill="1" applyBorder="1" applyAlignment="1" applyProtection="1">
      <alignment horizontal="center" vertical="center"/>
      <protection locked="0"/>
    </xf>
    <xf numFmtId="0" fontId="50" fillId="12" borderId="18" xfId="0" applyFont="1" applyFill="1" applyBorder="1" applyAlignment="1" applyProtection="1">
      <protection locked="0"/>
    </xf>
    <xf numFmtId="9" fontId="43" fillId="12" borderId="0" xfId="0" applyNumberFormat="1" applyFont="1" applyFill="1" applyBorder="1" applyAlignment="1" applyProtection="1">
      <alignment horizontal="center" vertical="center" wrapText="1"/>
      <protection locked="0"/>
    </xf>
    <xf numFmtId="49" fontId="43" fillId="12" borderId="18" xfId="0" applyNumberFormat="1" applyFont="1" applyFill="1" applyBorder="1" applyAlignment="1" applyProtection="1">
      <alignment horizontal="center" vertical="center"/>
      <protection locked="0"/>
    </xf>
    <xf numFmtId="49" fontId="43" fillId="12" borderId="0" xfId="0" applyNumberFormat="1" applyFont="1" applyFill="1" applyAlignment="1" applyProtection="1">
      <alignment horizontal="center" vertical="center"/>
      <protection locked="0"/>
    </xf>
    <xf numFmtId="9" fontId="43" fillId="12" borderId="18" xfId="0" applyNumberFormat="1" applyFont="1" applyFill="1" applyBorder="1" applyAlignment="1" applyProtection="1">
      <alignment horizontal="center" vertical="center" wrapText="1"/>
      <protection locked="0"/>
    </xf>
    <xf numFmtId="0" fontId="97" fillId="12" borderId="18" xfId="0" applyFont="1" applyFill="1" applyBorder="1" applyAlignment="1" applyProtection="1">
      <alignment vertical="center"/>
      <protection locked="0"/>
    </xf>
    <xf numFmtId="0" fontId="43" fillId="12" borderId="18" xfId="0" applyFont="1" applyFill="1" applyBorder="1" applyAlignment="1" applyProtection="1">
      <alignment horizontal="center" vertical="center" wrapText="1"/>
      <protection locked="0"/>
    </xf>
    <xf numFmtId="0" fontId="48" fillId="12" borderId="18" xfId="0" applyFont="1" applyFill="1" applyBorder="1" applyAlignment="1" applyProtection="1">
      <alignment horizontal="center" vertical="center" wrapText="1"/>
      <protection locked="0"/>
    </xf>
    <xf numFmtId="9" fontId="48" fillId="12" borderId="0" xfId="0" applyNumberFormat="1" applyFont="1" applyFill="1" applyBorder="1" applyAlignment="1" applyProtection="1">
      <alignment horizontal="center" vertical="center" wrapText="1"/>
      <protection locked="0"/>
    </xf>
    <xf numFmtId="0" fontId="48" fillId="12" borderId="0" xfId="0" applyFont="1" applyFill="1" applyAlignment="1" applyProtection="1">
      <alignment horizontal="center" vertical="center"/>
      <protection locked="0"/>
    </xf>
    <xf numFmtId="0" fontId="48" fillId="12" borderId="18" xfId="0" applyFont="1" applyFill="1" applyBorder="1" applyAlignment="1" applyProtection="1">
      <alignment horizontal="center" vertical="center"/>
      <protection locked="0"/>
    </xf>
    <xf numFmtId="9" fontId="48" fillId="12" borderId="0" xfId="0" applyNumberFormat="1" applyFont="1" applyFill="1" applyBorder="1" applyAlignment="1" applyProtection="1">
      <alignment horizontal="center" vertical="center"/>
      <protection locked="0"/>
    </xf>
    <xf numFmtId="0" fontId="48" fillId="12" borderId="18" xfId="0" applyFont="1" applyFill="1" applyBorder="1" applyAlignment="1" applyProtection="1">
      <alignment vertical="center" wrapText="1"/>
      <protection locked="0"/>
    </xf>
    <xf numFmtId="0" fontId="43" fillId="12" borderId="18" xfId="0" applyFont="1" applyFill="1" applyBorder="1" applyAlignment="1" applyProtection="1">
      <alignment vertical="center" wrapText="1"/>
      <protection locked="0"/>
    </xf>
    <xf numFmtId="0" fontId="43"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67" fillId="12" borderId="58" xfId="0" applyFont="1" applyFill="1" applyBorder="1" applyAlignment="1" applyProtection="1">
      <alignment horizontal="center" vertical="center"/>
      <protection locked="0"/>
    </xf>
    <xf numFmtId="0" fontId="50" fillId="12" borderId="58" xfId="0" applyFont="1" applyFill="1" applyBorder="1" applyAlignment="1" applyProtection="1">
      <protection locked="0"/>
    </xf>
    <xf numFmtId="49" fontId="43" fillId="12" borderId="58" xfId="0" applyNumberFormat="1" applyFont="1" applyFill="1" applyBorder="1" applyAlignment="1" applyProtection="1">
      <alignment horizontal="center" vertical="center"/>
      <protection locked="0"/>
    </xf>
    <xf numFmtId="9" fontId="43" fillId="12" borderId="58" xfId="0" applyNumberFormat="1" applyFont="1" applyFill="1" applyBorder="1" applyAlignment="1" applyProtection="1">
      <alignment horizontal="center" vertical="center" wrapText="1"/>
      <protection locked="0"/>
    </xf>
    <xf numFmtId="0" fontId="97" fillId="12" borderId="58" xfId="0" applyFont="1" applyFill="1" applyBorder="1" applyAlignment="1" applyProtection="1">
      <alignment vertical="center"/>
      <protection locked="0"/>
    </xf>
    <xf numFmtId="0" fontId="43" fillId="12" borderId="58" xfId="0" applyFont="1" applyFill="1" applyBorder="1" applyAlignment="1" applyProtection="1">
      <alignment horizontal="center" vertical="center" wrapText="1"/>
      <protection locked="0"/>
    </xf>
    <xf numFmtId="0" fontId="48" fillId="12" borderId="58" xfId="0" applyFont="1" applyFill="1" applyBorder="1" applyAlignment="1" applyProtection="1">
      <alignment horizontal="center" vertical="center" wrapText="1"/>
      <protection locked="0"/>
    </xf>
    <xf numFmtId="0" fontId="48" fillId="12" borderId="58" xfId="0" applyFont="1" applyFill="1" applyBorder="1" applyAlignment="1" applyProtection="1">
      <alignment horizontal="center" vertical="center"/>
      <protection locked="0"/>
    </xf>
    <xf numFmtId="0" fontId="48" fillId="12" borderId="58" xfId="0" applyFont="1" applyFill="1" applyBorder="1" applyAlignment="1" applyProtection="1">
      <alignment vertical="center" wrapText="1"/>
      <protection locked="0"/>
    </xf>
    <xf numFmtId="0" fontId="43" fillId="12" borderId="58" xfId="0" applyFont="1" applyFill="1" applyBorder="1" applyAlignment="1" applyProtection="1">
      <alignment vertical="center" wrapText="1"/>
      <protection locked="0"/>
    </xf>
    <xf numFmtId="0" fontId="50" fillId="12" borderId="5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protection locked="0"/>
    </xf>
    <xf numFmtId="0" fontId="43" fillId="0" borderId="74" xfId="0" applyNumberFormat="1" applyFont="1" applyFill="1" applyBorder="1" applyAlignment="1" applyProtection="1">
      <alignment horizontal="center" vertical="center" wrapText="1"/>
    </xf>
    <xf numFmtId="0" fontId="43" fillId="0" borderId="76" xfId="0" applyNumberFormat="1" applyFont="1" applyFill="1" applyBorder="1" applyAlignment="1" applyProtection="1">
      <alignment horizontal="center" vertical="center" wrapText="1"/>
    </xf>
    <xf numFmtId="0" fontId="43" fillId="12" borderId="35" xfId="0" applyFont="1" applyFill="1" applyBorder="1" applyAlignment="1" applyProtection="1">
      <alignment horizontal="center" vertical="center"/>
      <protection locked="0"/>
    </xf>
    <xf numFmtId="0" fontId="66"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48" fillId="12" borderId="35" xfId="0" applyFont="1" applyFill="1" applyBorder="1" applyAlignment="1" applyProtection="1">
      <alignment horizontal="center" vertical="center"/>
      <protection locked="0"/>
    </xf>
    <xf numFmtId="49" fontId="43" fillId="12" borderId="0" xfId="0" applyNumberFormat="1" applyFont="1" applyFill="1" applyBorder="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4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wrapText="1"/>
      <protection locked="0"/>
    </xf>
    <xf numFmtId="0" fontId="43" fillId="12" borderId="0" xfId="0" applyFont="1" applyFill="1" applyBorder="1" applyAlignment="1" applyProtection="1">
      <alignment vertical="center" wrapText="1"/>
      <protection locked="0"/>
    </xf>
    <xf numFmtId="0" fontId="50" fillId="12" borderId="0" xfId="0" applyFont="1" applyFill="1" applyBorder="1" applyAlignment="1" applyProtection="1">
      <alignment horizontal="center" vertical="center" wrapText="1"/>
      <protection locked="0"/>
    </xf>
    <xf numFmtId="0" fontId="71" fillId="12" borderId="0" xfId="0" applyFont="1" applyFill="1" applyAlignment="1" applyProtection="1">
      <alignment horizontal="center" vertical="center"/>
      <protection locked="0"/>
    </xf>
    <xf numFmtId="0" fontId="52" fillId="12" borderId="0" xfId="0" applyFont="1" applyFill="1" applyAlignment="1" applyProtection="1">
      <protection locked="0"/>
    </xf>
    <xf numFmtId="0" fontId="48" fillId="12" borderId="0" xfId="0" applyFont="1" applyFill="1" applyBorder="1" applyAlignment="1" applyProtection="1">
      <alignment vertical="center" wrapText="1"/>
      <protection locked="0"/>
    </xf>
    <xf numFmtId="0" fontId="50" fillId="6" borderId="40" xfId="8" applyFont="1" applyFill="1" applyBorder="1" applyAlignment="1" applyProtection="1">
      <alignment horizontal="center" vertical="center" wrapText="1"/>
      <protection locked="0"/>
    </xf>
    <xf numFmtId="0" fontId="50" fillId="6" borderId="0" xfId="8" applyFont="1" applyFill="1" applyBorder="1" applyAlignment="1" applyProtection="1">
      <alignment vertical="center" wrapText="1"/>
      <protection locked="0"/>
    </xf>
    <xf numFmtId="10" fontId="52" fillId="6" borderId="61" xfId="8" applyNumberFormat="1" applyFont="1" applyFill="1" applyBorder="1" applyAlignment="1" applyProtection="1">
      <alignment horizontal="center" vertical="center" wrapText="1"/>
    </xf>
    <xf numFmtId="0" fontId="50" fillId="0" borderId="0" xfId="0" applyFont="1" applyAlignment="1" applyProtection="1">
      <alignment vertical="center" wrapText="1"/>
      <protection locked="0"/>
    </xf>
    <xf numFmtId="0" fontId="52" fillId="7" borderId="0" xfId="8" applyFont="1" applyFill="1" applyAlignment="1" applyProtection="1">
      <alignment horizontal="center" vertical="center" wrapText="1"/>
      <protection locked="0"/>
    </xf>
    <xf numFmtId="0" fontId="52" fillId="0" borderId="0" xfId="8" applyFont="1" applyAlignment="1" applyProtection="1">
      <alignment horizontal="center" vertical="center" wrapText="1"/>
      <protection locked="0"/>
    </xf>
    <xf numFmtId="10" fontId="52"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97" fillId="12" borderId="0" xfId="0" applyFont="1" applyFill="1" applyProtection="1">
      <alignment vertical="center"/>
      <protection locked="0"/>
    </xf>
    <xf numFmtId="0" fontId="123" fillId="12" borderId="0" xfId="0" applyFont="1" applyFill="1" applyProtection="1">
      <alignment vertical="center"/>
      <protection locked="0"/>
    </xf>
    <xf numFmtId="0" fontId="46" fillId="0" borderId="3" xfId="0" applyFont="1" applyFill="1" applyBorder="1" applyProtection="1">
      <alignment vertical="center"/>
      <protection locked="0"/>
    </xf>
    <xf numFmtId="0" fontId="46" fillId="0" borderId="24" xfId="0" applyFont="1" applyFill="1" applyBorder="1" applyProtection="1">
      <alignment vertical="center"/>
      <protection locked="0"/>
    </xf>
    <xf numFmtId="0" fontId="43" fillId="0" borderId="22" xfId="0" applyFont="1" applyFill="1" applyBorder="1" applyProtection="1">
      <alignment vertical="center"/>
      <protection locked="0"/>
    </xf>
    <xf numFmtId="0" fontId="43" fillId="0" borderId="61" xfId="0" applyFont="1" applyFill="1" applyBorder="1" applyProtection="1">
      <alignment vertical="center"/>
      <protection locked="0"/>
    </xf>
    <xf numFmtId="0" fontId="122" fillId="12" borderId="0" xfId="0" applyFont="1" applyFill="1" applyAlignment="1" applyProtection="1">
      <alignment vertical="center"/>
    </xf>
    <xf numFmtId="0" fontId="99" fillId="12" borderId="0" xfId="0" applyFont="1" applyFill="1" applyAlignment="1" applyProtection="1">
      <alignment vertical="center"/>
    </xf>
    <xf numFmtId="0" fontId="238" fillId="12" borderId="0" xfId="0" applyFont="1" applyFill="1" applyAlignment="1" applyProtection="1">
      <alignment horizontal="left" vertical="center"/>
    </xf>
    <xf numFmtId="0" fontId="99"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4" fillId="12" borderId="0" xfId="1" applyFont="1" applyFill="1" applyBorder="1" applyAlignment="1" applyProtection="1">
      <alignment vertical="center"/>
    </xf>
    <xf numFmtId="0" fontId="44"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1" fillId="6" borderId="1" xfId="0" applyFont="1" applyFill="1" applyBorder="1" applyAlignment="1" applyProtection="1">
      <alignment horizontal="center" vertical="center"/>
    </xf>
    <xf numFmtId="0" fontId="101"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3"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5"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80" fontId="239" fillId="6" borderId="1" xfId="2" applyNumberFormat="1" applyFont="1" applyFill="1" applyBorder="1" applyAlignment="1">
      <alignment horizontal="center"/>
    </xf>
    <xf numFmtId="0" fontId="94"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3" fillId="6" borderId="60" xfId="4" applyNumberFormat="1" applyFont="1" applyFill="1" applyBorder="1" applyAlignment="1" applyProtection="1"/>
    <xf numFmtId="0" fontId="62" fillId="6" borderId="0" xfId="4" applyFont="1" applyFill="1" applyAlignment="1" applyProtection="1">
      <alignment horizontal="center" vertical="center"/>
    </xf>
    <xf numFmtId="49" fontId="57" fillId="6" borderId="0" xfId="4" applyNumberFormat="1" applyFont="1" applyFill="1" applyBorder="1" applyAlignment="1" applyProtection="1">
      <alignment horizontal="center"/>
    </xf>
    <xf numFmtId="0" fontId="57" fillId="6" borderId="0" xfId="4" applyNumberFormat="1" applyFont="1" applyFill="1" applyBorder="1" applyAlignment="1" applyProtection="1">
      <alignment horizontal="center"/>
    </xf>
    <xf numFmtId="0" fontId="57"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3" fillId="5" borderId="16" xfId="4" applyFont="1" applyFill="1" applyBorder="1" applyAlignment="1" applyProtection="1">
      <alignment vertical="center"/>
      <protection locked="0"/>
    </xf>
    <xf numFmtId="0" fontId="53" fillId="5" borderId="19" xfId="4" applyFont="1" applyFill="1" applyBorder="1" applyAlignment="1" applyProtection="1">
      <alignment vertical="center"/>
      <protection locked="0"/>
    </xf>
    <xf numFmtId="0" fontId="53" fillId="5" borderId="31" xfId="4" applyFont="1" applyFill="1" applyBorder="1" applyAlignment="1" applyProtection="1">
      <alignment vertical="center"/>
      <protection locked="0"/>
    </xf>
    <xf numFmtId="0" fontId="52" fillId="0" borderId="0" xfId="4" applyFont="1" applyAlignment="1" applyProtection="1">
      <alignment horizontal="left" vertical="center"/>
      <protection locked="0"/>
    </xf>
    <xf numFmtId="0" fontId="3" fillId="0" borderId="0" xfId="4" applyFont="1" applyAlignment="1">
      <alignment horizontal="left"/>
    </xf>
    <xf numFmtId="186" fontId="51" fillId="6" borderId="1" xfId="4" applyNumberFormat="1" applyFont="1" applyFill="1" applyBorder="1" applyAlignment="1" applyProtection="1">
      <alignment horizontal="right" vertical="center"/>
    </xf>
    <xf numFmtId="0" fontId="52" fillId="6" borderId="0" xfId="4" applyFont="1" applyFill="1" applyBorder="1" applyAlignment="1" applyProtection="1">
      <alignment vertical="center"/>
    </xf>
    <xf numFmtId="49" fontId="52" fillId="6" borderId="0" xfId="4" applyNumberFormat="1" applyFont="1" applyFill="1" applyBorder="1" applyAlignment="1" applyProtection="1"/>
    <xf numFmtId="49" fontId="53" fillId="6" borderId="0" xfId="4" applyNumberFormat="1" applyFont="1" applyFill="1" applyBorder="1" applyAlignment="1" applyProtection="1"/>
    <xf numFmtId="49" fontId="53"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2" fillId="0" borderId="0" xfId="4" applyFont="1" applyAlignment="1" applyProtection="1">
      <alignment horizontal="left"/>
      <protection locked="0"/>
    </xf>
    <xf numFmtId="0" fontId="53" fillId="0" borderId="1" xfId="4"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3" fillId="6" borderId="24" xfId="4" applyFont="1" applyFill="1" applyBorder="1" applyAlignment="1" applyProtection="1">
      <alignment horizontal="left" vertical="center"/>
      <protection locked="0"/>
    </xf>
    <xf numFmtId="0" fontId="19" fillId="0" borderId="0" xfId="4" applyFont="1" applyAlignment="1">
      <alignment horizontal="left"/>
    </xf>
    <xf numFmtId="0" fontId="53" fillId="6" borderId="13" xfId="1" applyFont="1" applyFill="1" applyBorder="1" applyAlignment="1" applyProtection="1">
      <alignment vertical="center"/>
    </xf>
    <xf numFmtId="0" fontId="51" fillId="6" borderId="13" xfId="4" applyFont="1" applyFill="1" applyBorder="1" applyAlignment="1" applyProtection="1">
      <alignment horizontal="right" vertical="center"/>
    </xf>
    <xf numFmtId="178" fontId="98" fillId="0" borderId="1" xfId="1" applyNumberFormat="1" applyFont="1" applyBorder="1" applyAlignment="1" applyProtection="1">
      <alignment horizontal="left" vertical="center"/>
      <protection locked="0" hidden="1"/>
    </xf>
    <xf numFmtId="178" fontId="98" fillId="0" borderId="24" xfId="1" applyNumberFormat="1" applyFont="1" applyBorder="1" applyAlignment="1" applyProtection="1">
      <alignment horizontal="left" vertical="center"/>
      <protection locked="0" hidden="1"/>
    </xf>
    <xf numFmtId="178" fontId="52"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2" fillId="0" borderId="1" xfId="4" applyFont="1" applyFill="1" applyBorder="1" applyAlignment="1" applyProtection="1">
      <alignment horizontal="left" vertical="center"/>
      <protection locked="0"/>
    </xf>
    <xf numFmtId="0" fontId="52" fillId="0" borderId="13" xfId="4" applyFont="1" applyFill="1" applyBorder="1" applyAlignment="1" applyProtection="1">
      <alignment horizontal="left" vertical="center"/>
      <protection locked="0"/>
    </xf>
    <xf numFmtId="0" fontId="52" fillId="0" borderId="61" xfId="4" applyFont="1" applyFill="1" applyBorder="1" applyAlignment="1" applyProtection="1">
      <alignment horizontal="left" vertical="center"/>
      <protection locked="0"/>
    </xf>
    <xf numFmtId="0" fontId="52" fillId="6" borderId="61" xfId="4" applyFont="1" applyFill="1" applyBorder="1" applyAlignment="1" applyProtection="1">
      <alignment horizontal="left" vertical="center"/>
      <protection locked="0"/>
    </xf>
    <xf numFmtId="0" fontId="79" fillId="6" borderId="0" xfId="1" applyFont="1" applyFill="1" applyBorder="1" applyAlignment="1" applyProtection="1">
      <alignment vertical="center"/>
    </xf>
    <xf numFmtId="0" fontId="46"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1" fillId="6" borderId="37" xfId="4" applyFont="1" applyFill="1" applyBorder="1" applyAlignment="1" applyProtection="1">
      <alignment vertical="center"/>
      <protection locked="0"/>
    </xf>
    <xf numFmtId="0" fontId="101" fillId="6" borderId="54" xfId="4" applyFont="1" applyFill="1" applyBorder="1" applyAlignment="1" applyProtection="1">
      <alignment vertical="center"/>
      <protection locked="0"/>
    </xf>
    <xf numFmtId="0" fontId="53" fillId="6" borderId="54" xfId="4" applyFont="1" applyFill="1" applyBorder="1" applyAlignment="1" applyProtection="1">
      <alignment vertical="center"/>
      <protection locked="0"/>
    </xf>
    <xf numFmtId="0" fontId="53" fillId="0" borderId="34" xfId="4" applyFont="1" applyFill="1" applyBorder="1" applyAlignment="1" applyProtection="1">
      <alignment horizontal="left" vertical="center"/>
      <protection locked="0"/>
    </xf>
    <xf numFmtId="0" fontId="53" fillId="6" borderId="64" xfId="4" applyFont="1" applyFill="1" applyBorder="1" applyAlignment="1">
      <alignment vertical="center"/>
    </xf>
    <xf numFmtId="0" fontId="53" fillId="6" borderId="65" xfId="4" applyFont="1" applyFill="1" applyBorder="1" applyAlignment="1">
      <alignment vertical="center"/>
    </xf>
    <xf numFmtId="0" fontId="53" fillId="0" borderId="0" xfId="4" applyFont="1" applyFill="1" applyBorder="1" applyAlignment="1" applyProtection="1">
      <alignment vertical="center"/>
      <protection locked="0"/>
    </xf>
    <xf numFmtId="0" fontId="52" fillId="6" borderId="5" xfId="4" applyFont="1" applyFill="1" applyBorder="1" applyAlignment="1" applyProtection="1">
      <alignment vertical="center"/>
      <protection locked="0"/>
    </xf>
    <xf numFmtId="0" fontId="52" fillId="6" borderId="1" xfId="4" applyFont="1" applyFill="1" applyBorder="1" applyAlignment="1" applyProtection="1">
      <alignment horizontal="left" vertical="center"/>
      <protection locked="0"/>
    </xf>
    <xf numFmtId="0" fontId="53" fillId="6" borderId="69" xfId="4" applyFont="1" applyFill="1" applyBorder="1" applyAlignment="1">
      <alignment horizontal="left" vertical="center"/>
    </xf>
    <xf numFmtId="0" fontId="53" fillId="6" borderId="60" xfId="4" applyFont="1" applyFill="1" applyBorder="1" applyAlignment="1">
      <alignment horizontal="left" vertical="center"/>
    </xf>
    <xf numFmtId="0" fontId="53" fillId="6" borderId="7" xfId="4" applyFont="1" applyFill="1" applyBorder="1" applyAlignment="1">
      <alignment horizontal="left" vertical="center"/>
    </xf>
    <xf numFmtId="186" fontId="53" fillId="6" borderId="4" xfId="4" applyNumberFormat="1" applyFont="1" applyFill="1" applyBorder="1" applyAlignment="1">
      <alignment horizontal="left" vertical="center"/>
    </xf>
    <xf numFmtId="10" fontId="53" fillId="6" borderId="60" xfId="4" applyNumberFormat="1" applyFont="1" applyFill="1" applyBorder="1" applyAlignment="1">
      <alignment horizontal="left" vertical="center"/>
    </xf>
    <xf numFmtId="186" fontId="53" fillId="6" borderId="71" xfId="4" applyNumberFormat="1" applyFont="1" applyFill="1" applyBorder="1" applyAlignment="1">
      <alignment horizontal="left" vertical="center"/>
    </xf>
    <xf numFmtId="186" fontId="53" fillId="0" borderId="0" xfId="4" applyNumberFormat="1" applyFont="1" applyFill="1" applyBorder="1" applyAlignment="1" applyProtection="1">
      <alignment horizontal="left" vertical="center"/>
      <protection locked="0"/>
    </xf>
    <xf numFmtId="0" fontId="52" fillId="0" borderId="5" xfId="4" applyFont="1" applyFill="1" applyBorder="1" applyAlignment="1" applyProtection="1">
      <alignment vertical="center"/>
      <protection locked="0"/>
    </xf>
    <xf numFmtId="0" fontId="98" fillId="0" borderId="1" xfId="4" applyFont="1" applyFill="1" applyBorder="1" applyAlignment="1" applyProtection="1">
      <alignment horizontal="left" vertical="center"/>
      <protection locked="0"/>
    </xf>
    <xf numFmtId="9" fontId="52" fillId="0" borderId="1" xfId="4" applyNumberFormat="1" applyFont="1" applyFill="1" applyBorder="1" applyAlignment="1" applyProtection="1">
      <alignment horizontal="left" vertical="center"/>
      <protection locked="0"/>
    </xf>
    <xf numFmtId="178" fontId="52" fillId="0" borderId="1" xfId="4" applyNumberFormat="1" applyFont="1" applyFill="1" applyBorder="1" applyAlignment="1" applyProtection="1">
      <alignment horizontal="left" vertical="center"/>
      <protection locked="0"/>
    </xf>
    <xf numFmtId="0" fontId="52" fillId="0" borderId="24" xfId="4" applyFont="1" applyFill="1" applyBorder="1" applyAlignment="1" applyProtection="1">
      <alignment horizontal="left" vertical="center"/>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0" fontId="53" fillId="6" borderId="24" xfId="4" applyFont="1" applyFill="1" applyBorder="1" applyAlignment="1">
      <alignment vertical="center"/>
    </xf>
    <xf numFmtId="182" fontId="53" fillId="6" borderId="1" xfId="4" applyNumberFormat="1" applyFont="1" applyFill="1" applyBorder="1" applyAlignment="1">
      <alignment horizontal="left" vertical="center"/>
    </xf>
    <xf numFmtId="49" fontId="52" fillId="6" borderId="23" xfId="4" applyNumberFormat="1" applyFont="1" applyFill="1" applyBorder="1" applyAlignment="1">
      <alignment horizontal="left" vertical="center"/>
    </xf>
    <xf numFmtId="186" fontId="52" fillId="6" borderId="1" xfId="4" applyNumberFormat="1" applyFont="1" applyFill="1" applyBorder="1" applyAlignment="1">
      <alignment horizontal="left" vertical="center"/>
    </xf>
    <xf numFmtId="182" fontId="52" fillId="6" borderId="1" xfId="4" applyNumberFormat="1" applyFont="1" applyFill="1" applyBorder="1" applyAlignment="1">
      <alignment horizontal="left" vertical="center"/>
    </xf>
    <xf numFmtId="0" fontId="52"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2" fillId="0" borderId="1" xfId="4" applyNumberFormat="1" applyFont="1" applyFill="1" applyBorder="1" applyAlignment="1" applyProtection="1">
      <alignment horizontal="left" vertical="center"/>
      <protection locked="0"/>
    </xf>
    <xf numFmtId="182" fontId="52" fillId="6" borderId="3" xfId="4" applyNumberFormat="1" applyFont="1" applyFill="1" applyBorder="1" applyAlignment="1">
      <alignment horizontal="right" vertical="center"/>
    </xf>
    <xf numFmtId="0" fontId="53" fillId="6" borderId="5"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53" fillId="6" borderId="1" xfId="4" applyNumberFormat="1" applyFont="1" applyFill="1" applyBorder="1" applyAlignment="1" applyProtection="1">
      <alignment horizontal="left" vertical="center"/>
      <protection locked="0"/>
    </xf>
    <xf numFmtId="178" fontId="53" fillId="6" borderId="1" xfId="4" applyNumberFormat="1" applyFont="1" applyFill="1" applyBorder="1" applyAlignment="1" applyProtection="1">
      <alignment horizontal="left" vertical="center"/>
      <protection locked="0"/>
    </xf>
    <xf numFmtId="178" fontId="52" fillId="0" borderId="24" xfId="4" applyNumberFormat="1" applyFont="1" applyFill="1" applyBorder="1" applyAlignment="1" applyProtection="1">
      <alignment horizontal="left" vertical="center"/>
      <protection locked="0"/>
    </xf>
    <xf numFmtId="186" fontId="52" fillId="0" borderId="1" xfId="4" applyNumberFormat="1" applyFont="1" applyFill="1" applyBorder="1" applyAlignment="1" applyProtection="1">
      <alignment horizontal="left" vertical="center"/>
      <protection locked="0"/>
    </xf>
    <xf numFmtId="182" fontId="52" fillId="0" borderId="1" xfId="4" applyNumberFormat="1" applyFont="1" applyFill="1" applyBorder="1" applyAlignment="1" applyProtection="1">
      <alignment horizontal="left" vertical="center"/>
      <protection locked="0"/>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182" fontId="53" fillId="0" borderId="32" xfId="4" applyNumberFormat="1" applyFont="1" applyFill="1" applyBorder="1" applyAlignment="1" applyProtection="1">
      <alignment horizontal="left" vertical="center"/>
      <protection locked="0"/>
    </xf>
    <xf numFmtId="0" fontId="53" fillId="6" borderId="49" xfId="4" applyFont="1" applyFill="1" applyBorder="1" applyAlignment="1">
      <alignment vertical="center"/>
    </xf>
    <xf numFmtId="186" fontId="53" fillId="6" borderId="60" xfId="4" applyNumberFormat="1" applyFont="1" applyFill="1" applyBorder="1" applyAlignment="1">
      <alignment horizontal="left" vertical="center"/>
    </xf>
    <xf numFmtId="182" fontId="53" fillId="0" borderId="60" xfId="4" applyNumberFormat="1" applyFont="1" applyFill="1" applyBorder="1" applyAlignment="1" applyProtection="1">
      <alignment horizontal="left" vertical="center"/>
      <protection locked="0"/>
    </xf>
    <xf numFmtId="0" fontId="53" fillId="6" borderId="56" xfId="4" applyFont="1" applyFill="1" applyBorder="1" applyAlignment="1">
      <alignment vertical="center"/>
    </xf>
    <xf numFmtId="0" fontId="53" fillId="6" borderId="63" xfId="4" applyFont="1" applyFill="1" applyBorder="1" applyAlignment="1">
      <alignment vertical="center"/>
    </xf>
    <xf numFmtId="178" fontId="52" fillId="5" borderId="1" xfId="4" applyNumberFormat="1" applyFont="1" applyFill="1" applyBorder="1" applyAlignment="1" applyProtection="1">
      <alignment horizontal="left" vertical="center"/>
      <protection locked="0"/>
    </xf>
    <xf numFmtId="0" fontId="101" fillId="6" borderId="24" xfId="4" applyFont="1" applyFill="1" applyBorder="1" applyAlignment="1" applyProtection="1">
      <alignment horizontal="left" vertical="center"/>
      <protection locked="0"/>
    </xf>
    <xf numFmtId="0" fontId="53" fillId="6" borderId="71" xfId="4" applyFont="1" applyFill="1" applyBorder="1" applyAlignment="1">
      <alignment horizontal="left" vertical="center"/>
    </xf>
    <xf numFmtId="0" fontId="98" fillId="0" borderId="1" xfId="4" applyFont="1" applyFill="1" applyBorder="1" applyAlignment="1" applyProtection="1">
      <alignment horizontal="left" vertical="center" wrapText="1"/>
      <protection locked="0"/>
    </xf>
    <xf numFmtId="0" fontId="52" fillId="0" borderId="0" xfId="4" applyFont="1" applyFill="1" applyAlignment="1" applyProtection="1">
      <alignment horizontal="left" vertical="center"/>
      <protection locked="0"/>
    </xf>
    <xf numFmtId="0" fontId="53" fillId="6" borderId="5" xfId="4" applyFont="1" applyFill="1" applyBorder="1" applyAlignment="1">
      <alignment horizontal="left" vertical="center"/>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0" fontId="98"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2" fillId="0" borderId="0" xfId="4" applyFont="1" applyFill="1" applyBorder="1" applyAlignment="1" applyProtection="1">
      <alignment horizontal="left" vertical="center"/>
      <protection locked="0"/>
    </xf>
    <xf numFmtId="0" fontId="52" fillId="6" borderId="37" xfId="4" applyFont="1" applyFill="1" applyBorder="1" applyAlignment="1">
      <alignment horizontal="left" vertical="center"/>
    </xf>
    <xf numFmtId="0" fontId="52" fillId="6" borderId="1" xfId="4" applyFont="1" applyFill="1" applyBorder="1" applyAlignment="1">
      <alignment horizontal="left" vertical="center"/>
    </xf>
    <xf numFmtId="186" fontId="52" fillId="6" borderId="5" xfId="4" applyNumberFormat="1" applyFont="1" applyFill="1" applyBorder="1" applyAlignment="1">
      <alignment horizontal="left" vertical="center"/>
    </xf>
    <xf numFmtId="186" fontId="52" fillId="6" borderId="158" xfId="4" applyNumberFormat="1" applyFont="1" applyFill="1" applyBorder="1" applyAlignment="1">
      <alignment horizontal="left" vertical="center"/>
    </xf>
    <xf numFmtId="186" fontId="52" fillId="6" borderId="3" xfId="4" applyNumberFormat="1" applyFont="1" applyFill="1" applyBorder="1" applyAlignment="1">
      <alignment horizontal="left" vertical="center"/>
    </xf>
    <xf numFmtId="0" fontId="52" fillId="6" borderId="24" xfId="4" applyFont="1" applyFill="1" applyBorder="1" applyAlignment="1">
      <alignment horizontal="left" vertical="center"/>
    </xf>
    <xf numFmtId="0" fontId="52" fillId="0" borderId="0" xfId="4" applyFont="1" applyFill="1" applyBorder="1" applyAlignment="1" applyProtection="1">
      <alignment horizontal="right" vertical="center"/>
      <protection locked="0"/>
    </xf>
    <xf numFmtId="0" fontId="52" fillId="6" borderId="37" xfId="4" applyFont="1" applyFill="1" applyBorder="1" applyAlignment="1">
      <alignment horizontal="right" vertical="center"/>
    </xf>
    <xf numFmtId="0" fontId="52" fillId="6" borderId="1" xfId="4" applyFont="1" applyFill="1" applyBorder="1" applyAlignment="1">
      <alignment horizontal="right" vertical="center"/>
    </xf>
    <xf numFmtId="186" fontId="52" fillId="6" borderId="5" xfId="4" applyNumberFormat="1" applyFont="1" applyFill="1" applyBorder="1" applyAlignment="1">
      <alignment horizontal="right" vertical="center"/>
    </xf>
    <xf numFmtId="182" fontId="52" fillId="0" borderId="158" xfId="4" applyNumberFormat="1" applyFont="1" applyFill="1" applyBorder="1" applyAlignment="1" applyProtection="1">
      <alignment horizontal="right" vertical="center"/>
      <protection locked="0"/>
    </xf>
    <xf numFmtId="182" fontId="52" fillId="0" borderId="3" xfId="4" applyNumberFormat="1" applyFont="1" applyFill="1" applyBorder="1" applyAlignment="1" applyProtection="1">
      <alignment horizontal="right" vertical="center"/>
      <protection locked="0"/>
    </xf>
    <xf numFmtId="0" fontId="52" fillId="6" borderId="24" xfId="4" applyFont="1" applyFill="1" applyBorder="1" applyAlignment="1">
      <alignment horizontal="right" vertical="center"/>
    </xf>
    <xf numFmtId="0" fontId="53" fillId="6" borderId="23" xfId="4" applyFont="1" applyFill="1" applyBorder="1" applyAlignment="1" applyProtection="1">
      <alignment horizontal="left" vertical="center" wrapText="1"/>
      <protection locked="0"/>
    </xf>
    <xf numFmtId="0" fontId="53" fillId="6" borderId="5" xfId="4" applyFont="1" applyFill="1" applyBorder="1" applyAlignment="1" applyProtection="1">
      <alignment vertical="center" wrapText="1"/>
      <protection locked="0"/>
    </xf>
    <xf numFmtId="0" fontId="53" fillId="6" borderId="54" xfId="4" applyFont="1" applyFill="1" applyBorder="1" applyAlignment="1" applyProtection="1">
      <alignment vertical="center" wrapText="1"/>
      <protection locked="0"/>
    </xf>
    <xf numFmtId="0" fontId="53" fillId="6" borderId="3" xfId="4" applyFont="1" applyFill="1" applyBorder="1" applyAlignment="1" applyProtection="1">
      <alignment vertical="center" wrapText="1"/>
      <protection locked="0"/>
    </xf>
    <xf numFmtId="9" fontId="98" fillId="0" borderId="1" xfId="4" applyNumberFormat="1" applyFont="1" applyFill="1" applyBorder="1" applyAlignment="1" applyProtection="1">
      <alignment horizontal="left" vertical="center"/>
      <protection locked="0"/>
    </xf>
    <xf numFmtId="0" fontId="52" fillId="0" borderId="0" xfId="4" applyFont="1" applyAlignment="1" applyProtection="1">
      <alignment horizontal="right"/>
      <protection locked="0"/>
    </xf>
    <xf numFmtId="0" fontId="19" fillId="0" borderId="0" xfId="4" applyFont="1" applyAlignment="1">
      <alignment horizontal="right"/>
    </xf>
    <xf numFmtId="0" fontId="101" fillId="6" borderId="46" xfId="4" applyFont="1" applyFill="1" applyBorder="1" applyAlignment="1" applyProtection="1">
      <alignment vertical="center"/>
      <protection locked="0"/>
    </xf>
    <xf numFmtId="0" fontId="101" fillId="6" borderId="36" xfId="4" applyFont="1" applyFill="1" applyBorder="1" applyAlignment="1" applyProtection="1">
      <alignment vertical="center"/>
      <protection locked="0"/>
    </xf>
    <xf numFmtId="0" fontId="101" fillId="6" borderId="22" xfId="4" applyFont="1" applyFill="1" applyBorder="1" applyAlignment="1" applyProtection="1">
      <alignment vertical="center"/>
      <protection locked="0"/>
    </xf>
    <xf numFmtId="0" fontId="98" fillId="6" borderId="1" xfId="4" applyFont="1" applyFill="1" applyBorder="1" applyAlignment="1" applyProtection="1">
      <alignment horizontal="left" vertical="center"/>
      <protection locked="0"/>
    </xf>
    <xf numFmtId="9" fontId="98" fillId="6" borderId="1" xfId="4" applyNumberFormat="1" applyFont="1" applyFill="1" applyBorder="1" applyAlignment="1" applyProtection="1">
      <alignment horizontal="left" vertical="center"/>
      <protection locked="0"/>
    </xf>
    <xf numFmtId="0" fontId="53" fillId="0" borderId="0" xfId="4" applyFont="1" applyFill="1" applyAlignment="1" applyProtection="1">
      <alignment horizontal="left" vertical="center"/>
      <protection locked="0"/>
    </xf>
    <xf numFmtId="182" fontId="52"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1" fillId="6" borderId="4" xfId="4" applyFont="1" applyFill="1" applyBorder="1" applyAlignment="1" applyProtection="1">
      <alignment vertical="center"/>
      <protection locked="0"/>
    </xf>
    <xf numFmtId="0" fontId="101" fillId="6" borderId="60" xfId="4" applyFont="1" applyFill="1" applyBorder="1" applyAlignment="1" applyProtection="1">
      <alignment vertical="center"/>
      <protection locked="0"/>
    </xf>
    <xf numFmtId="0" fontId="101" fillId="6" borderId="7"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101" fillId="0" borderId="1" xfId="4" applyNumberFormat="1" applyFont="1" applyFill="1" applyBorder="1" applyAlignment="1" applyProtection="1">
      <alignment horizontal="left" vertical="center"/>
      <protection locked="0"/>
    </xf>
    <xf numFmtId="0" fontId="79"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2" fillId="0" borderId="32" xfId="4" applyNumberFormat="1" applyFont="1" applyFill="1" applyBorder="1" applyAlignment="1" applyProtection="1">
      <alignment horizontal="left" vertical="center"/>
      <protection locked="0"/>
    </xf>
    <xf numFmtId="182" fontId="98"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2" fontId="52" fillId="6" borderId="158" xfId="4" applyNumberFormat="1" applyFont="1" applyFill="1" applyBorder="1" applyAlignment="1">
      <alignment horizontal="right" vertical="center"/>
    </xf>
    <xf numFmtId="182" fontId="52" fillId="0" borderId="5" xfId="4" applyNumberFormat="1" applyFont="1" applyFill="1" applyBorder="1" applyAlignment="1" applyProtection="1">
      <alignment horizontal="right" vertical="center"/>
      <protection locked="0"/>
    </xf>
    <xf numFmtId="0" fontId="53" fillId="6" borderId="1" xfId="4" applyFont="1" applyFill="1" applyBorder="1" applyAlignment="1" applyProtection="1">
      <alignment horizontal="left" vertical="center"/>
      <protection locked="0"/>
    </xf>
    <xf numFmtId="0" fontId="52" fillId="6" borderId="158" xfId="4" applyFont="1" applyFill="1" applyBorder="1" applyAlignment="1">
      <alignment horizontal="left" vertical="center"/>
    </xf>
    <xf numFmtId="0" fontId="52" fillId="6" borderId="3" xfId="4" applyFont="1" applyFill="1" applyBorder="1" applyAlignment="1">
      <alignment horizontal="left" vertical="center"/>
    </xf>
    <xf numFmtId="178" fontId="52" fillId="6" borderId="1" xfId="4" applyNumberFormat="1" applyFont="1" applyFill="1" applyBorder="1" applyAlignment="1" applyProtection="1">
      <alignment horizontal="left" vertical="center"/>
      <protection locked="0"/>
    </xf>
    <xf numFmtId="10" fontId="52" fillId="0" borderId="5" xfId="4" applyNumberFormat="1" applyFont="1" applyFill="1" applyBorder="1" applyAlignment="1" applyProtection="1">
      <alignment horizontal="left" vertical="center"/>
      <protection locked="0"/>
    </xf>
    <xf numFmtId="10" fontId="52" fillId="0" borderId="158" xfId="4" applyNumberFormat="1" applyFont="1" applyFill="1" applyBorder="1" applyAlignment="1" applyProtection="1">
      <alignment horizontal="left" vertical="center"/>
      <protection locked="0"/>
    </xf>
    <xf numFmtId="10" fontId="52" fillId="0" borderId="3" xfId="4" applyNumberFormat="1" applyFont="1" applyFill="1" applyBorder="1" applyAlignment="1" applyProtection="1">
      <alignment horizontal="left" vertical="center"/>
      <protection locked="0"/>
    </xf>
    <xf numFmtId="0" fontId="52" fillId="6" borderId="13" xfId="4" applyFont="1" applyFill="1" applyBorder="1" applyAlignment="1" applyProtection="1">
      <alignment horizontal="left" vertical="center"/>
      <protection locked="0"/>
    </xf>
    <xf numFmtId="182" fontId="52" fillId="0" borderId="5" xfId="4" applyNumberFormat="1" applyFont="1" applyFill="1" applyBorder="1" applyAlignment="1" applyProtection="1">
      <alignment horizontal="left" vertical="center"/>
      <protection locked="0"/>
    </xf>
    <xf numFmtId="182" fontId="52" fillId="0" borderId="158" xfId="4" applyNumberFormat="1" applyFont="1" applyFill="1" applyBorder="1" applyAlignment="1" applyProtection="1">
      <alignment horizontal="left" vertical="center"/>
      <protection locked="0"/>
    </xf>
    <xf numFmtId="182" fontId="52" fillId="0" borderId="3" xfId="4" applyNumberFormat="1" applyFont="1" applyFill="1" applyBorder="1" applyAlignment="1" applyProtection="1">
      <alignment horizontal="left" vertical="center"/>
      <protection locked="0"/>
    </xf>
    <xf numFmtId="177" fontId="52" fillId="0" borderId="0" xfId="4" applyNumberFormat="1" applyFont="1" applyFill="1" applyBorder="1" applyAlignment="1" applyProtection="1">
      <alignment horizontal="left" vertical="center"/>
      <protection locked="0"/>
    </xf>
    <xf numFmtId="0" fontId="53" fillId="6" borderId="5" xfId="4" applyFont="1" applyFill="1" applyBorder="1" applyAlignment="1" applyProtection="1">
      <alignment horizontal="left" vertical="center"/>
      <protection locked="0"/>
    </xf>
    <xf numFmtId="0" fontId="52" fillId="6" borderId="32" xfId="4" applyFont="1" applyFill="1" applyBorder="1" applyAlignment="1">
      <alignment horizontal="left" vertical="center"/>
    </xf>
    <xf numFmtId="177" fontId="52" fillId="0" borderId="33" xfId="4" applyNumberFormat="1" applyFont="1" applyFill="1" applyBorder="1" applyAlignment="1" applyProtection="1">
      <alignment horizontal="left" vertical="center"/>
      <protection locked="0"/>
    </xf>
    <xf numFmtId="177" fontId="52" fillId="0" borderId="159" xfId="4" applyNumberFormat="1" applyFont="1" applyFill="1" applyBorder="1" applyAlignment="1" applyProtection="1">
      <alignment horizontal="left" vertical="center"/>
      <protection locked="0"/>
    </xf>
    <xf numFmtId="177" fontId="52" fillId="0" borderId="66" xfId="4" applyNumberFormat="1" applyFont="1" applyFill="1" applyBorder="1" applyAlignment="1" applyProtection="1">
      <alignment horizontal="left" vertical="center"/>
      <protection locked="0"/>
    </xf>
    <xf numFmtId="177" fontId="52" fillId="6" borderId="24" xfId="4" applyNumberFormat="1" applyFont="1" applyFill="1" applyBorder="1" applyAlignment="1">
      <alignment horizontal="left" vertical="center"/>
    </xf>
    <xf numFmtId="0" fontId="52" fillId="0" borderId="0" xfId="4" applyFont="1" applyFill="1" applyBorder="1" applyAlignment="1" applyProtection="1">
      <alignment horizontal="left"/>
      <protection locked="0"/>
    </xf>
    <xf numFmtId="0" fontId="52" fillId="6" borderId="23" xfId="4" applyFont="1" applyFill="1" applyBorder="1" applyAlignment="1">
      <alignment horizontal="left" vertical="center"/>
    </xf>
    <xf numFmtId="186" fontId="52" fillId="6" borderId="1" xfId="4" applyNumberFormat="1" applyFont="1" applyFill="1" applyBorder="1" applyAlignment="1">
      <alignment horizontal="left"/>
    </xf>
    <xf numFmtId="0" fontId="52" fillId="6" borderId="1" xfId="4" applyFont="1" applyFill="1" applyBorder="1" applyAlignment="1">
      <alignment horizontal="left"/>
    </xf>
    <xf numFmtId="0" fontId="52" fillId="6" borderId="24" xfId="4" applyFont="1" applyFill="1" applyBorder="1" applyAlignment="1">
      <alignment horizontal="left"/>
    </xf>
    <xf numFmtId="0" fontId="52" fillId="6" borderId="25" xfId="4" applyFont="1" applyFill="1" applyBorder="1" applyAlignment="1">
      <alignment horizontal="left" vertical="center"/>
    </xf>
    <xf numFmtId="186" fontId="52" fillId="6" borderId="32" xfId="4" applyNumberFormat="1" applyFont="1" applyFill="1" applyBorder="1" applyAlignment="1">
      <alignment horizontal="left" vertical="center"/>
    </xf>
    <xf numFmtId="0" fontId="52" fillId="6" borderId="32" xfId="4" applyFont="1" applyFill="1" applyBorder="1" applyAlignment="1">
      <alignment horizontal="left"/>
    </xf>
    <xf numFmtId="0" fontId="52"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79"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8" fillId="6" borderId="11" xfId="0" applyFont="1" applyFill="1" applyBorder="1" applyAlignment="1" applyProtection="1">
      <alignment vertical="center"/>
    </xf>
    <xf numFmtId="0" fontId="98" fillId="6" borderId="14" xfId="0" applyFont="1" applyFill="1" applyBorder="1" applyAlignment="1" applyProtection="1">
      <alignment vertical="center"/>
    </xf>
    <xf numFmtId="0" fontId="98" fillId="6" borderId="41" xfId="0" applyFont="1" applyFill="1" applyBorder="1" applyAlignment="1" applyProtection="1">
      <alignment vertical="center"/>
    </xf>
    <xf numFmtId="0" fontId="0" fillId="0" borderId="0" xfId="0" applyNumberFormat="1">
      <alignment vertical="center"/>
    </xf>
    <xf numFmtId="0" fontId="98"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6" fillId="6" borderId="1" xfId="0"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35" xfId="0" applyFont="1" applyFill="1" applyBorder="1" applyAlignment="1" applyProtection="1">
      <alignment vertical="center" wrapText="1"/>
      <protection locked="0"/>
    </xf>
    <xf numFmtId="49" fontId="46" fillId="6" borderId="15" xfId="0" applyNumberFormat="1" applyFont="1" applyFill="1" applyBorder="1" applyAlignment="1" applyProtection="1">
      <alignment horizontal="center" vertical="center" wrapText="1"/>
      <protection locked="0"/>
    </xf>
    <xf numFmtId="178" fontId="46" fillId="6" borderId="15" xfId="0" applyNumberFormat="1" applyFont="1" applyFill="1" applyBorder="1" applyAlignment="1" applyProtection="1">
      <alignment horizontal="center" vertical="center" wrapText="1"/>
      <protection locked="0"/>
    </xf>
    <xf numFmtId="180" fontId="46" fillId="6" borderId="15" xfId="0" applyNumberFormat="1"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4" fillId="6" borderId="23" xfId="0" applyNumberFormat="1" applyFont="1" applyFill="1" applyBorder="1" applyAlignment="1" applyProtection="1">
      <alignment horizontal="left" vertical="center"/>
    </xf>
    <xf numFmtId="0" fontId="94"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4"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7" fontId="247" fillId="0" borderId="0" xfId="3" applyNumberFormat="1" applyFont="1" applyBorder="1" applyAlignment="1" applyProtection="1">
      <alignment horizontal="left" vertical="center"/>
    </xf>
    <xf numFmtId="177" fontId="248" fillId="6" borderId="6" xfId="3" applyNumberFormat="1" applyFont="1" applyFill="1" applyBorder="1" applyAlignment="1" applyProtection="1">
      <alignment horizontal="left" vertical="center"/>
    </xf>
    <xf numFmtId="177" fontId="248" fillId="6" borderId="9" xfId="3" applyNumberFormat="1" applyFont="1" applyFill="1" applyBorder="1" applyAlignment="1" applyProtection="1">
      <alignment horizontal="left" vertical="center"/>
    </xf>
    <xf numFmtId="177" fontId="248" fillId="6" borderId="9" xfId="3" applyNumberFormat="1" applyFont="1" applyFill="1" applyBorder="1" applyAlignment="1" applyProtection="1">
      <alignment horizontal="left" vertical="center" wrapText="1"/>
    </xf>
    <xf numFmtId="177" fontId="248" fillId="6" borderId="17" xfId="3" applyNumberFormat="1" applyFont="1" applyFill="1" applyBorder="1" applyAlignment="1" applyProtection="1">
      <alignment horizontal="left" vertical="center"/>
    </xf>
    <xf numFmtId="177" fontId="248" fillId="6" borderId="62" xfId="3" applyNumberFormat="1" applyFont="1" applyFill="1" applyBorder="1" applyAlignment="1" applyProtection="1">
      <alignment horizontal="left" vertical="center"/>
    </xf>
    <xf numFmtId="177" fontId="248" fillId="6" borderId="23" xfId="3" applyNumberFormat="1" applyFont="1" applyFill="1" applyBorder="1" applyAlignment="1" applyProtection="1">
      <alignment horizontal="left" vertical="center"/>
    </xf>
    <xf numFmtId="177" fontId="249" fillId="6" borderId="1" xfId="3" applyNumberFormat="1" applyFont="1" applyFill="1" applyBorder="1" applyAlignment="1" applyProtection="1">
      <alignment horizontal="left" vertical="center"/>
    </xf>
    <xf numFmtId="177" fontId="249" fillId="6" borderId="24" xfId="3" applyNumberFormat="1" applyFont="1" applyFill="1" applyBorder="1" applyAlignment="1" applyProtection="1">
      <alignment horizontal="left" vertical="center"/>
    </xf>
    <xf numFmtId="177" fontId="248" fillId="6" borderId="23" xfId="3" applyNumberFormat="1" applyFont="1" applyFill="1" applyBorder="1" applyAlignment="1" applyProtection="1">
      <alignment horizontal="left" vertical="center" wrapText="1"/>
    </xf>
    <xf numFmtId="177" fontId="248" fillId="6" borderId="25" xfId="3" applyNumberFormat="1" applyFont="1" applyFill="1" applyBorder="1" applyAlignment="1" applyProtection="1">
      <alignment horizontal="left" vertical="center" wrapText="1"/>
    </xf>
    <xf numFmtId="177" fontId="249" fillId="6" borderId="32" xfId="3" applyNumberFormat="1" applyFont="1" applyFill="1" applyBorder="1" applyAlignment="1" applyProtection="1">
      <alignment horizontal="left" vertical="center"/>
    </xf>
    <xf numFmtId="177" fontId="249" fillId="6" borderId="49" xfId="3" applyNumberFormat="1" applyFont="1" applyFill="1" applyBorder="1" applyAlignment="1" applyProtection="1">
      <alignment horizontal="left" vertical="center"/>
    </xf>
    <xf numFmtId="177" fontId="246" fillId="0" borderId="0" xfId="0" applyNumberFormat="1" applyFont="1" applyAlignment="1" applyProtection="1">
      <alignment horizontal="left" vertical="center"/>
    </xf>
    <xf numFmtId="177" fontId="244" fillId="0" borderId="0" xfId="0" applyNumberFormat="1" applyFont="1" applyAlignment="1" applyProtection="1">
      <alignment horizontal="left" vertical="center"/>
    </xf>
    <xf numFmtId="177" fontId="244" fillId="6" borderId="1" xfId="0" applyNumberFormat="1" applyFont="1" applyFill="1" applyBorder="1" applyAlignment="1" applyProtection="1">
      <alignment horizontal="left" vertical="center"/>
    </xf>
    <xf numFmtId="0" fontId="101" fillId="0" borderId="119" xfId="9" applyNumberFormat="1" applyFont="1" applyBorder="1" applyAlignment="1" applyProtection="1">
      <alignment horizontal="left" vertical="center"/>
    </xf>
    <xf numFmtId="0" fontId="101" fillId="6" borderId="120" xfId="9" applyNumberFormat="1" applyFont="1" applyFill="1" applyBorder="1" applyAlignment="1" applyProtection="1">
      <alignment horizontal="left" vertical="center"/>
    </xf>
    <xf numFmtId="0" fontId="101" fillId="6" borderId="119" xfId="9" applyNumberFormat="1" applyFont="1" applyFill="1" applyBorder="1" applyAlignment="1" applyProtection="1">
      <alignment horizontal="left" vertical="center"/>
    </xf>
    <xf numFmtId="0" fontId="96"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1"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1" fillId="0" borderId="0" xfId="9" applyNumberFormat="1" applyFont="1" applyFill="1" applyAlignment="1" applyProtection="1">
      <alignment horizontal="left" vertical="center"/>
    </xf>
    <xf numFmtId="0" fontId="101" fillId="0" borderId="121" xfId="9" applyNumberFormat="1" applyFont="1" applyFill="1" applyBorder="1" applyAlignment="1" applyProtection="1">
      <alignment horizontal="left" vertical="center"/>
    </xf>
    <xf numFmtId="0" fontId="101" fillId="0" borderId="0" xfId="9" applyNumberFormat="1" applyFont="1" applyFill="1" applyBorder="1" applyAlignment="1" applyProtection="1">
      <alignment horizontal="left" vertical="center"/>
    </xf>
    <xf numFmtId="0" fontId="101" fillId="17" borderId="0" xfId="9" applyNumberFormat="1" applyFont="1" applyFill="1" applyAlignment="1" applyProtection="1">
      <alignment horizontal="left" vertical="center"/>
    </xf>
    <xf numFmtId="10" fontId="101" fillId="0" borderId="121" xfId="9" applyNumberFormat="1" applyFont="1" applyFill="1" applyBorder="1" applyAlignment="1" applyProtection="1">
      <alignment horizontal="left" vertical="center"/>
    </xf>
    <xf numFmtId="10" fontId="101" fillId="0" borderId="0" xfId="9" applyNumberFormat="1" applyFont="1" applyFill="1" applyAlignment="1" applyProtection="1">
      <alignment horizontal="left" vertical="center"/>
    </xf>
    <xf numFmtId="0" fontId="98" fillId="0" borderId="0" xfId="9" applyNumberFormat="1" applyFont="1" applyAlignment="1" applyProtection="1">
      <alignment horizontal="left" vertical="center"/>
    </xf>
    <xf numFmtId="0" fontId="98" fillId="0" borderId="163" xfId="9" applyNumberFormat="1" applyFont="1" applyBorder="1" applyAlignment="1" applyProtection="1">
      <alignment horizontal="left" vertical="center"/>
    </xf>
    <xf numFmtId="0" fontId="98" fillId="0" borderId="164" xfId="9" applyNumberFormat="1" applyFont="1" applyBorder="1" applyAlignment="1" applyProtection="1">
      <alignment horizontal="left" vertical="center"/>
    </xf>
    <xf numFmtId="0" fontId="98" fillId="0" borderId="165" xfId="9" applyNumberFormat="1" applyFont="1" applyBorder="1" applyAlignment="1" applyProtection="1">
      <alignment horizontal="left" vertical="center"/>
    </xf>
    <xf numFmtId="10" fontId="98" fillId="0" borderId="0" xfId="9" applyNumberFormat="1" applyFont="1" applyAlignment="1" applyProtection="1">
      <alignment horizontal="left" vertical="center"/>
    </xf>
    <xf numFmtId="10" fontId="98" fillId="0" borderId="163" xfId="9" applyNumberFormat="1" applyFont="1" applyBorder="1" applyAlignment="1" applyProtection="1">
      <alignment horizontal="left" vertical="center"/>
    </xf>
    <xf numFmtId="10" fontId="98" fillId="0" borderId="164" xfId="9" applyNumberFormat="1" applyFont="1" applyBorder="1" applyAlignment="1" applyProtection="1">
      <alignment horizontal="left" vertical="center"/>
    </xf>
    <xf numFmtId="10" fontId="98" fillId="0" borderId="165" xfId="9" applyNumberFormat="1" applyFont="1" applyBorder="1" applyAlignment="1" applyProtection="1">
      <alignment horizontal="left" vertical="center"/>
    </xf>
    <xf numFmtId="0" fontId="52"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8" fillId="17" borderId="0" xfId="9" applyNumberFormat="1" applyFont="1" applyFill="1" applyAlignment="1" applyProtection="1">
      <alignment horizontal="left" vertical="center"/>
    </xf>
    <xf numFmtId="10" fontId="98" fillId="0" borderId="121" xfId="9" applyNumberFormat="1" applyFont="1" applyBorder="1" applyAlignment="1" applyProtection="1">
      <alignment horizontal="left" vertical="center"/>
    </xf>
    <xf numFmtId="0" fontId="98" fillId="0" borderId="0" xfId="9" applyNumberFormat="1" applyFont="1" applyFill="1" applyAlignment="1" applyProtection="1">
      <alignment horizontal="left" vertical="center"/>
    </xf>
    <xf numFmtId="10" fontId="98"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3"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1" fillId="21" borderId="0" xfId="9" applyNumberFormat="1" applyFont="1" applyFill="1" applyAlignment="1" applyProtection="1">
      <alignment horizontal="left" vertical="center"/>
    </xf>
    <xf numFmtId="10" fontId="101" fillId="21" borderId="121" xfId="9" applyNumberFormat="1" applyFont="1" applyFill="1" applyBorder="1" applyAlignment="1" applyProtection="1">
      <alignment horizontal="left" vertical="center"/>
    </xf>
    <xf numFmtId="10" fontId="101"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2"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8" fillId="17" borderId="171" xfId="9" applyNumberFormat="1" applyFont="1" applyFill="1" applyBorder="1" applyAlignment="1" applyProtection="1">
      <alignment horizontal="left" vertical="center"/>
    </xf>
    <xf numFmtId="10" fontId="98" fillId="18" borderId="172" xfId="9" applyNumberFormat="1" applyFont="1" applyFill="1" applyBorder="1" applyAlignment="1" applyProtection="1">
      <alignment horizontal="left" vertical="center"/>
    </xf>
    <xf numFmtId="10" fontId="98" fillId="18" borderId="171" xfId="9" applyNumberFormat="1" applyFont="1" applyFill="1" applyBorder="1" applyAlignment="1" applyProtection="1">
      <alignment horizontal="left" vertical="center"/>
    </xf>
    <xf numFmtId="0" fontId="98"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4" fillId="0" borderId="0" xfId="0" applyNumberFormat="1" applyFont="1">
      <alignment vertical="center"/>
    </xf>
    <xf numFmtId="0" fontId="101"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1" fillId="0" borderId="0" xfId="9" applyNumberFormat="1" applyFont="1" applyAlignment="1" applyProtection="1">
      <alignment vertical="center"/>
    </xf>
    <xf numFmtId="10" fontId="98" fillId="0" borderId="163" xfId="9" applyNumberFormat="1" applyFont="1" applyFill="1" applyBorder="1" applyAlignment="1" applyProtection="1">
      <alignment horizontal="left" vertical="center"/>
    </xf>
    <xf numFmtId="10" fontId="98" fillId="0" borderId="165" xfId="9" applyNumberFormat="1" applyFont="1" applyFill="1" applyBorder="1" applyAlignment="1" applyProtection="1">
      <alignment horizontal="left" vertical="center"/>
    </xf>
    <xf numFmtId="10" fontId="98" fillId="0" borderId="164" xfId="9" applyNumberFormat="1" applyFont="1" applyFill="1" applyBorder="1" applyAlignment="1" applyProtection="1">
      <alignment horizontal="left" vertical="center"/>
    </xf>
    <xf numFmtId="10" fontId="101" fillId="21" borderId="163" xfId="9" applyNumberFormat="1" applyFont="1" applyFill="1" applyBorder="1" applyAlignment="1" applyProtection="1">
      <alignment horizontal="left" vertical="center"/>
    </xf>
    <xf numFmtId="10" fontId="101" fillId="21" borderId="164" xfId="9" applyNumberFormat="1" applyFont="1" applyFill="1" applyBorder="1" applyAlignment="1" applyProtection="1">
      <alignment horizontal="left" vertical="center"/>
    </xf>
    <xf numFmtId="10" fontId="101" fillId="21" borderId="165" xfId="9" applyNumberFormat="1" applyFont="1" applyFill="1" applyBorder="1" applyAlignment="1" applyProtection="1">
      <alignment horizontal="left" vertical="center"/>
    </xf>
    <xf numFmtId="10" fontId="98" fillId="18" borderId="173" xfId="9" applyNumberFormat="1" applyFont="1" applyFill="1" applyBorder="1" applyAlignment="1" applyProtection="1">
      <alignment horizontal="left" vertical="center"/>
    </xf>
    <xf numFmtId="10" fontId="98" fillId="18" borderId="174" xfId="9" applyNumberFormat="1" applyFont="1" applyFill="1" applyBorder="1" applyAlignment="1" applyProtection="1">
      <alignment horizontal="left" vertical="center"/>
    </xf>
    <xf numFmtId="10" fontId="98"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8"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8" fillId="6" borderId="1" xfId="0" applyNumberFormat="1" applyFont="1" applyFill="1" applyBorder="1" applyAlignment="1">
      <alignment horizontal="left" vertical="center" wrapText="1"/>
    </xf>
    <xf numFmtId="10" fontId="98" fillId="6" borderId="24" xfId="0" applyNumberFormat="1" applyFont="1" applyFill="1" applyBorder="1" applyAlignment="1">
      <alignment horizontal="left" vertical="center" wrapText="1"/>
    </xf>
    <xf numFmtId="10" fontId="98" fillId="6" borderId="61" xfId="0" applyNumberFormat="1" applyFont="1" applyFill="1" applyBorder="1" applyAlignment="1">
      <alignment horizontal="left" vertical="center" wrapText="1"/>
    </xf>
    <xf numFmtId="193"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4"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7" fillId="6" borderId="14" xfId="0" applyNumberFormat="1" applyFont="1" applyFill="1" applyBorder="1" applyAlignment="1" applyProtection="1">
      <alignment vertical="center" wrapText="1"/>
    </xf>
    <xf numFmtId="49" fontId="52" fillId="6" borderId="14" xfId="0" applyNumberFormat="1" applyFont="1" applyFill="1" applyBorder="1" applyAlignment="1" applyProtection="1">
      <alignment vertical="center" wrapText="1"/>
    </xf>
    <xf numFmtId="0" fontId="97" fillId="6" borderId="0" xfId="0" applyNumberFormat="1" applyFont="1" applyFill="1" applyBorder="1" applyAlignment="1" applyProtection="1">
      <alignment horizontal="center" vertical="center"/>
    </xf>
    <xf numFmtId="0" fontId="97" fillId="6" borderId="0" xfId="0" applyNumberFormat="1" applyFont="1" applyFill="1" applyBorder="1" applyProtection="1">
      <alignment vertical="center"/>
    </xf>
    <xf numFmtId="10" fontId="52" fillId="6" borderId="0" xfId="0" applyNumberFormat="1" applyFont="1" applyFill="1" applyBorder="1" applyAlignment="1" applyProtection="1">
      <alignment vertical="center" wrapText="1"/>
    </xf>
    <xf numFmtId="49" fontId="52" fillId="6" borderId="12" xfId="0" applyNumberFormat="1" applyFont="1" applyFill="1" applyBorder="1" applyAlignment="1" applyProtection="1">
      <alignment vertical="center" wrapText="1"/>
    </xf>
    <xf numFmtId="49" fontId="79" fillId="6" borderId="26"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left" vertical="center" wrapText="1"/>
    </xf>
    <xf numFmtId="0" fontId="52" fillId="0" borderId="34" xfId="0" applyNumberFormat="1" applyFont="1" applyFill="1" applyBorder="1" applyAlignment="1" applyProtection="1">
      <alignment horizontal="left" vertical="center" wrapText="1"/>
      <protection locked="0"/>
    </xf>
    <xf numFmtId="0" fontId="52"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2" fillId="6" borderId="64" xfId="0" applyNumberFormat="1" applyFont="1" applyFill="1" applyBorder="1" applyAlignment="1" applyProtection="1">
      <alignment horizontal="left" vertical="center"/>
      <protection locked="0"/>
    </xf>
    <xf numFmtId="0" fontId="52" fillId="6" borderId="64" xfId="0" applyNumberFormat="1" applyFont="1" applyFill="1" applyBorder="1" applyAlignment="1" applyProtection="1">
      <alignment horizontal="left" vertical="center" wrapText="1"/>
      <protection locked="0"/>
    </xf>
    <xf numFmtId="0" fontId="52" fillId="6" borderId="65"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protection locked="0"/>
    </xf>
    <xf numFmtId="0" fontId="47" fillId="6" borderId="4"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2" fillId="0" borderId="13" xfId="0" applyNumberFormat="1" applyFont="1" applyFill="1" applyBorder="1" applyAlignment="1" applyProtection="1">
      <alignment horizontal="left" vertical="center" wrapText="1"/>
      <protection locked="0"/>
    </xf>
    <xf numFmtId="0" fontId="52" fillId="0" borderId="61" xfId="0" applyNumberFormat="1" applyFont="1" applyFill="1" applyBorder="1" applyAlignment="1" applyProtection="1">
      <alignment horizontal="left" vertical="center" wrapText="1"/>
      <protection locked="0"/>
    </xf>
    <xf numFmtId="0" fontId="98" fillId="6" borderId="15" xfId="0" applyFont="1" applyFill="1" applyBorder="1" applyAlignment="1" applyProtection="1">
      <alignment horizontal="left" vertical="center" wrapText="1"/>
    </xf>
    <xf numFmtId="0" fontId="79"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protection locked="0"/>
    </xf>
    <xf numFmtId="0" fontId="52" fillId="5" borderId="4"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wrapText="1"/>
      <protection locked="0"/>
    </xf>
    <xf numFmtId="49" fontId="79"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left" vertical="center" wrapText="1"/>
      <protection locked="0"/>
    </xf>
    <xf numFmtId="0" fontId="52" fillId="6" borderId="10" xfId="0" applyNumberFormat="1" applyFont="1" applyFill="1" applyBorder="1" applyAlignment="1" applyProtection="1">
      <alignment horizontal="left" vertical="center" wrapText="1"/>
      <protection locked="0"/>
    </xf>
    <xf numFmtId="49" fontId="97" fillId="6" borderId="23"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left" vertical="center" wrapText="1"/>
      <protection locked="0"/>
    </xf>
    <xf numFmtId="49" fontId="97" fillId="6" borderId="25" xfId="0" applyNumberFormat="1" applyFont="1" applyFill="1" applyBorder="1" applyAlignment="1" applyProtection="1">
      <alignment vertical="center" wrapText="1"/>
    </xf>
    <xf numFmtId="0" fontId="98" fillId="6" borderId="32" xfId="0"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protection locked="0"/>
    </xf>
    <xf numFmtId="0" fontId="52"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2" fillId="6" borderId="49" xfId="0" applyNumberFormat="1" applyFont="1" applyFill="1" applyBorder="1" applyAlignment="1" applyProtection="1">
      <alignment horizontal="left" vertical="center" wrapText="1"/>
      <protection locked="0"/>
    </xf>
    <xf numFmtId="0" fontId="52" fillId="6" borderId="28" xfId="0" applyFont="1" applyFill="1" applyBorder="1" applyAlignment="1" applyProtection="1">
      <alignment vertical="center" wrapText="1"/>
    </xf>
    <xf numFmtId="0" fontId="52" fillId="6" borderId="30" xfId="0" applyFont="1" applyFill="1" applyBorder="1" applyAlignment="1" applyProtection="1">
      <alignment vertical="center" wrapText="1"/>
    </xf>
    <xf numFmtId="0" fontId="52" fillId="5" borderId="84" xfId="8" applyFont="1" applyFill="1" applyBorder="1" applyAlignment="1" applyProtection="1">
      <alignment horizontal="center" vertical="center" wrapText="1"/>
      <protection locked="0"/>
    </xf>
    <xf numFmtId="10" fontId="52" fillId="6" borderId="6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76"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2"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2" fillId="7" borderId="0" xfId="0" applyNumberFormat="1" applyFont="1" applyFill="1" applyAlignment="1" applyProtection="1">
      <alignment horizontal="left" vertical="center" wrapText="1"/>
    </xf>
    <xf numFmtId="0" fontId="52" fillId="6" borderId="6"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9" fontId="52"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2" fillId="7" borderId="49"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2"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2" fillId="6" borderId="23" xfId="0" applyNumberFormat="1" applyFont="1" applyFill="1" applyBorder="1" applyAlignment="1" applyProtection="1">
      <alignment horizontal="left" vertical="center"/>
    </xf>
    <xf numFmtId="0" fontId="57" fillId="6" borderId="1" xfId="8" applyNumberFormat="1" applyFont="1" applyFill="1" applyBorder="1" applyAlignment="1" applyProtection="1">
      <alignment horizontal="left" vertical="center" wrapText="1"/>
    </xf>
    <xf numFmtId="0" fontId="98"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8" fillId="6" borderId="1" xfId="0" applyNumberFormat="1" applyFont="1" applyFill="1" applyBorder="1" applyAlignment="1" applyProtection="1">
      <alignment horizontal="left" vertical="center" wrapText="1"/>
    </xf>
    <xf numFmtId="9" fontId="98" fillId="6" borderId="1" xfId="17" applyFont="1" applyFill="1" applyBorder="1" applyAlignment="1" applyProtection="1">
      <alignment horizontal="left" vertical="center" wrapText="1"/>
    </xf>
    <xf numFmtId="9" fontId="98"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8" fillId="6" borderId="0" xfId="0" applyNumberFormat="1"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protection locked="0"/>
    </xf>
    <xf numFmtId="10" fontId="98" fillId="6" borderId="0" xfId="0" applyNumberFormat="1" applyFont="1" applyFill="1" applyBorder="1" applyAlignment="1" applyProtection="1">
      <alignment horizontal="center" vertical="center" wrapText="1"/>
    </xf>
    <xf numFmtId="10" fontId="97" fillId="0" borderId="0" xfId="0" applyNumberFormat="1" applyFont="1" applyBorder="1" applyAlignment="1" applyProtection="1">
      <alignment horizontal="center" vertical="center"/>
      <protection locked="0"/>
    </xf>
    <xf numFmtId="10" fontId="97" fillId="6" borderId="0" xfId="0" applyNumberFormat="1" applyFont="1" applyFill="1" applyBorder="1" applyAlignment="1" applyProtection="1">
      <alignment horizontal="center" vertical="center"/>
    </xf>
    <xf numFmtId="9" fontId="98" fillId="6" borderId="0" xfId="17" applyFont="1" applyFill="1" applyBorder="1" applyAlignment="1" applyProtection="1">
      <alignment horizontal="left" vertical="center" wrapText="1"/>
    </xf>
    <xf numFmtId="10" fontId="50"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8" fillId="6" borderId="23" xfId="0" applyNumberFormat="1" applyFont="1" applyFill="1" applyBorder="1" applyAlignment="1" applyProtection="1">
      <alignment horizontal="left" vertical="center" wrapText="1"/>
    </xf>
    <xf numFmtId="0" fontId="98"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2" fillId="6" borderId="53"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8"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left" vertical="center" wrapText="1"/>
    </xf>
    <xf numFmtId="0" fontId="101" fillId="6" borderId="0" xfId="0" applyNumberFormat="1" applyFont="1" applyFill="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54" xfId="0" applyNumberFormat="1" applyFont="1" applyFill="1" applyBorder="1" applyAlignment="1" applyProtection="1">
      <alignment horizontal="left" vertical="center"/>
    </xf>
    <xf numFmtId="0" fontId="98" fillId="6" borderId="3"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2" fillId="0" borderId="0" xfId="0" applyNumberFormat="1" applyFont="1" applyAlignment="1" applyProtection="1">
      <alignment horizontal="left" vertical="center" wrapText="1"/>
      <protection locked="0"/>
    </xf>
    <xf numFmtId="0" fontId="52" fillId="6" borderId="15"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7" fillId="0" borderId="0" xfId="0" applyNumberFormat="1" applyFont="1" applyAlignment="1" applyProtection="1">
      <alignment horizontal="left" vertical="center"/>
    </xf>
    <xf numFmtId="0" fontId="52" fillId="6" borderId="16" xfId="0" applyNumberFormat="1" applyFont="1" applyFill="1" applyBorder="1" applyAlignment="1" applyProtection="1">
      <alignment horizontal="left" vertical="center" wrapText="1"/>
    </xf>
    <xf numFmtId="0" fontId="52" fillId="6" borderId="9" xfId="3" applyNumberFormat="1" applyFont="1" applyFill="1" applyBorder="1" applyAlignment="1" applyProtection="1">
      <alignment horizontal="left" vertical="center"/>
    </xf>
    <xf numFmtId="0" fontId="52" fillId="6" borderId="2" xfId="3" applyNumberFormat="1" applyFont="1" applyFill="1" applyBorder="1" applyAlignment="1" applyProtection="1">
      <alignment horizontal="left" vertical="center"/>
    </xf>
    <xf numFmtId="0" fontId="52" fillId="6" borderId="2" xfId="3" applyNumberFormat="1" applyFont="1" applyFill="1" applyBorder="1" applyAlignment="1" applyProtection="1">
      <alignment horizontal="left" vertical="center" wrapText="1"/>
    </xf>
    <xf numFmtId="0" fontId="52" fillId="6" borderId="17" xfId="3" applyNumberFormat="1" applyFont="1" applyFill="1" applyBorder="1" applyAlignment="1" applyProtection="1">
      <alignment horizontal="left" vertical="center"/>
    </xf>
    <xf numFmtId="0" fontId="52" fillId="6" borderId="62" xfId="3"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2" fillId="6" borderId="15" xfId="0" applyNumberFormat="1" applyFont="1" applyFill="1" applyBorder="1" applyAlignment="1" applyProtection="1">
      <alignment horizontal="left" vertical="center" wrapText="1"/>
    </xf>
    <xf numFmtId="178" fontId="76" fillId="0" borderId="1" xfId="1" applyNumberFormat="1" applyFont="1" applyFill="1" applyBorder="1" applyAlignment="1" applyProtection="1">
      <alignment vertical="center"/>
      <protection locked="0" hidden="1"/>
    </xf>
    <xf numFmtId="178" fontId="127" fillId="0" borderId="1" xfId="1" applyNumberFormat="1" applyFont="1" applyFill="1" applyBorder="1" applyAlignment="1" applyProtection="1">
      <alignment vertical="center"/>
      <protection locked="0"/>
    </xf>
    <xf numFmtId="0" fontId="57"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7" fillId="6" borderId="1" xfId="17" applyNumberFormat="1" applyFont="1" applyFill="1" applyBorder="1" applyAlignment="1" applyProtection="1">
      <alignment horizontal="left" vertical="center"/>
    </xf>
    <xf numFmtId="0" fontId="52" fillId="5" borderId="1"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187" fontId="56" fillId="6" borderId="1" xfId="1" applyNumberFormat="1" applyFont="1" applyFill="1" applyBorder="1" applyAlignment="1" applyProtection="1">
      <alignment horizontal="right" vertical="center"/>
    </xf>
    <xf numFmtId="187" fontId="51" fillId="6" borderId="1" xfId="0" applyNumberFormat="1" applyFont="1" applyFill="1" applyBorder="1" applyAlignment="1" applyProtection="1">
      <alignment horizontal="right" vertical="center"/>
    </xf>
    <xf numFmtId="0" fontId="61" fillId="5" borderId="118" xfId="0" applyFont="1" applyFill="1" applyBorder="1" applyAlignment="1" applyProtection="1">
      <alignment vertical="center"/>
      <protection locked="0"/>
    </xf>
    <xf numFmtId="187" fontId="56" fillId="6" borderId="2" xfId="0" applyNumberFormat="1" applyFont="1" applyFill="1" applyBorder="1" applyAlignment="1" applyProtection="1">
      <alignment horizontal="right" vertical="center"/>
    </xf>
    <xf numFmtId="180" fontId="43" fillId="0" borderId="23" xfId="0" applyNumberFormat="1" applyFont="1" applyBorder="1" applyAlignment="1" applyProtection="1">
      <alignment horizontal="center" vertical="center"/>
      <protection locked="0"/>
    </xf>
    <xf numFmtId="180" fontId="46" fillId="0" borderId="23" xfId="0" applyNumberFormat="1" applyFont="1" applyBorder="1" applyAlignment="1" applyProtection="1">
      <alignment horizontal="center" vertical="center"/>
      <protection locked="0"/>
    </xf>
    <xf numFmtId="180" fontId="43"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6" fillId="6" borderId="0" xfId="0" applyFont="1" applyFill="1" applyAlignment="1" applyProtection="1">
      <protection locked="0"/>
    </xf>
    <xf numFmtId="0" fontId="61" fillId="5" borderId="88" xfId="0" applyFont="1" applyFill="1" applyBorder="1" applyAlignment="1" applyProtection="1">
      <alignment vertical="center"/>
      <protection locked="0"/>
    </xf>
    <xf numFmtId="177" fontId="43" fillId="0" borderId="23" xfId="0" applyNumberFormat="1" applyFont="1" applyFill="1" applyBorder="1" applyAlignment="1" applyProtection="1">
      <alignment horizontal="center" vertical="center" wrapText="1"/>
      <protection locked="0"/>
    </xf>
    <xf numFmtId="177" fontId="43"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4"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2" fillId="5" borderId="0" xfId="4" applyFont="1" applyFill="1" applyBorder="1" applyAlignment="1" applyProtection="1">
      <alignment vertical="center"/>
      <protection locked="0"/>
    </xf>
    <xf numFmtId="177" fontId="52"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2" fillId="5" borderId="65" xfId="0" applyFont="1" applyFill="1" applyBorder="1" applyAlignment="1" applyProtection="1">
      <alignment vertical="center" wrapText="1"/>
      <protection locked="0"/>
    </xf>
    <xf numFmtId="10" fontId="52"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43" fillId="6"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244" fillId="0" borderId="0" xfId="0" applyFont="1">
      <alignment vertical="center"/>
    </xf>
    <xf numFmtId="0" fontId="244" fillId="0" borderId="1" xfId="0" applyFont="1" applyBorder="1" applyAlignment="1">
      <alignment horizontal="center" vertical="center"/>
    </xf>
    <xf numFmtId="0" fontId="244" fillId="0" borderId="1" xfId="0" applyFont="1" applyBorder="1">
      <alignment vertical="center"/>
    </xf>
    <xf numFmtId="197" fontId="244" fillId="0" borderId="1" xfId="0" applyNumberFormat="1" applyFont="1" applyBorder="1">
      <alignment vertical="center"/>
    </xf>
    <xf numFmtId="176" fontId="244" fillId="0" borderId="1" xfId="19" applyFont="1" applyBorder="1">
      <alignment vertical="center"/>
    </xf>
    <xf numFmtId="14" fontId="244" fillId="0" borderId="1" xfId="0" applyNumberFormat="1" applyFont="1" applyBorder="1">
      <alignment vertical="center"/>
    </xf>
    <xf numFmtId="0" fontId="244" fillId="0" borderId="1" xfId="0" quotePrefix="1" applyFont="1" applyBorder="1">
      <alignment vertical="center"/>
    </xf>
    <xf numFmtId="0" fontId="244" fillId="5" borderId="1" xfId="0" applyFont="1" applyFill="1" applyBorder="1">
      <alignment vertical="center"/>
    </xf>
    <xf numFmtId="176" fontId="244" fillId="5" borderId="1" xfId="0" applyNumberFormat="1" applyFont="1" applyFill="1" applyBorder="1">
      <alignment vertical="center"/>
    </xf>
    <xf numFmtId="176" fontId="244" fillId="5" borderId="1" xfId="19" applyFont="1" applyFill="1" applyBorder="1">
      <alignment vertical="center"/>
    </xf>
    <xf numFmtId="0" fontId="244" fillId="5" borderId="1" xfId="0" applyFont="1" applyFill="1" applyBorder="1" applyAlignment="1">
      <alignment horizontal="center" vertical="center"/>
    </xf>
    <xf numFmtId="197" fontId="244" fillId="5" borderId="1" xfId="0" applyNumberFormat="1" applyFont="1" applyFill="1" applyBorder="1">
      <alignment vertical="center"/>
    </xf>
    <xf numFmtId="176" fontId="270" fillId="0" borderId="1" xfId="0" applyNumberFormat="1" applyFont="1" applyBorder="1">
      <alignment vertical="center"/>
    </xf>
    <xf numFmtId="14" fontId="244" fillId="0" borderId="1" xfId="0" applyNumberFormat="1" applyFont="1" applyBorder="1" applyProtection="1">
      <alignment vertical="center"/>
      <protection locked="0"/>
    </xf>
    <xf numFmtId="197" fontId="244" fillId="0" borderId="0" xfId="0" applyNumberFormat="1" applyFont="1">
      <alignment vertical="center"/>
    </xf>
    <xf numFmtId="201" fontId="244" fillId="5" borderId="1" xfId="26" applyNumberFormat="1" applyFont="1" applyFill="1" applyBorder="1" applyAlignment="1">
      <alignment horizontal="center" vertical="center"/>
    </xf>
    <xf numFmtId="14" fontId="133" fillId="5" borderId="1" xfId="27" applyNumberFormat="1" applyFont="1" applyFill="1" applyBorder="1" applyAlignment="1">
      <alignment horizontal="center" vertical="center"/>
    </xf>
    <xf numFmtId="9" fontId="244" fillId="0" borderId="1" xfId="28" applyFont="1" applyBorder="1" applyAlignment="1">
      <alignment horizontal="center" vertical="center"/>
    </xf>
    <xf numFmtId="14" fontId="133" fillId="0" borderId="1" xfId="27" applyNumberFormat="1" applyFont="1" applyBorder="1" applyAlignment="1">
      <alignment horizontal="center" vertical="center"/>
    </xf>
    <xf numFmtId="201" fontId="244" fillId="0" borderId="1" xfId="26" applyNumberFormat="1" applyFont="1" applyBorder="1" applyAlignment="1">
      <alignment horizontal="center" vertical="center"/>
    </xf>
    <xf numFmtId="14" fontId="244" fillId="0" borderId="1" xfId="26" applyNumberFormat="1" applyFont="1" applyBorder="1" applyAlignment="1">
      <alignment horizontal="center" vertical="center"/>
    </xf>
    <xf numFmtId="177" fontId="133" fillId="0" borderId="1" xfId="27" applyNumberFormat="1" applyFont="1" applyBorder="1" applyAlignment="1">
      <alignment horizontal="center" vertical="center"/>
    </xf>
    <xf numFmtId="0" fontId="274" fillId="0" borderId="1" xfId="27" applyFont="1" applyBorder="1" applyAlignment="1">
      <alignment horizontal="center" vertical="center" wrapText="1"/>
    </xf>
    <xf numFmtId="14" fontId="274" fillId="0" borderId="1" xfId="27" applyNumberFormat="1" applyFont="1" applyBorder="1" applyAlignment="1">
      <alignment horizontal="center" vertical="center" wrapText="1"/>
    </xf>
    <xf numFmtId="0" fontId="244" fillId="0" borderId="1" xfId="26" applyFont="1" applyBorder="1" applyAlignment="1">
      <alignment horizontal="center" vertical="center"/>
    </xf>
    <xf numFmtId="0" fontId="94" fillId="0" borderId="0" xfId="0" applyFont="1">
      <alignment vertical="center"/>
    </xf>
    <xf numFmtId="0" fontId="244" fillId="0" borderId="1" xfId="10" applyFont="1" applyBorder="1" applyAlignment="1">
      <alignment vertical="center" wrapText="1"/>
    </xf>
    <xf numFmtId="0" fontId="244" fillId="0" borderId="1" xfId="10" applyFont="1" applyBorder="1">
      <alignment vertical="center"/>
    </xf>
    <xf numFmtId="43" fontId="244" fillId="0" borderId="1" xfId="21" applyFont="1" applyBorder="1">
      <alignment vertical="center"/>
    </xf>
    <xf numFmtId="202" fontId="244" fillId="0" borderId="1" xfId="21" applyNumberFormat="1" applyFont="1" applyBorder="1">
      <alignment vertical="center"/>
    </xf>
    <xf numFmtId="0" fontId="244" fillId="5" borderId="1" xfId="10" applyFont="1" applyFill="1" applyBorder="1" applyAlignment="1">
      <alignment vertical="center" wrapText="1"/>
    </xf>
    <xf numFmtId="0" fontId="244" fillId="5" borderId="1" xfId="10" applyFont="1" applyFill="1" applyBorder="1">
      <alignment vertical="center"/>
    </xf>
    <xf numFmtId="43" fontId="244" fillId="5" borderId="1" xfId="21" applyFont="1" applyFill="1" applyBorder="1">
      <alignment vertical="center"/>
    </xf>
    <xf numFmtId="202" fontId="244" fillId="5" borderId="1" xfId="21" applyNumberFormat="1" applyFont="1" applyFill="1" applyBorder="1">
      <alignment vertical="center"/>
    </xf>
    <xf numFmtId="14" fontId="244" fillId="0" borderId="1" xfId="26" applyNumberFormat="1" applyFont="1" applyFill="1" applyBorder="1" applyAlignment="1">
      <alignment horizontal="center" vertical="center"/>
    </xf>
    <xf numFmtId="177" fontId="133" fillId="22" borderId="1" xfId="27" applyNumberFormat="1" applyFont="1" applyFill="1" applyBorder="1" applyAlignment="1">
      <alignment horizontal="center" vertical="center"/>
    </xf>
    <xf numFmtId="0" fontId="244" fillId="0" borderId="0" xfId="20" applyFont="1" applyAlignment="1">
      <alignment horizontal="center" vertical="center"/>
    </xf>
    <xf numFmtId="0" fontId="270" fillId="0" borderId="0" xfId="20" applyFont="1" applyAlignment="1">
      <alignment horizontal="center" vertical="center"/>
    </xf>
    <xf numFmtId="49" fontId="244" fillId="0" borderId="0" xfId="20" applyNumberFormat="1" applyFont="1" applyAlignment="1">
      <alignment horizontal="center" vertical="center"/>
    </xf>
    <xf numFmtId="0" fontId="254" fillId="0" borderId="1" xfId="20" applyFont="1" applyBorder="1" applyAlignment="1">
      <alignment horizontal="center" vertical="center"/>
    </xf>
    <xf numFmtId="49" fontId="244" fillId="0" borderId="1" xfId="20" applyNumberFormat="1" applyFont="1" applyBorder="1" applyAlignment="1">
      <alignment horizontal="center" vertical="center"/>
    </xf>
    <xf numFmtId="9" fontId="244" fillId="0" borderId="1" xfId="20" applyNumberFormat="1" applyFont="1" applyBorder="1" applyAlignment="1">
      <alignment horizontal="center" vertical="center"/>
    </xf>
    <xf numFmtId="176" fontId="244" fillId="22" borderId="1" xfId="19" applyFont="1" applyFill="1" applyBorder="1" applyAlignment="1">
      <alignment horizontal="center" vertical="center"/>
    </xf>
    <xf numFmtId="176" fontId="244" fillId="0" borderId="1" xfId="19" applyFont="1" applyBorder="1" applyAlignment="1">
      <alignment horizontal="center" vertical="center"/>
    </xf>
    <xf numFmtId="0" fontId="254" fillId="0" borderId="1" xfId="27" applyFont="1" applyBorder="1" applyAlignment="1">
      <alignment horizontal="center" vertical="center" wrapText="1"/>
    </xf>
    <xf numFmtId="177" fontId="244" fillId="0" borderId="1" xfId="27" applyNumberFormat="1" applyFont="1" applyBorder="1" applyAlignment="1">
      <alignment horizontal="center" vertical="center"/>
    </xf>
    <xf numFmtId="0" fontId="244" fillId="0" borderId="0" xfId="20" applyFont="1" applyBorder="1" applyAlignment="1">
      <alignment horizontal="center" vertical="center"/>
    </xf>
    <xf numFmtId="201" fontId="244" fillId="0" borderId="0" xfId="20" applyNumberFormat="1" applyFont="1" applyBorder="1" applyAlignment="1">
      <alignment horizontal="center" vertical="center"/>
    </xf>
    <xf numFmtId="0" fontId="254" fillId="5" borderId="1" xfId="20" applyFont="1" applyFill="1" applyBorder="1" applyAlignment="1">
      <alignment horizontal="center" vertical="center"/>
    </xf>
    <xf numFmtId="201" fontId="254" fillId="5" borderId="1" xfId="26" applyNumberFormat="1" applyFont="1" applyFill="1" applyBorder="1" applyAlignment="1">
      <alignment horizontal="center" vertical="center"/>
    </xf>
    <xf numFmtId="0" fontId="254" fillId="0" borderId="0" xfId="20" applyFont="1" applyAlignment="1">
      <alignment horizontal="center" vertical="center"/>
    </xf>
    <xf numFmtId="10" fontId="244" fillId="0" borderId="0" xfId="20" applyNumberFormat="1" applyFont="1" applyAlignment="1">
      <alignment horizontal="center" vertical="center"/>
    </xf>
    <xf numFmtId="176" fontId="254" fillId="5" borderId="1" xfId="19" applyFont="1" applyFill="1" applyBorder="1" applyAlignment="1">
      <alignment horizontal="center" vertical="center"/>
    </xf>
    <xf numFmtId="0" fontId="94" fillId="12" borderId="0" xfId="1" applyFont="1" applyFill="1" applyAlignment="1">
      <alignment horizontal="center" vertical="center"/>
    </xf>
    <xf numFmtId="43" fontId="272" fillId="12" borderId="0" xfId="21" applyFont="1" applyFill="1" applyAlignment="1">
      <alignment horizontal="center" vertical="center"/>
    </xf>
    <xf numFmtId="0" fontId="244" fillId="12" borderId="0" xfId="1" applyFont="1" applyFill="1" applyAlignment="1">
      <alignment horizontal="center" vertical="center"/>
    </xf>
    <xf numFmtId="0" fontId="95" fillId="12" borderId="0" xfId="1" applyFont="1" applyFill="1" applyAlignment="1">
      <alignment horizontal="center" vertical="center"/>
    </xf>
    <xf numFmtId="198" fontId="94" fillId="12" borderId="0" xfId="1" applyNumberFormat="1" applyFont="1" applyFill="1" applyAlignment="1">
      <alignment horizontal="center" vertical="center"/>
    </xf>
    <xf numFmtId="4" fontId="94" fillId="12" borderId="0" xfId="1" applyNumberFormat="1" applyFont="1" applyFill="1" applyAlignment="1">
      <alignment horizontal="center" vertical="center"/>
    </xf>
    <xf numFmtId="43" fontId="94" fillId="12" borderId="0" xfId="21" applyFont="1" applyFill="1" applyAlignment="1">
      <alignment horizontal="center" vertical="center"/>
    </xf>
    <xf numFmtId="199" fontId="94" fillId="12" borderId="0" xfId="1" applyNumberFormat="1" applyFont="1" applyFill="1" applyAlignment="1">
      <alignment horizontal="center" vertical="center"/>
    </xf>
    <xf numFmtId="43" fontId="94" fillId="12" borderId="0" xfId="1" applyNumberFormat="1" applyFont="1" applyFill="1" applyAlignment="1">
      <alignment horizontal="center" vertical="center"/>
    </xf>
    <xf numFmtId="0" fontId="94" fillId="12" borderId="0" xfId="20" applyFont="1" applyFill="1" applyAlignment="1">
      <alignment horizontal="center" vertical="center"/>
    </xf>
    <xf numFmtId="200" fontId="254" fillId="12" borderId="0" xfId="1" applyNumberFormat="1" applyFont="1" applyFill="1" applyAlignment="1">
      <alignment horizontal="center" vertical="center"/>
    </xf>
    <xf numFmtId="0" fontId="254" fillId="12" borderId="0" xfId="1" applyFont="1" applyFill="1" applyAlignment="1">
      <alignment horizontal="center" vertical="center"/>
    </xf>
    <xf numFmtId="184" fontId="254" fillId="12" borderId="1" xfId="24" applyNumberFormat="1" applyFont="1" applyFill="1" applyBorder="1" applyAlignment="1">
      <alignment horizontal="center" vertical="center" wrapText="1"/>
    </xf>
    <xf numFmtId="0" fontId="254" fillId="12" borderId="1" xfId="24" applyFont="1" applyFill="1" applyBorder="1" applyAlignment="1">
      <alignment horizontal="center" vertical="center"/>
    </xf>
    <xf numFmtId="0" fontId="254" fillId="12" borderId="0" xfId="24" applyFont="1" applyFill="1" applyAlignment="1">
      <alignment horizontal="center" vertical="center" wrapText="1"/>
    </xf>
    <xf numFmtId="184" fontId="254" fillId="5" borderId="1" xfId="24" applyNumberFormat="1" applyFont="1" applyFill="1" applyBorder="1" applyAlignment="1">
      <alignment horizontal="center" vertical="center" wrapText="1"/>
    </xf>
    <xf numFmtId="0" fontId="95" fillId="12" borderId="1" xfId="1" applyFont="1" applyFill="1" applyBorder="1" applyAlignment="1">
      <alignment horizontal="center" vertical="center"/>
    </xf>
    <xf numFmtId="0" fontId="254" fillId="12" borderId="1" xfId="1" applyFont="1" applyFill="1" applyBorder="1" applyAlignment="1">
      <alignment horizontal="center" vertical="center"/>
    </xf>
    <xf numFmtId="9" fontId="254" fillId="12" borderId="1" xfId="1" applyNumberFormat="1" applyFont="1" applyFill="1" applyBorder="1" applyAlignment="1">
      <alignment horizontal="center" vertical="center"/>
    </xf>
    <xf numFmtId="176" fontId="244" fillId="12" borderId="1" xfId="19" applyFont="1" applyFill="1" applyBorder="1" applyAlignment="1">
      <alignment horizontal="center" vertical="center"/>
    </xf>
    <xf numFmtId="43" fontId="254" fillId="12" borderId="1" xfId="21" applyFont="1" applyFill="1" applyBorder="1" applyAlignment="1">
      <alignment horizontal="center" vertical="center"/>
    </xf>
    <xf numFmtId="0" fontId="244" fillId="12" borderId="1" xfId="1" applyFont="1" applyFill="1" applyBorder="1" applyAlignment="1">
      <alignment horizontal="center" vertical="center"/>
    </xf>
    <xf numFmtId="9" fontId="244" fillId="12" borderId="1" xfId="1" applyNumberFormat="1" applyFont="1" applyFill="1" applyBorder="1" applyAlignment="1">
      <alignment horizontal="center" vertical="center"/>
    </xf>
    <xf numFmtId="10" fontId="244" fillId="12" borderId="1" xfId="1" applyNumberFormat="1" applyFont="1" applyFill="1" applyBorder="1" applyAlignment="1">
      <alignment horizontal="center" vertical="center"/>
    </xf>
    <xf numFmtId="0" fontId="94" fillId="12" borderId="1" xfId="1" applyFont="1" applyFill="1" applyBorder="1" applyAlignment="1">
      <alignment horizontal="center" vertical="center"/>
    </xf>
    <xf numFmtId="43" fontId="244" fillId="12" borderId="1" xfId="21" applyFont="1" applyFill="1" applyBorder="1" applyAlignment="1">
      <alignment horizontal="center" vertical="center"/>
    </xf>
    <xf numFmtId="176" fontId="254" fillId="12" borderId="1" xfId="19" applyFont="1" applyFill="1" applyBorder="1" applyAlignment="1">
      <alignment horizontal="center" vertical="center"/>
    </xf>
    <xf numFmtId="10" fontId="244" fillId="12" borderId="1" xfId="17" applyNumberFormat="1" applyFont="1" applyFill="1" applyBorder="1" applyAlignment="1">
      <alignment horizontal="center" vertical="center"/>
    </xf>
    <xf numFmtId="176" fontId="244" fillId="5" borderId="1" xfId="19" applyFont="1" applyFill="1" applyBorder="1" applyAlignment="1">
      <alignment horizontal="center" vertical="center"/>
    </xf>
    <xf numFmtId="0" fontId="272" fillId="0" borderId="1" xfId="30" applyFont="1" applyBorder="1" applyAlignment="1">
      <alignment horizontal="left" vertical="center"/>
    </xf>
    <xf numFmtId="14" fontId="272" fillId="0" borderId="1" xfId="30" applyNumberFormat="1" applyFont="1" applyBorder="1" applyAlignment="1">
      <alignment horizontal="left" vertical="center"/>
    </xf>
    <xf numFmtId="4" fontId="254" fillId="12" borderId="0" xfId="20" applyNumberFormat="1" applyFont="1" applyFill="1" applyAlignment="1">
      <alignment horizontal="center" vertical="center"/>
    </xf>
    <xf numFmtId="176" fontId="272" fillId="0" borderId="1" xfId="30" applyNumberFormat="1" applyFont="1" applyBorder="1" applyAlignment="1">
      <alignment horizontal="left" vertical="center"/>
    </xf>
    <xf numFmtId="10" fontId="272" fillId="0" borderId="1" xfId="31" applyNumberFormat="1" applyFont="1" applyBorder="1" applyAlignment="1">
      <alignment horizontal="left" vertical="center"/>
    </xf>
    <xf numFmtId="176" fontId="272" fillId="0" borderId="1" xfId="32" applyFont="1" applyBorder="1" applyAlignment="1">
      <alignment horizontal="left" vertical="center"/>
    </xf>
    <xf numFmtId="43" fontId="254" fillId="12" borderId="0" xfId="21" applyFont="1" applyFill="1" applyAlignment="1">
      <alignment horizontal="center" vertical="center"/>
    </xf>
    <xf numFmtId="14" fontId="272" fillId="0" borderId="3" xfId="30" applyNumberFormat="1" applyFont="1" applyBorder="1" applyAlignment="1">
      <alignment horizontal="left" vertical="center"/>
    </xf>
    <xf numFmtId="9" fontId="272" fillId="0" borderId="1" xfId="31" applyFont="1" applyBorder="1" applyAlignment="1">
      <alignment horizontal="left" vertical="center"/>
    </xf>
    <xf numFmtId="14" fontId="244" fillId="0" borderId="0" xfId="0" applyNumberFormat="1" applyFont="1">
      <alignment vertical="center"/>
    </xf>
    <xf numFmtId="176" fontId="244" fillId="0" borderId="0" xfId="19" applyFont="1">
      <alignment vertical="center"/>
    </xf>
    <xf numFmtId="10" fontId="244" fillId="0" borderId="0" xfId="0" applyNumberFormat="1" applyFont="1">
      <alignment vertical="center"/>
    </xf>
    <xf numFmtId="10" fontId="244" fillId="0" borderId="0" xfId="17" applyNumberFormat="1" applyFont="1">
      <alignment vertical="center"/>
    </xf>
    <xf numFmtId="0" fontId="244" fillId="0" borderId="0" xfId="0" applyFont="1" applyFill="1" applyAlignment="1"/>
    <xf numFmtId="0" fontId="244" fillId="0" borderId="0" xfId="0" applyNumberFormat="1" applyFont="1" applyFill="1" applyAlignment="1"/>
    <xf numFmtId="177" fontId="244" fillId="0" borderId="0" xfId="19" applyNumberFormat="1" applyFont="1" applyFill="1" applyAlignment="1"/>
    <xf numFmtId="0" fontId="244" fillId="0" borderId="0" xfId="19" applyNumberFormat="1" applyFont="1" applyFill="1" applyAlignment="1"/>
    <xf numFmtId="0" fontId="279" fillId="0" borderId="0" xfId="0" applyFont="1">
      <alignment vertical="center"/>
    </xf>
    <xf numFmtId="0" fontId="244" fillId="0" borderId="0" xfId="0" applyFont="1" applyFill="1">
      <alignment vertical="center"/>
    </xf>
    <xf numFmtId="176" fontId="244" fillId="0" borderId="0" xfId="19" applyFont="1" applyFill="1">
      <alignment vertical="center"/>
    </xf>
    <xf numFmtId="0" fontId="43" fillId="0" borderId="13" xfId="0" applyFont="1" applyBorder="1" applyAlignment="1" applyProtection="1">
      <alignment horizontal="center" vertical="center" wrapText="1"/>
      <protection locked="0"/>
    </xf>
    <xf numFmtId="0" fontId="43" fillId="0" borderId="74" xfId="0" applyFont="1" applyBorder="1" applyAlignment="1" applyProtection="1">
      <alignment horizontal="center" vertical="center" wrapText="1"/>
      <protection locked="0"/>
    </xf>
    <xf numFmtId="0" fontId="127" fillId="0" borderId="2" xfId="0" applyFont="1" applyBorder="1" applyAlignment="1" applyProtection="1">
      <alignment horizontal="center" vertical="center" wrapText="1"/>
      <protection locked="0"/>
    </xf>
    <xf numFmtId="0" fontId="93" fillId="0" borderId="9" xfId="0" applyFont="1" applyBorder="1" applyAlignment="1" applyProtection="1">
      <alignment horizontal="center" vertical="center" wrapText="1"/>
      <protection locked="0"/>
    </xf>
    <xf numFmtId="0" fontId="50" fillId="0" borderId="9" xfId="0" applyFont="1" applyBorder="1" applyAlignment="1" applyProtection="1">
      <alignment horizontal="center" vertical="center" wrapText="1"/>
      <protection locked="0"/>
    </xf>
    <xf numFmtId="0" fontId="50" fillId="0" borderId="78" xfId="0" applyFont="1" applyBorder="1" applyAlignment="1" applyProtection="1">
      <alignment horizontal="center" vertical="center" wrapText="1"/>
      <protection locked="0"/>
    </xf>
    <xf numFmtId="177" fontId="50" fillId="0" borderId="44" xfId="0" applyNumberFormat="1"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268" fillId="0" borderId="44" xfId="0" applyFont="1" applyBorder="1" applyAlignment="1" applyProtection="1">
      <alignment horizontal="center" vertical="center" wrapText="1"/>
      <protection locked="0"/>
    </xf>
    <xf numFmtId="0" fontId="127" fillId="0" borderId="44" xfId="0" applyFont="1" applyBorder="1" applyAlignment="1" applyProtection="1">
      <alignment horizontal="center" vertical="center" wrapText="1"/>
      <protection locked="0"/>
    </xf>
    <xf numFmtId="0" fontId="43" fillId="0" borderId="78"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24"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93" fillId="0" borderId="44" xfId="0" applyFont="1" applyBorder="1" applyAlignment="1" applyProtection="1">
      <alignment horizontal="center" vertical="center" wrapText="1"/>
      <protection locked="0"/>
    </xf>
    <xf numFmtId="9" fontId="43" fillId="0" borderId="44" xfId="22"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12" borderId="0" xfId="0" applyFont="1" applyFill="1" applyAlignment="1" applyProtection="1">
      <alignment horizontal="center" vertical="center" wrapText="1"/>
      <protection locked="0"/>
    </xf>
    <xf numFmtId="9" fontId="48" fillId="12" borderId="0" xfId="0" applyNumberFormat="1" applyFont="1" applyFill="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9" xfId="0" applyFont="1" applyBorder="1" applyAlignment="1" applyProtection="1">
      <alignment horizontal="center" vertical="center" wrapText="1"/>
      <protection locked="0"/>
    </xf>
    <xf numFmtId="0" fontId="43" fillId="0" borderId="44"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43" fillId="0" borderId="2"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7" fillId="12" borderId="0" xfId="0" applyFont="1" applyFill="1" applyAlignment="1" applyProtection="1">
      <alignment horizontal="center" vertical="center" wrapText="1"/>
      <protection locked="0"/>
    </xf>
    <xf numFmtId="9" fontId="43" fillId="12" borderId="0" xfId="0" applyNumberFormat="1" applyFont="1" applyFill="1" applyAlignment="1" applyProtection="1">
      <alignment horizontal="center" vertical="center" wrapText="1"/>
      <protection locked="0"/>
    </xf>
    <xf numFmtId="0" fontId="43"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127" fillId="0" borderId="5" xfId="0" applyFont="1" applyBorder="1" applyAlignment="1" applyProtection="1">
      <alignment horizontal="center" vertical="center" wrapText="1"/>
      <protection locked="0"/>
    </xf>
    <xf numFmtId="0" fontId="127" fillId="0" borderId="33" xfId="0" applyFont="1" applyBorder="1" applyAlignment="1" applyProtection="1">
      <alignment horizontal="center" vertical="center" wrapText="1"/>
      <protection locked="0"/>
    </xf>
    <xf numFmtId="0" fontId="43" fillId="0" borderId="37" xfId="0" applyFont="1" applyBorder="1" applyAlignment="1" applyProtection="1">
      <alignment horizontal="center" vertical="center" wrapText="1"/>
      <protection locked="0"/>
    </xf>
    <xf numFmtId="9" fontId="43" fillId="0" borderId="37" xfId="0" applyNumberFormat="1" applyFont="1" applyBorder="1" applyAlignment="1" applyProtection="1">
      <alignment horizontal="center" vertical="center" wrapText="1"/>
      <protection locked="0"/>
    </xf>
    <xf numFmtId="0" fontId="50" fillId="2" borderId="37" xfId="0" applyFont="1" applyFill="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9" fontId="127" fillId="0" borderId="37" xfId="23" applyFont="1" applyBorder="1" applyAlignment="1" applyProtection="1">
      <alignment horizontal="center" vertical="center" wrapText="1"/>
      <protection locked="0"/>
    </xf>
    <xf numFmtId="0" fontId="93" fillId="0" borderId="38" xfId="0" applyFont="1" applyBorder="1" applyAlignment="1" applyProtection="1">
      <alignment horizontal="center" vertical="center" wrapText="1"/>
      <protection locked="0"/>
    </xf>
    <xf numFmtId="0" fontId="43" fillId="0" borderId="41"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106" fillId="0" borderId="0" xfId="0" applyFont="1" applyFill="1" applyAlignment="1">
      <alignment horizontal="left" vertical="center"/>
    </xf>
    <xf numFmtId="0" fontId="106" fillId="0" borderId="0" xfId="10" applyFont="1" applyFill="1" applyAlignment="1">
      <alignment horizontal="left" vertical="center"/>
    </xf>
    <xf numFmtId="49" fontId="106" fillId="0" borderId="0" xfId="10" applyNumberFormat="1" applyFont="1" applyFill="1" applyAlignment="1">
      <alignment horizontal="left" vertical="center"/>
    </xf>
    <xf numFmtId="190" fontId="43" fillId="6" borderId="9" xfId="0" applyNumberFormat="1" applyFont="1" applyFill="1" applyBorder="1" applyAlignment="1" applyProtection="1">
      <alignment horizontal="center" vertical="center" wrapText="1"/>
      <protection locked="0"/>
    </xf>
    <xf numFmtId="0" fontId="282" fillId="0" borderId="37" xfId="0" applyNumberFormat="1" applyFont="1" applyFill="1" applyBorder="1" applyAlignment="1" applyProtection="1">
      <alignment horizontal="center" vertical="center" wrapText="1"/>
      <protection locked="0"/>
    </xf>
    <xf numFmtId="0" fontId="275" fillId="0" borderId="0" xfId="29">
      <alignment vertical="center"/>
    </xf>
    <xf numFmtId="203" fontId="97" fillId="6" borderId="10" xfId="19" applyNumberFormat="1" applyFont="1" applyFill="1" applyBorder="1" applyAlignment="1" applyProtection="1">
      <alignment horizontal="center" vertical="center"/>
    </xf>
    <xf numFmtId="203" fontId="97" fillId="6" borderId="24" xfId="0" applyNumberFormat="1" applyFont="1" applyFill="1" applyBorder="1" applyAlignment="1" applyProtection="1">
      <alignment horizontal="center" vertical="center"/>
    </xf>
    <xf numFmtId="0" fontId="283" fillId="0" borderId="54" xfId="0" applyNumberFormat="1" applyFont="1" applyFill="1" applyBorder="1" applyAlignment="1" applyProtection="1">
      <alignment horizontal="center" vertical="center" wrapText="1"/>
      <protection locked="0"/>
    </xf>
    <xf numFmtId="49" fontId="93" fillId="0" borderId="9" xfId="0" applyNumberFormat="1" applyFont="1" applyFill="1" applyBorder="1" applyAlignment="1" applyProtection="1">
      <alignment horizontal="center" vertical="center" wrapText="1"/>
      <protection locked="0"/>
    </xf>
    <xf numFmtId="0" fontId="184" fillId="0" borderId="0" xfId="5" applyFont="1" applyAlignment="1" applyProtection="1">
      <alignment horizontal="left" vertical="top" wrapText="1"/>
    </xf>
    <xf numFmtId="0" fontId="44" fillId="0" borderId="13" xfId="7" applyFont="1" applyFill="1" applyBorder="1" applyAlignment="1" applyProtection="1">
      <alignment horizontal="left" vertical="center" wrapText="1"/>
    </xf>
    <xf numFmtId="0" fontId="44" fillId="0" borderId="15" xfId="7" applyFont="1" applyFill="1" applyBorder="1" applyAlignment="1" applyProtection="1">
      <alignment horizontal="left" vertical="center" wrapText="1"/>
    </xf>
    <xf numFmtId="0" fontId="44"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4" fillId="0" borderId="0" xfId="7" applyFont="1" applyAlignment="1" applyProtection="1">
      <alignment horizontal="center" vertical="center"/>
    </xf>
    <xf numFmtId="0" fontId="44" fillId="0" borderId="2" xfId="7" applyFont="1" applyFill="1" applyBorder="1" applyAlignment="1" applyProtection="1">
      <alignment horizontal="left" vertical="center" wrapText="1"/>
    </xf>
    <xf numFmtId="0" fontId="44" fillId="0" borderId="13" xfId="7" applyFont="1" applyFill="1" applyBorder="1" applyAlignment="1" applyProtection="1">
      <alignment vertical="center" wrapText="1"/>
    </xf>
    <xf numFmtId="0" fontId="44" fillId="0" borderId="15" xfId="7" applyFont="1" applyFill="1" applyBorder="1" applyAlignment="1" applyProtection="1">
      <alignment vertical="center" wrapText="1"/>
    </xf>
    <xf numFmtId="0" fontId="44" fillId="0" borderId="2" xfId="7" applyFont="1" applyFill="1" applyBorder="1" applyAlignment="1" applyProtection="1">
      <alignment vertical="center" wrapText="1"/>
    </xf>
    <xf numFmtId="0" fontId="60" fillId="0" borderId="78" xfId="0"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44" fillId="0" borderId="1"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60" fillId="0" borderId="54" xfId="0"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0"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3"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7"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0"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5" xfId="0" applyFont="1" applyBorder="1" applyAlignment="1" applyProtection="1">
      <alignment horizontal="left" vertical="center"/>
    </xf>
    <xf numFmtId="0" fontId="94" fillId="0" borderId="1"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5" borderId="13" xfId="0" applyFont="1" applyFill="1" applyBorder="1" applyAlignment="1" applyProtection="1">
      <alignment horizontal="left" vertical="center"/>
    </xf>
    <xf numFmtId="0" fontId="94" fillId="5" borderId="15"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4"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wrapText="1"/>
    </xf>
    <xf numFmtId="0" fontId="46" fillId="6" borderId="15" xfId="0" applyFont="1" applyFill="1" applyBorder="1" applyAlignment="1" applyProtection="1">
      <alignment horizontal="left" vertical="center"/>
    </xf>
    <xf numFmtId="0" fontId="46" fillId="6" borderId="2" xfId="0" applyFont="1" applyFill="1" applyBorder="1" applyAlignment="1" applyProtection="1">
      <alignment horizontal="left" vertical="center"/>
    </xf>
    <xf numFmtId="0" fontId="46" fillId="0" borderId="5" xfId="0"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6" fillId="6" borderId="22" xfId="0" applyFont="1" applyFill="1" applyBorder="1" applyAlignment="1" applyProtection="1">
      <alignment horizontal="left" vertical="center"/>
    </xf>
    <xf numFmtId="0" fontId="46" fillId="6" borderId="35" xfId="0" applyFont="1" applyFill="1" applyBorder="1" applyAlignment="1" applyProtection="1">
      <alignment horizontal="left" vertical="center"/>
    </xf>
    <xf numFmtId="0" fontId="46" fillId="6" borderId="1" xfId="0" applyNumberFormat="1" applyFont="1" applyFill="1" applyBorder="1" applyAlignment="1" applyProtection="1">
      <alignment horizontal="center" vertical="center" wrapText="1"/>
    </xf>
    <xf numFmtId="0" fontId="46" fillId="6" borderId="34"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6" fillId="6" borderId="65" xfId="0" applyFont="1" applyFill="1" applyBorder="1" applyAlignment="1" applyProtection="1">
      <alignment horizontal="left" vertical="center" wrapText="1"/>
    </xf>
    <xf numFmtId="0" fontId="46" fillId="16" borderId="13" xfId="0" applyFont="1" applyFill="1" applyBorder="1" applyAlignment="1" applyProtection="1">
      <alignment horizontal="center" vertical="center" wrapText="1"/>
    </xf>
    <xf numFmtId="0" fontId="46" fillId="16" borderId="103" xfId="0"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46" fillId="6" borderId="6" xfId="0" applyFont="1" applyFill="1" applyBorder="1" applyAlignment="1" applyProtection="1">
      <alignment vertical="center"/>
    </xf>
    <xf numFmtId="0" fontId="46" fillId="6" borderId="10" xfId="0" applyFont="1" applyFill="1" applyBorder="1" applyAlignment="1" applyProtection="1">
      <alignment vertical="center"/>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3" fillId="6" borderId="6" xfId="0" applyFont="1" applyFill="1" applyBorder="1" applyAlignment="1" applyProtection="1">
      <alignment horizontal="center" vertical="center"/>
    </xf>
    <xf numFmtId="0" fontId="43" fillId="6" borderId="9" xfId="0" applyFont="1" applyFill="1" applyBorder="1" applyAlignment="1" applyProtection="1">
      <alignment horizontal="center" vertical="center"/>
    </xf>
    <xf numFmtId="0" fontId="43" fillId="6" borderId="10" xfId="0" applyFont="1" applyFill="1" applyBorder="1" applyAlignment="1" applyProtection="1">
      <alignment horizontal="center" vertical="center"/>
    </xf>
    <xf numFmtId="0" fontId="45" fillId="6" borderId="40" xfId="0" applyFont="1" applyFill="1" applyBorder="1" applyAlignment="1" applyProtection="1">
      <alignment horizontal="center" vertical="center"/>
    </xf>
    <xf numFmtId="0" fontId="45" fillId="6" borderId="17" xfId="0" applyFont="1" applyFill="1" applyBorder="1" applyAlignment="1" applyProtection="1">
      <alignment horizontal="center" vertical="center"/>
    </xf>
    <xf numFmtId="0" fontId="45" fillId="6" borderId="62" xfId="0" applyFont="1" applyFill="1" applyBorder="1" applyAlignment="1" applyProtection="1">
      <alignment horizontal="center" vertical="center"/>
    </xf>
    <xf numFmtId="0" fontId="43" fillId="6" borderId="51" xfId="0" applyFont="1" applyFill="1" applyBorder="1" applyAlignment="1" applyProtection="1">
      <alignment horizontal="center" vertical="center"/>
    </xf>
    <xf numFmtId="0" fontId="43" fillId="6" borderId="20" xfId="0" applyFont="1" applyFill="1" applyBorder="1" applyAlignment="1" applyProtection="1">
      <alignment horizontal="center" vertical="center"/>
    </xf>
    <xf numFmtId="0" fontId="43"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13"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0" fontId="68" fillId="6" borderId="105" xfId="0" applyFont="1" applyFill="1" applyBorder="1" applyAlignment="1" applyProtection="1">
      <alignment vertical="center"/>
    </xf>
    <xf numFmtId="0" fontId="68" fillId="6" borderId="101" xfId="0" applyFont="1" applyFill="1" applyBorder="1" applyAlignment="1" applyProtection="1">
      <alignment vertical="center"/>
    </xf>
    <xf numFmtId="0" fontId="46" fillId="6" borderId="54" xfId="0" applyFont="1" applyFill="1" applyBorder="1" applyAlignment="1" applyProtection="1">
      <alignment horizontal="left" vertical="center" wrapText="1"/>
    </xf>
    <xf numFmtId="0" fontId="43" fillId="6" borderId="1" xfId="0" applyFont="1" applyFill="1" applyBorder="1" applyAlignment="1" applyProtection="1">
      <alignment horizontal="center" vertical="center" wrapText="1"/>
    </xf>
    <xf numFmtId="0" fontId="51" fillId="6" borderId="51" xfId="0"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45" fillId="6" borderId="40" xfId="0" applyFont="1" applyFill="1" applyBorder="1" applyAlignment="1" applyProtection="1">
      <alignment horizontal="left" vertical="center" wrapText="1"/>
    </xf>
    <xf numFmtId="0" fontId="45" fillId="6" borderId="41" xfId="0" applyFont="1" applyFill="1" applyBorder="1" applyAlignment="1" applyProtection="1">
      <alignment horizontal="left" vertical="center" wrapText="1"/>
    </xf>
    <xf numFmtId="10" fontId="46" fillId="6" borderId="5" xfId="0" applyNumberFormat="1" applyFont="1" applyFill="1" applyBorder="1" applyAlignment="1" applyProtection="1">
      <alignment horizontal="left" vertical="center" wrapText="1"/>
    </xf>
    <xf numFmtId="10" fontId="46" fillId="6" borderId="54" xfId="0" applyNumberFormat="1" applyFont="1" applyFill="1" applyBorder="1" applyAlignment="1" applyProtection="1">
      <alignment horizontal="left" vertical="center" wrapText="1"/>
    </xf>
    <xf numFmtId="0" fontId="45" fillId="6" borderId="21" xfId="0" applyFont="1" applyFill="1" applyBorder="1" applyAlignment="1" applyProtection="1">
      <alignment horizontal="center" vertical="center"/>
    </xf>
    <xf numFmtId="0" fontId="51" fillId="6" borderId="47" xfId="0" applyFont="1" applyFill="1" applyBorder="1" applyAlignment="1" applyProtection="1">
      <alignment horizontal="center" vertical="center"/>
    </xf>
    <xf numFmtId="0" fontId="43"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3" fillId="0" borderId="13" xfId="0" applyFont="1" applyBorder="1" applyAlignment="1" applyProtection="1">
      <alignment horizontal="center" vertical="center"/>
      <protection locked="0"/>
    </xf>
    <xf numFmtId="0" fontId="43" fillId="0" borderId="15"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10" fontId="46"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5" fillId="6" borderId="40" xfId="0" applyFont="1" applyFill="1" applyBorder="1" applyAlignment="1" applyProtection="1">
      <alignment horizontal="center" vertical="center" wrapText="1"/>
    </xf>
    <xf numFmtId="0" fontId="45" fillId="6" borderId="14"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xf>
    <xf numFmtId="0" fontId="99" fillId="6" borderId="63" xfId="0" applyFont="1" applyFill="1" applyBorder="1" applyAlignment="1" applyProtection="1">
      <alignment horizontal="center" vertical="center"/>
    </xf>
    <xf numFmtId="0" fontId="99" fillId="6" borderId="64" xfId="0" applyFont="1" applyFill="1" applyBorder="1" applyAlignment="1" applyProtection="1">
      <alignment horizontal="center" vertical="center"/>
    </xf>
    <xf numFmtId="0" fontId="99" fillId="6" borderId="65"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6" fillId="6" borderId="69" xfId="0" applyFont="1" applyFill="1" applyBorder="1" applyAlignment="1" applyProtection="1">
      <alignment horizontal="center" vertical="center"/>
    </xf>
    <xf numFmtId="0" fontId="46"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5" fillId="6" borderId="23" xfId="0" applyFont="1" applyFill="1" applyBorder="1" applyAlignment="1" applyProtection="1">
      <alignment horizontal="left" vertical="center"/>
    </xf>
    <xf numFmtId="0" fontId="45" fillId="6" borderId="1"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6" fillId="6" borderId="19"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6" fillId="6" borderId="48" xfId="0" applyFont="1" applyFill="1" applyBorder="1" applyAlignment="1" applyProtection="1">
      <alignment horizontal="left" vertical="center" wrapText="1"/>
    </xf>
    <xf numFmtId="0" fontId="53" fillId="6" borderId="18"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43" fillId="6" borderId="5" xfId="0" applyFont="1" applyFill="1" applyBorder="1" applyAlignment="1" applyProtection="1">
      <alignment horizontal="left" vertical="center" wrapText="1"/>
    </xf>
    <xf numFmtId="0" fontId="43" fillId="6" borderId="54" xfId="0" applyFont="1" applyFill="1" applyBorder="1" applyAlignment="1" applyProtection="1">
      <alignment horizontal="left" vertical="center" wrapText="1"/>
    </xf>
    <xf numFmtId="0" fontId="43" fillId="6" borderId="3"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6" fillId="6" borderId="36" xfId="0" applyFont="1" applyFill="1" applyBorder="1" applyAlignment="1" applyProtection="1">
      <alignment horizontal="left" vertical="center"/>
    </xf>
    <xf numFmtId="0" fontId="43" fillId="5" borderId="5" xfId="0" applyFont="1" applyFill="1" applyBorder="1" applyAlignment="1" applyProtection="1">
      <alignment horizontal="left" vertical="center" wrapText="1"/>
      <protection locked="0"/>
    </xf>
    <xf numFmtId="0" fontId="43" fillId="5"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xf>
    <xf numFmtId="0" fontId="98" fillId="6" borderId="1" xfId="0" applyFont="1" applyFill="1" applyBorder="1" applyAlignment="1" applyProtection="1">
      <alignment horizontal="left" vertical="center" wrapText="1"/>
    </xf>
    <xf numFmtId="0" fontId="98" fillId="6" borderId="13" xfId="0" applyFont="1" applyFill="1" applyBorder="1" applyAlignment="1" applyProtection="1">
      <alignment horizontal="left" vertical="center" wrapText="1"/>
    </xf>
    <xf numFmtId="0" fontId="98" fillId="6" borderId="2"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xf>
    <xf numFmtId="0" fontId="46" fillId="6" borderId="53" xfId="0" applyFont="1" applyFill="1" applyBorder="1" applyAlignment="1" applyProtection="1">
      <alignment horizontal="left" vertical="center"/>
    </xf>
    <xf numFmtId="0" fontId="46" fillId="6" borderId="8" xfId="0" applyFont="1" applyFill="1" applyBorder="1" applyAlignment="1" applyProtection="1">
      <alignment horizontal="left" vertical="center"/>
    </xf>
    <xf numFmtId="0" fontId="103" fillId="6" borderId="106" xfId="0" applyFont="1" applyFill="1" applyBorder="1" applyProtection="1">
      <alignment vertical="center"/>
    </xf>
    <xf numFmtId="0" fontId="103" fillId="6" borderId="107" xfId="0" applyFont="1" applyFill="1" applyBorder="1" applyProtection="1">
      <alignment vertical="center"/>
    </xf>
    <xf numFmtId="0" fontId="45" fillId="6" borderId="23" xfId="0" applyFont="1" applyFill="1" applyBorder="1" applyAlignment="1" applyProtection="1">
      <alignment horizontal="left" vertical="center" wrapText="1"/>
    </xf>
    <xf numFmtId="0" fontId="45" fillId="6" borderId="25" xfId="0" applyFont="1" applyFill="1" applyBorder="1" applyAlignment="1" applyProtection="1">
      <alignment horizontal="left" vertical="center" wrapText="1"/>
    </xf>
    <xf numFmtId="0" fontId="45" fillId="6" borderId="32"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192" fontId="125" fillId="6" borderId="1" xfId="0" applyNumberFormat="1"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0" fontId="45" fillId="6" borderId="3" xfId="0" applyFont="1" applyFill="1" applyBorder="1" applyAlignment="1" applyProtection="1">
      <alignment horizontal="left" vertical="center"/>
    </xf>
    <xf numFmtId="0" fontId="46" fillId="6" borderId="5" xfId="0" applyFont="1" applyFill="1" applyBorder="1" applyAlignment="1" applyProtection="1">
      <alignment horizontal="left" vertical="center"/>
    </xf>
    <xf numFmtId="0" fontId="46"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6" fillId="6" borderId="3" xfId="0" applyFont="1" applyFill="1" applyBorder="1" applyAlignment="1" applyProtection="1">
      <alignment horizontal="left" vertical="center"/>
    </xf>
    <xf numFmtId="10" fontId="76" fillId="6" borderId="1" xfId="0" applyNumberFormat="1" applyFont="1" applyFill="1" applyBorder="1" applyAlignment="1" applyProtection="1">
      <alignment horizontal="left" vertical="center" wrapText="1"/>
    </xf>
    <xf numFmtId="10" fontId="46" fillId="6" borderId="1" xfId="0" applyNumberFormat="1"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6" fillId="6" borderId="13" xfId="0" applyFont="1" applyFill="1" applyBorder="1" applyAlignment="1" applyProtection="1">
      <alignment vertical="top" wrapText="1"/>
    </xf>
    <xf numFmtId="0" fontId="46" fillId="6" borderId="15" xfId="0" applyFont="1" applyFill="1" applyBorder="1" applyAlignment="1" applyProtection="1">
      <alignment vertical="top" wrapText="1"/>
    </xf>
    <xf numFmtId="0" fontId="46" fillId="6" borderId="2" xfId="0" applyFont="1" applyFill="1" applyBorder="1" applyAlignment="1" applyProtection="1">
      <alignment vertical="top" wrapText="1"/>
    </xf>
    <xf numFmtId="0" fontId="53" fillId="6" borderId="23" xfId="4" applyFont="1" applyFill="1" applyBorder="1" applyAlignment="1" applyProtection="1">
      <alignment horizontal="left" vertical="center" wrapText="1"/>
      <protection locked="0"/>
    </xf>
    <xf numFmtId="0" fontId="53" fillId="6" borderId="13" xfId="4" applyFont="1" applyFill="1" applyBorder="1" applyAlignment="1" applyProtection="1">
      <alignment horizontal="left" vertical="center" wrapText="1"/>
      <protection locked="0"/>
    </xf>
    <xf numFmtId="0" fontId="53" fillId="6" borderId="15" xfId="4" applyFont="1" applyFill="1" applyBorder="1" applyAlignment="1" applyProtection="1">
      <alignment horizontal="left" vertical="center" wrapText="1"/>
      <protection locked="0"/>
    </xf>
    <xf numFmtId="0" fontId="53" fillId="6" borderId="2" xfId="4" applyFont="1" applyFill="1" applyBorder="1" applyAlignment="1" applyProtection="1">
      <alignment horizontal="left" vertical="center" wrapText="1"/>
      <protection locked="0"/>
    </xf>
    <xf numFmtId="0" fontId="101" fillId="6" borderId="11" xfId="4" applyFont="1" applyFill="1" applyBorder="1" applyAlignment="1" applyProtection="1">
      <alignment horizontal="left" vertical="center"/>
      <protection locked="0"/>
    </xf>
    <xf numFmtId="0" fontId="101" fillId="6" borderId="41" xfId="4" applyFont="1" applyFill="1" applyBorder="1" applyAlignment="1" applyProtection="1">
      <alignment horizontal="left" vertical="center"/>
      <protection locked="0"/>
    </xf>
    <xf numFmtId="0" fontId="53" fillId="19" borderId="69" xfId="4" applyFont="1" applyFill="1" applyBorder="1" applyAlignment="1" applyProtection="1">
      <alignment vertical="center"/>
      <protection locked="0"/>
    </xf>
    <xf numFmtId="0" fontId="53" fillId="19" borderId="7" xfId="4" applyFont="1" applyFill="1" applyBorder="1" applyAlignment="1" applyProtection="1">
      <alignment vertical="center"/>
      <protection locked="0"/>
    </xf>
    <xf numFmtId="0" fontId="53" fillId="6" borderId="37" xfId="4" applyFont="1" applyFill="1" applyBorder="1" applyAlignment="1" applyProtection="1">
      <alignment horizontal="left" vertical="center"/>
      <protection locked="0"/>
    </xf>
    <xf numFmtId="0" fontId="53" fillId="6" borderId="3" xfId="4" applyFont="1" applyFill="1" applyBorder="1" applyAlignment="1" applyProtection="1">
      <alignment horizontal="left" vertical="center"/>
      <protection locked="0"/>
    </xf>
    <xf numFmtId="0" fontId="52" fillId="6" borderId="5" xfId="4" applyFont="1" applyFill="1" applyBorder="1" applyAlignment="1">
      <alignment horizontal="left" vertical="center"/>
    </xf>
    <xf numFmtId="0" fontId="52" fillId="6" borderId="3" xfId="4" applyFont="1" applyFill="1" applyBorder="1" applyAlignment="1">
      <alignment horizontal="left" vertical="center"/>
    </xf>
    <xf numFmtId="0" fontId="53" fillId="6" borderId="33" xfId="4" applyFont="1" applyFill="1" applyBorder="1" applyAlignment="1">
      <alignment horizontal="left" vertical="center"/>
    </xf>
    <xf numFmtId="0" fontId="53" fillId="6" borderId="66" xfId="4" applyFont="1" applyFill="1" applyBorder="1" applyAlignment="1">
      <alignment horizontal="left" vertical="center"/>
    </xf>
    <xf numFmtId="0" fontId="101" fillId="6" borderId="63" xfId="4" applyFont="1" applyFill="1" applyBorder="1" applyAlignment="1">
      <alignment horizontal="left" vertical="center"/>
    </xf>
    <xf numFmtId="0" fontId="101" fillId="6" borderId="64" xfId="4" applyFont="1" applyFill="1" applyBorder="1" applyAlignment="1">
      <alignment horizontal="left" vertical="center"/>
    </xf>
    <xf numFmtId="0" fontId="101" fillId="6" borderId="70"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18"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0" fillId="6" borderId="11" xfId="0" applyFont="1" applyFill="1" applyBorder="1" applyAlignment="1" applyProtection="1">
      <alignment horizontal="center" vertical="center" textRotation="255" wrapText="1"/>
    </xf>
    <xf numFmtId="0" fontId="50" fillId="6" borderId="14" xfId="0" applyFont="1" applyFill="1" applyBorder="1" applyAlignment="1" applyProtection="1">
      <alignment horizontal="center" vertical="center" textRotation="255" wrapText="1"/>
    </xf>
    <xf numFmtId="0" fontId="50" fillId="6" borderId="41" xfId="0" applyFont="1" applyFill="1" applyBorder="1" applyAlignment="1" applyProtection="1">
      <alignment horizontal="center" vertical="center" textRotation="255" wrapText="1"/>
    </xf>
    <xf numFmtId="0" fontId="50" fillId="6" borderId="15" xfId="0" applyFont="1" applyFill="1" applyBorder="1" applyAlignment="1" applyProtection="1">
      <alignment horizontal="center" vertical="center" textRotation="255" wrapText="1"/>
    </xf>
    <xf numFmtId="0" fontId="50" fillId="6" borderId="2" xfId="0" applyFont="1" applyFill="1" applyBorder="1" applyAlignment="1" applyProtection="1">
      <alignment horizontal="center" vertical="center" textRotation="255" wrapText="1"/>
    </xf>
    <xf numFmtId="0" fontId="50" fillId="6" borderId="11"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23"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50" fillId="6" borderId="22"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0" fontId="50" fillId="6" borderId="7"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xf>
    <xf numFmtId="0" fontId="50" fillId="6" borderId="22" xfId="0" applyFont="1" applyFill="1" applyBorder="1" applyAlignment="1" applyProtection="1">
      <alignment horizontal="center" vertical="center"/>
    </xf>
    <xf numFmtId="0" fontId="50" fillId="6" borderId="58" xfId="0" applyFont="1" applyFill="1" applyBorder="1" applyAlignment="1" applyProtection="1">
      <alignment horizontal="center" vertical="center"/>
    </xf>
    <xf numFmtId="0" fontId="50" fillId="6" borderId="35" xfId="0" applyFont="1" applyFill="1" applyBorder="1" applyAlignment="1" applyProtection="1">
      <alignment horizontal="center" vertical="center"/>
    </xf>
    <xf numFmtId="0" fontId="50" fillId="6" borderId="4" xfId="0"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3" fillId="6" borderId="5"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43"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0" fillId="6" borderId="38" xfId="0"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49" fillId="6" borderId="32" xfId="0" applyNumberFormat="1"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16" xfId="0" applyFont="1" applyFill="1" applyBorder="1" applyAlignment="1" applyProtection="1">
      <alignment horizontal="center" vertical="center" wrapText="1"/>
    </xf>
    <xf numFmtId="0" fontId="50" fillId="6" borderId="39" xfId="0" applyFont="1" applyFill="1" applyBorder="1" applyAlignment="1" applyProtection="1">
      <alignment horizontal="center" vertical="center" wrapText="1"/>
    </xf>
    <xf numFmtId="0" fontId="50" fillId="6" borderId="18"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xf>
    <xf numFmtId="0" fontId="50" fillId="6" borderId="39"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206" fillId="0" borderId="11" xfId="0" applyFont="1" applyBorder="1" applyAlignment="1" applyProtection="1">
      <alignment horizontal="center" vertical="center" wrapText="1"/>
      <protection locked="0"/>
    </xf>
    <xf numFmtId="0" fontId="164" fillId="0" borderId="61" xfId="0" applyFont="1" applyBorder="1" applyAlignment="1" applyProtection="1">
      <alignment horizontal="center" vertical="center" wrapText="1"/>
      <protection locked="0"/>
    </xf>
    <xf numFmtId="0" fontId="206" fillId="0" borderId="23" xfId="0" applyFont="1" applyBorder="1" applyAlignment="1" applyProtection="1">
      <alignment horizontal="center" vertical="center" wrapText="1"/>
      <protection locked="0"/>
    </xf>
    <xf numFmtId="0" fontId="164" fillId="0" borderId="24" xfId="0" applyFont="1" applyBorder="1" applyAlignment="1" applyProtection="1">
      <alignment horizontal="center" vertical="center" wrapText="1"/>
      <protection locked="0"/>
    </xf>
    <xf numFmtId="0" fontId="43" fillId="6" borderId="37" xfId="0" applyFont="1" applyFill="1" applyBorder="1" applyAlignment="1" applyProtection="1">
      <alignment horizontal="center" vertical="center"/>
    </xf>
    <xf numFmtId="0" fontId="206" fillId="0" borderId="3" xfId="0" applyFont="1" applyBorder="1" applyAlignment="1" applyProtection="1">
      <alignment horizontal="center" vertical="center" wrapText="1"/>
      <protection locked="0"/>
    </xf>
    <xf numFmtId="0" fontId="164" fillId="0" borderId="5" xfId="0" applyFont="1" applyBorder="1" applyAlignment="1" applyProtection="1">
      <alignment horizontal="center" vertical="center" wrapText="1"/>
      <protection locked="0"/>
    </xf>
    <xf numFmtId="0" fontId="50" fillId="6" borderId="17" xfId="0" applyFont="1" applyFill="1" applyBorder="1" applyAlignment="1" applyProtection="1">
      <alignment horizontal="center" vertical="center"/>
    </xf>
    <xf numFmtId="0" fontId="278" fillId="0" borderId="0" xfId="0" applyFont="1">
      <alignment vertical="center"/>
    </xf>
    <xf numFmtId="0" fontId="279" fillId="0" borderId="0" xfId="0" applyFont="1">
      <alignment vertical="center"/>
    </xf>
    <xf numFmtId="0" fontId="277" fillId="12" borderId="0" xfId="25" applyFont="1" applyFill="1" applyAlignment="1">
      <alignment horizontal="center" vertical="center"/>
    </xf>
    <xf numFmtId="0" fontId="95" fillId="12" borderId="1" xfId="1" applyFont="1" applyFill="1" applyBorder="1" applyAlignment="1">
      <alignment horizontal="center" vertical="center"/>
    </xf>
    <xf numFmtId="0" fontId="254" fillId="12" borderId="1" xfId="1" applyFont="1" applyFill="1" applyBorder="1" applyAlignment="1">
      <alignment horizontal="center" vertical="center"/>
    </xf>
    <xf numFmtId="4" fontId="94" fillId="12" borderId="0" xfId="20" applyNumberFormat="1" applyFont="1" applyFill="1" applyAlignment="1">
      <alignment horizontal="center" vertical="center"/>
    </xf>
    <xf numFmtId="0" fontId="94" fillId="12" borderId="0" xfId="20" applyFont="1" applyFill="1" applyAlignment="1">
      <alignment horizontal="center" vertical="center"/>
    </xf>
    <xf numFmtId="0" fontId="244" fillId="0" borderId="1" xfId="20" applyFont="1" applyBorder="1" applyAlignment="1">
      <alignment horizontal="center" vertical="center"/>
    </xf>
    <xf numFmtId="0" fontId="244" fillId="0" borderId="1" xfId="20" applyFont="1" applyBorder="1" applyAlignment="1">
      <alignment horizontal="center" vertical="center" wrapText="1"/>
    </xf>
    <xf numFmtId="43" fontId="244" fillId="0" borderId="1" xfId="20" applyNumberFormat="1" applyFont="1" applyBorder="1" applyAlignment="1">
      <alignment horizontal="center" vertical="center"/>
    </xf>
    <xf numFmtId="14" fontId="244" fillId="0" borderId="1" xfId="20" applyNumberFormat="1" applyFont="1" applyBorder="1" applyAlignment="1">
      <alignment horizontal="center" vertical="center"/>
    </xf>
    <xf numFmtId="49" fontId="244" fillId="0" borderId="13" xfId="20" applyNumberFormat="1" applyFont="1" applyBorder="1" applyAlignment="1">
      <alignment horizontal="center" vertical="center"/>
    </xf>
    <xf numFmtId="49" fontId="244" fillId="0" borderId="15" xfId="20" applyNumberFormat="1" applyFont="1" applyBorder="1" applyAlignment="1">
      <alignment horizontal="center" vertical="center"/>
    </xf>
    <xf numFmtId="49" fontId="244" fillId="0" borderId="2" xfId="20" applyNumberFormat="1" applyFont="1" applyBorder="1" applyAlignment="1">
      <alignment horizontal="center" vertical="center"/>
    </xf>
    <xf numFmtId="0" fontId="274" fillId="0" borderId="1" xfId="27" applyFont="1" applyBorder="1" applyAlignment="1">
      <alignment horizontal="center" vertical="center" wrapText="1"/>
    </xf>
    <xf numFmtId="201" fontId="244" fillId="5" borderId="1" xfId="26" applyNumberFormat="1" applyFont="1" applyFill="1" applyBorder="1" applyAlignment="1">
      <alignment horizontal="center" vertical="center"/>
    </xf>
    <xf numFmtId="201" fontId="254" fillId="5" borderId="1" xfId="26" applyNumberFormat="1" applyFont="1" applyFill="1" applyBorder="1" applyAlignment="1">
      <alignment horizontal="center" vertical="center"/>
    </xf>
    <xf numFmtId="49" fontId="244" fillId="0" borderId="1" xfId="20" applyNumberFormat="1" applyFont="1" applyBorder="1" applyAlignment="1">
      <alignment horizontal="center" vertical="center"/>
    </xf>
    <xf numFmtId="176" fontId="254" fillId="5" borderId="1" xfId="19" applyFont="1" applyFill="1" applyBorder="1" applyAlignment="1">
      <alignment horizontal="center" vertical="center"/>
    </xf>
    <xf numFmtId="0" fontId="244" fillId="0" borderId="1" xfId="10" applyFont="1" applyBorder="1" applyAlignment="1">
      <alignment horizontal="center" vertical="center"/>
    </xf>
    <xf numFmtId="0" fontId="50" fillId="6" borderId="13" xfId="0"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86" fontId="49" fillId="18" borderId="1"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61"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75" xfId="0" applyFont="1" applyFill="1" applyBorder="1" applyAlignment="1" applyProtection="1">
      <alignment horizontal="center" vertical="center"/>
      <protection locked="0"/>
    </xf>
    <xf numFmtId="0" fontId="46" fillId="6" borderId="47" xfId="0" applyFont="1" applyFill="1" applyBorder="1" applyAlignment="1" applyProtection="1">
      <alignment horizontal="center" vertical="center"/>
      <protection locked="0"/>
    </xf>
    <xf numFmtId="0" fontId="46" fillId="6" borderId="73" xfId="0" applyFont="1" applyFill="1" applyBorder="1" applyAlignment="1" applyProtection="1">
      <alignment horizontal="center" vertical="center"/>
      <protection locked="0"/>
    </xf>
    <xf numFmtId="0" fontId="98" fillId="6" borderId="13" xfId="0" applyNumberFormat="1" applyFont="1" applyFill="1" applyBorder="1" applyAlignment="1" applyProtection="1">
      <alignment horizontal="left" vertical="center"/>
    </xf>
    <xf numFmtId="0" fontId="98" fillId="6" borderId="15" xfId="0" applyNumberFormat="1" applyFont="1" applyFill="1" applyBorder="1" applyAlignment="1" applyProtection="1">
      <alignment horizontal="left" vertical="center"/>
    </xf>
    <xf numFmtId="0" fontId="98" fillId="6" borderId="2" xfId="0"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2" fillId="6" borderId="54" xfId="8" applyFont="1" applyFill="1" applyBorder="1" applyAlignment="1" applyProtection="1">
      <alignment horizontal="right" vertical="center" wrapText="1"/>
      <protection locked="0"/>
    </xf>
    <xf numFmtId="0" fontId="52" fillId="6" borderId="3" xfId="8" applyFont="1" applyFill="1" applyBorder="1" applyAlignment="1" applyProtection="1">
      <alignment horizontal="right" vertical="center" wrapText="1"/>
      <protection locked="0"/>
    </xf>
    <xf numFmtId="0" fontId="52" fillId="6" borderId="3" xfId="8" applyFont="1" applyFill="1" applyBorder="1" applyAlignment="1" applyProtection="1">
      <alignment horizontal="center" vertical="center" wrapText="1"/>
      <protection locked="0"/>
    </xf>
    <xf numFmtId="0" fontId="56" fillId="6" borderId="5" xfId="0" applyFont="1" applyFill="1" applyBorder="1" applyAlignment="1" applyProtection="1">
      <alignment horizontal="center" vertical="center" wrapText="1"/>
    </xf>
    <xf numFmtId="0" fontId="56" fillId="6" borderId="54"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49" fontId="79" fillId="6" borderId="14"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xf>
    <xf numFmtId="0" fontId="101" fillId="6" borderId="0" xfId="0" applyNumberFormat="1" applyFont="1" applyFill="1" applyAlignment="1" applyProtection="1">
      <alignment horizontal="left" vertical="center"/>
    </xf>
    <xf numFmtId="0" fontId="98"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1"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1"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8" fillId="11" borderId="131" xfId="9" applyFont="1" applyFill="1" applyBorder="1" applyAlignment="1" applyProtection="1">
      <alignment horizontal="left" vertical="center" wrapText="1"/>
    </xf>
    <xf numFmtId="0" fontId="98" fillId="11" borderId="125" xfId="9" applyFont="1" applyFill="1" applyBorder="1" applyAlignment="1" applyProtection="1">
      <alignment horizontal="left" vertical="center" wrapText="1"/>
    </xf>
    <xf numFmtId="0" fontId="98"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43" fillId="13" borderId="28" xfId="0" applyFont="1" applyFill="1" applyBorder="1" applyAlignment="1" applyProtection="1">
      <alignment horizontal="center" vertical="center" wrapText="1"/>
    </xf>
    <xf numFmtId="0" fontId="43" fillId="13" borderId="51" xfId="0" applyNumberFormat="1" applyFont="1" applyFill="1" applyBorder="1" applyAlignment="1" applyProtection="1">
      <alignment horizontal="center" vertical="center" wrapText="1"/>
      <protection locked="0"/>
    </xf>
    <xf numFmtId="0" fontId="43" fillId="13" borderId="10" xfId="0" applyNumberFormat="1" applyFont="1" applyFill="1" applyBorder="1" applyAlignment="1" applyProtection="1">
      <alignment horizontal="center" vertical="center" wrapText="1"/>
    </xf>
    <xf numFmtId="49" fontId="43" fillId="13" borderId="6" xfId="0" applyNumberFormat="1" applyFont="1" applyFill="1" applyBorder="1" applyAlignment="1" applyProtection="1">
      <alignment horizontal="center" vertical="center" wrapText="1"/>
      <protection locked="0"/>
    </xf>
    <xf numFmtId="0" fontId="43" fillId="13" borderId="5" xfId="0" applyFont="1" applyFill="1" applyBorder="1" applyAlignment="1" applyProtection="1">
      <alignment horizontal="center" vertical="center" wrapText="1"/>
    </xf>
    <xf numFmtId="177" fontId="43" fillId="13" borderId="23" xfId="0" applyNumberFormat="1" applyFont="1" applyFill="1" applyBorder="1" applyAlignment="1" applyProtection="1">
      <alignment horizontal="center" vertical="center" wrapText="1"/>
      <protection locked="0"/>
    </xf>
    <xf numFmtId="0" fontId="43" fillId="13" borderId="24" xfId="0" applyNumberFormat="1" applyFont="1" applyFill="1" applyBorder="1" applyAlignment="1" applyProtection="1">
      <alignment horizontal="center" vertical="center" wrapText="1"/>
    </xf>
    <xf numFmtId="0" fontId="281" fillId="13" borderId="37" xfId="0" applyNumberFormat="1" applyFont="1" applyFill="1" applyBorder="1" applyAlignment="1" applyProtection="1">
      <alignment horizontal="center" vertical="center" wrapText="1"/>
      <protection locked="0"/>
    </xf>
    <xf numFmtId="0" fontId="50" fillId="13" borderId="37" xfId="0" applyNumberFormat="1" applyFont="1" applyFill="1" applyBorder="1" applyAlignment="1" applyProtection="1">
      <alignment horizontal="center" vertical="center" wrapText="1"/>
      <protection locked="0"/>
    </xf>
    <xf numFmtId="0" fontId="43" fillId="13" borderId="37" xfId="0" applyFont="1" applyFill="1" applyBorder="1" applyAlignment="1" applyProtection="1">
      <alignment horizontal="center" vertical="center" wrapText="1"/>
      <protection locked="0"/>
    </xf>
    <xf numFmtId="0" fontId="43" fillId="13" borderId="3" xfId="0" applyNumberFormat="1" applyFont="1" applyFill="1" applyBorder="1" applyAlignment="1" applyProtection="1">
      <alignment horizontal="center" vertical="center" wrapText="1"/>
      <protection locked="0"/>
    </xf>
    <xf numFmtId="0" fontId="43" fillId="13" borderId="5" xfId="0" applyNumberFormat="1" applyFont="1" applyFill="1" applyBorder="1" applyAlignment="1" applyProtection="1">
      <alignment horizontal="center" vertical="center" wrapText="1"/>
    </xf>
    <xf numFmtId="0" fontId="43" fillId="13" borderId="23" xfId="0" applyNumberFormat="1" applyFont="1" applyFill="1" applyBorder="1" applyAlignment="1" applyProtection="1">
      <alignment horizontal="center" vertical="center" wrapText="1"/>
      <protection locked="0"/>
    </xf>
    <xf numFmtId="9" fontId="43" fillId="13" borderId="37" xfId="0" applyNumberFormat="1" applyFont="1" applyFill="1" applyBorder="1" applyAlignment="1" applyProtection="1">
      <alignment horizontal="center" vertical="center" wrapText="1"/>
      <protection locked="0"/>
    </xf>
    <xf numFmtId="0" fontId="50" fillId="13" borderId="24" xfId="0" applyNumberFormat="1" applyFont="1" applyFill="1" applyBorder="1" applyAlignment="1" applyProtection="1">
      <alignment horizontal="center" vertical="center" wrapText="1"/>
    </xf>
    <xf numFmtId="0" fontId="50" fillId="13" borderId="5" xfId="0" applyNumberFormat="1" applyFont="1" applyFill="1" applyBorder="1" applyAlignment="1" applyProtection="1">
      <alignment horizontal="center" vertical="center" wrapText="1"/>
    </xf>
    <xf numFmtId="49" fontId="127" fillId="13" borderId="37" xfId="0" applyNumberFormat="1" applyFont="1" applyFill="1" applyBorder="1" applyAlignment="1" applyProtection="1">
      <alignment horizontal="center" vertical="center" wrapText="1"/>
      <protection locked="0"/>
    </xf>
    <xf numFmtId="197" fontId="244" fillId="0" borderId="1" xfId="10" applyNumberFormat="1" applyFont="1" applyBorder="1">
      <alignment vertical="center"/>
    </xf>
    <xf numFmtId="197" fontId="244" fillId="5" borderId="1" xfId="10" applyNumberFormat="1" applyFont="1" applyFill="1" applyBorder="1">
      <alignment vertical="center"/>
    </xf>
    <xf numFmtId="0" fontId="244" fillId="0" borderId="1" xfId="10" applyFont="1" applyFill="1" applyBorder="1">
      <alignment vertical="center"/>
    </xf>
    <xf numFmtId="197" fontId="244" fillId="0" borderId="1" xfId="10" applyNumberFormat="1" applyFont="1" applyFill="1" applyBorder="1">
      <alignment vertical="center"/>
    </xf>
    <xf numFmtId="0" fontId="244" fillId="0" borderId="1" xfId="0" applyFont="1" applyFill="1" applyBorder="1">
      <alignment vertical="center"/>
    </xf>
    <xf numFmtId="176" fontId="244" fillId="0" borderId="1" xfId="0" applyNumberFormat="1" applyFont="1" applyFill="1" applyBorder="1">
      <alignment vertical="center"/>
    </xf>
    <xf numFmtId="43" fontId="244" fillId="0" borderId="1" xfId="33" applyFont="1" applyBorder="1">
      <alignment vertical="center"/>
    </xf>
    <xf numFmtId="202" fontId="244" fillId="0" borderId="1" xfId="33" applyNumberFormat="1" applyFont="1" applyBorder="1">
      <alignment vertical="center"/>
    </xf>
    <xf numFmtId="14" fontId="244" fillId="0" borderId="13" xfId="20" applyNumberFormat="1" applyFont="1" applyBorder="1" applyAlignment="1">
      <alignment horizontal="center" vertical="center"/>
    </xf>
    <xf numFmtId="14" fontId="244" fillId="0" borderId="15" xfId="20" applyNumberFormat="1" applyFont="1" applyBorder="1" applyAlignment="1">
      <alignment horizontal="center" vertical="center"/>
    </xf>
    <xf numFmtId="14" fontId="244" fillId="0" borderId="2" xfId="20" applyNumberFormat="1" applyFont="1" applyBorder="1" applyAlignment="1">
      <alignment horizontal="center" vertical="center"/>
    </xf>
    <xf numFmtId="0" fontId="76" fillId="6" borderId="0" xfId="0" applyFont="1" applyFill="1" applyProtection="1">
      <alignment vertical="center"/>
      <protection locked="0"/>
    </xf>
  </cellXfs>
  <cellStyles count="34">
    <cellStyle name="Normal 7 2 2 3" xfId="24"/>
    <cellStyle name="Normal_PWC Table Wizard 3 2" xfId="25"/>
    <cellStyle name="百分比" xfId="17" builtinId="5"/>
    <cellStyle name="百分比 2" xfId="14"/>
    <cellStyle name="百分比 2 2" xfId="23"/>
    <cellStyle name="百分比 2 6" xfId="28"/>
    <cellStyle name="百分比 22" xfId="31"/>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42" xfId="30"/>
    <cellStyle name="常规 5" xfId="5"/>
    <cellStyle name="常规 6" xfId="6"/>
    <cellStyle name="常规 6 2" xfId="9"/>
    <cellStyle name="常规 6 2 2" xfId="16"/>
    <cellStyle name="常规 6 2 3" xfId="13"/>
    <cellStyle name="常规 7" xfId="7"/>
    <cellStyle name="常规 71" xfId="26"/>
    <cellStyle name="常规 8" xfId="11"/>
    <cellStyle name="常规 9" xfId="12"/>
    <cellStyle name="超链接" xfId="29" builtinId="8"/>
    <cellStyle name="普通 3" xfId="27"/>
    <cellStyle name="千位分隔" xfId="19" builtinId="3"/>
    <cellStyle name="千位分隔 2" xfId="21"/>
    <cellStyle name="千位分隔 20" xfId="32"/>
    <cellStyle name="千位分隔 3" xfId="3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25</xdr:row>
      <xdr:rowOff>25400</xdr:rowOff>
    </xdr:from>
    <xdr:to>
      <xdr:col>9</xdr:col>
      <xdr:colOff>748323</xdr:colOff>
      <xdr:row>39</xdr:row>
      <xdr:rowOff>28655</xdr:rowOff>
    </xdr:to>
    <xdr:pic>
      <xdr:nvPicPr>
        <xdr:cNvPr id="2" name="图片 1">
          <a:extLst>
            <a:ext uri="{FF2B5EF4-FFF2-40B4-BE49-F238E27FC236}">
              <a16:creationId xmlns:a16="http://schemas.microsoft.com/office/drawing/2014/main" id="{7BFD828C-F915-C545-87AD-3F63FF5BA9AF}"/>
            </a:ext>
          </a:extLst>
        </xdr:cNvPr>
        <xdr:cNvPicPr>
          <a:picLocks noChangeAspect="1"/>
        </xdr:cNvPicPr>
      </xdr:nvPicPr>
      <xdr:blipFill>
        <a:blip xmlns:r="http://schemas.openxmlformats.org/officeDocument/2006/relationships" r:embed="rId1"/>
        <a:stretch>
          <a:fillRect/>
        </a:stretch>
      </xdr:blipFill>
      <xdr:spPr>
        <a:xfrm>
          <a:off x="6426200" y="4152900"/>
          <a:ext cx="2170723" cy="2314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88900</xdr:rowOff>
    </xdr:from>
    <xdr:to>
      <xdr:col>10</xdr:col>
      <xdr:colOff>1308100</xdr:colOff>
      <xdr:row>49</xdr:row>
      <xdr:rowOff>63500</xdr:rowOff>
    </xdr:to>
    <xdr:pic>
      <xdr:nvPicPr>
        <xdr:cNvPr id="26" name="图片 25">
          <a:extLst>
            <a:ext uri="{FF2B5EF4-FFF2-40B4-BE49-F238E27FC236}">
              <a16:creationId xmlns:a16="http://schemas.microsoft.com/office/drawing/2014/main" id="{FC01CE3F-0C4F-1542-8989-3DF268F56112}"/>
            </a:ext>
          </a:extLst>
        </xdr:cNvPr>
        <xdr:cNvPicPr>
          <a:picLocks noChangeAspect="1"/>
        </xdr:cNvPicPr>
      </xdr:nvPicPr>
      <xdr:blipFill>
        <a:blip xmlns:r="http://schemas.openxmlformats.org/officeDocument/2006/relationships" r:embed="rId1"/>
        <a:stretch>
          <a:fillRect/>
        </a:stretch>
      </xdr:blipFill>
      <xdr:spPr>
        <a:xfrm>
          <a:off x="0" y="584200"/>
          <a:ext cx="11518900" cy="7569200"/>
        </a:xfrm>
        <a:prstGeom prst="rect">
          <a:avLst/>
        </a:prstGeom>
      </xdr:spPr>
    </xdr:pic>
    <xdr:clientData/>
  </xdr:twoCellAnchor>
  <xdr:twoCellAnchor editAs="oneCell">
    <xdr:from>
      <xdr:col>0</xdr:col>
      <xdr:colOff>165100</xdr:colOff>
      <xdr:row>0</xdr:row>
      <xdr:rowOff>38100</xdr:rowOff>
    </xdr:from>
    <xdr:to>
      <xdr:col>10</xdr:col>
      <xdr:colOff>1155700</xdr:colOff>
      <xdr:row>3</xdr:row>
      <xdr:rowOff>88900</xdr:rowOff>
    </xdr:to>
    <xdr:pic>
      <xdr:nvPicPr>
        <xdr:cNvPr id="27" name="图片 26">
          <a:extLst>
            <a:ext uri="{FF2B5EF4-FFF2-40B4-BE49-F238E27FC236}">
              <a16:creationId xmlns:a16="http://schemas.microsoft.com/office/drawing/2014/main" id="{4805F91C-2E57-DC41-88E5-73A4DA727EA9}"/>
            </a:ext>
          </a:extLst>
        </xdr:cNvPr>
        <xdr:cNvPicPr>
          <a:picLocks noChangeAspect="1"/>
        </xdr:cNvPicPr>
      </xdr:nvPicPr>
      <xdr:blipFill>
        <a:blip xmlns:r="http://schemas.openxmlformats.org/officeDocument/2006/relationships" r:embed="rId2"/>
        <a:stretch>
          <a:fillRect/>
        </a:stretch>
      </xdr:blipFill>
      <xdr:spPr>
        <a:xfrm>
          <a:off x="165100" y="38100"/>
          <a:ext cx="11201400" cy="546100"/>
        </a:xfrm>
        <a:prstGeom prst="rect">
          <a:avLst/>
        </a:prstGeom>
      </xdr:spPr>
    </xdr:pic>
    <xdr:clientData/>
  </xdr:twoCellAnchor>
  <xdr:twoCellAnchor editAs="oneCell">
    <xdr:from>
      <xdr:col>0</xdr:col>
      <xdr:colOff>0</xdr:colOff>
      <xdr:row>53</xdr:row>
      <xdr:rowOff>0</xdr:rowOff>
    </xdr:from>
    <xdr:to>
      <xdr:col>3</xdr:col>
      <xdr:colOff>645041</xdr:colOff>
      <xdr:row>66</xdr:row>
      <xdr:rowOff>139700</xdr:rowOff>
    </xdr:to>
    <xdr:pic>
      <xdr:nvPicPr>
        <xdr:cNvPr id="28" name="图片 27">
          <a:extLst>
            <a:ext uri="{FF2B5EF4-FFF2-40B4-BE49-F238E27FC236}">
              <a16:creationId xmlns:a16="http://schemas.microsoft.com/office/drawing/2014/main" id="{0FEFE49E-71B5-1A42-9E05-C331D72948FE}"/>
            </a:ext>
          </a:extLst>
        </xdr:cNvPr>
        <xdr:cNvPicPr>
          <a:picLocks noChangeAspect="1"/>
        </xdr:cNvPicPr>
      </xdr:nvPicPr>
      <xdr:blipFill>
        <a:blip xmlns:r="http://schemas.openxmlformats.org/officeDocument/2006/relationships" r:embed="rId3"/>
        <a:stretch>
          <a:fillRect/>
        </a:stretch>
      </xdr:blipFill>
      <xdr:spPr>
        <a:xfrm>
          <a:off x="0" y="8750300"/>
          <a:ext cx="5026541" cy="2324100"/>
        </a:xfrm>
        <a:prstGeom prst="rect">
          <a:avLst/>
        </a:prstGeom>
      </xdr:spPr>
    </xdr:pic>
    <xdr:clientData/>
  </xdr:twoCellAnchor>
  <xdr:twoCellAnchor editAs="oneCell">
    <xdr:from>
      <xdr:col>0</xdr:col>
      <xdr:colOff>0</xdr:colOff>
      <xdr:row>68</xdr:row>
      <xdr:rowOff>12700</xdr:rowOff>
    </xdr:from>
    <xdr:to>
      <xdr:col>3</xdr:col>
      <xdr:colOff>660400</xdr:colOff>
      <xdr:row>74</xdr:row>
      <xdr:rowOff>60799</xdr:rowOff>
    </xdr:to>
    <xdr:pic>
      <xdr:nvPicPr>
        <xdr:cNvPr id="29" name="图片 28">
          <a:extLst>
            <a:ext uri="{FF2B5EF4-FFF2-40B4-BE49-F238E27FC236}">
              <a16:creationId xmlns:a16="http://schemas.microsoft.com/office/drawing/2014/main" id="{606AED74-0C49-844E-94FA-F97103821E8F}"/>
            </a:ext>
          </a:extLst>
        </xdr:cNvPr>
        <xdr:cNvPicPr>
          <a:picLocks noChangeAspect="1"/>
        </xdr:cNvPicPr>
      </xdr:nvPicPr>
      <xdr:blipFill>
        <a:blip xmlns:r="http://schemas.openxmlformats.org/officeDocument/2006/relationships" r:embed="rId4"/>
        <a:stretch>
          <a:fillRect/>
        </a:stretch>
      </xdr:blipFill>
      <xdr:spPr>
        <a:xfrm>
          <a:off x="0" y="11239500"/>
          <a:ext cx="5041900" cy="1038699"/>
        </a:xfrm>
        <a:prstGeom prst="rect">
          <a:avLst/>
        </a:prstGeom>
      </xdr:spPr>
    </xdr:pic>
    <xdr:clientData/>
  </xdr:twoCellAnchor>
  <xdr:twoCellAnchor editAs="oneCell">
    <xdr:from>
      <xdr:col>0</xdr:col>
      <xdr:colOff>0</xdr:colOff>
      <xdr:row>74</xdr:row>
      <xdr:rowOff>50800</xdr:rowOff>
    </xdr:from>
    <xdr:to>
      <xdr:col>3</xdr:col>
      <xdr:colOff>660400</xdr:colOff>
      <xdr:row>79</xdr:row>
      <xdr:rowOff>22921</xdr:rowOff>
    </xdr:to>
    <xdr:pic>
      <xdr:nvPicPr>
        <xdr:cNvPr id="30" name="图片 29">
          <a:extLst>
            <a:ext uri="{FF2B5EF4-FFF2-40B4-BE49-F238E27FC236}">
              <a16:creationId xmlns:a16="http://schemas.microsoft.com/office/drawing/2014/main" id="{324B048B-440D-FA4A-ADAB-83020A1ABAFB}"/>
            </a:ext>
          </a:extLst>
        </xdr:cNvPr>
        <xdr:cNvPicPr>
          <a:picLocks noChangeAspect="1"/>
        </xdr:cNvPicPr>
      </xdr:nvPicPr>
      <xdr:blipFill>
        <a:blip xmlns:r="http://schemas.openxmlformats.org/officeDocument/2006/relationships" r:embed="rId5"/>
        <a:stretch>
          <a:fillRect/>
        </a:stretch>
      </xdr:blipFill>
      <xdr:spPr>
        <a:xfrm>
          <a:off x="0" y="12268200"/>
          <a:ext cx="5041900" cy="797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422646</xdr:colOff>
      <xdr:row>25</xdr:row>
      <xdr:rowOff>152810</xdr:rowOff>
    </xdr:to>
    <xdr:pic>
      <xdr:nvPicPr>
        <xdr:cNvPr id="2" name="图片 1">
          <a:extLst>
            <a:ext uri="{FF2B5EF4-FFF2-40B4-BE49-F238E27FC236}">
              <a16:creationId xmlns:a16="http://schemas.microsoft.com/office/drawing/2014/main" id="{A3DEA6AD-EE7E-E54A-9775-2657A42D7EA0}"/>
            </a:ext>
          </a:extLst>
        </xdr:cNvPr>
        <xdr:cNvPicPr>
          <a:picLocks noChangeAspect="1"/>
        </xdr:cNvPicPr>
      </xdr:nvPicPr>
      <xdr:blipFill>
        <a:blip xmlns:r="http://schemas.openxmlformats.org/officeDocument/2006/relationships" r:embed="rId1"/>
        <a:stretch>
          <a:fillRect/>
        </a:stretch>
      </xdr:blipFill>
      <xdr:spPr>
        <a:xfrm>
          <a:off x="0" y="0"/>
          <a:ext cx="10519146" cy="4597810"/>
        </a:xfrm>
        <a:prstGeom prst="rect">
          <a:avLst/>
        </a:prstGeom>
      </xdr:spPr>
    </xdr:pic>
    <xdr:clientData/>
  </xdr:twoCellAnchor>
  <xdr:twoCellAnchor editAs="oneCell">
    <xdr:from>
      <xdr:col>15</xdr:col>
      <xdr:colOff>457200</xdr:colOff>
      <xdr:row>0</xdr:row>
      <xdr:rowOff>0</xdr:rowOff>
    </xdr:from>
    <xdr:to>
      <xdr:col>22</xdr:col>
      <xdr:colOff>383977</xdr:colOff>
      <xdr:row>25</xdr:row>
      <xdr:rowOff>129948</xdr:rowOff>
    </xdr:to>
    <xdr:pic>
      <xdr:nvPicPr>
        <xdr:cNvPr id="3" name="图片 2">
          <a:extLst>
            <a:ext uri="{FF2B5EF4-FFF2-40B4-BE49-F238E27FC236}">
              <a16:creationId xmlns:a16="http://schemas.microsoft.com/office/drawing/2014/main" id="{0C788452-E9A6-6345-94D0-50F93B69958B}"/>
            </a:ext>
          </a:extLst>
        </xdr:cNvPr>
        <xdr:cNvPicPr>
          <a:picLocks noChangeAspect="1"/>
        </xdr:cNvPicPr>
      </xdr:nvPicPr>
      <xdr:blipFill>
        <a:blip xmlns:r="http://schemas.openxmlformats.org/officeDocument/2006/relationships" r:embed="rId2"/>
        <a:stretch>
          <a:fillRect/>
        </a:stretch>
      </xdr:blipFill>
      <xdr:spPr>
        <a:xfrm>
          <a:off x="10553700" y="0"/>
          <a:ext cx="4638477" cy="4574948"/>
        </a:xfrm>
        <a:prstGeom prst="rect">
          <a:avLst/>
        </a:prstGeom>
      </xdr:spPr>
    </xdr:pic>
    <xdr:clientData/>
  </xdr:twoCellAnchor>
  <xdr:twoCellAnchor editAs="oneCell">
    <xdr:from>
      <xdr:col>0</xdr:col>
      <xdr:colOff>12700</xdr:colOff>
      <xdr:row>27</xdr:row>
      <xdr:rowOff>0</xdr:rowOff>
    </xdr:from>
    <xdr:to>
      <xdr:col>15</xdr:col>
      <xdr:colOff>333743</xdr:colOff>
      <xdr:row>52</xdr:row>
      <xdr:rowOff>152810</xdr:rowOff>
    </xdr:to>
    <xdr:pic>
      <xdr:nvPicPr>
        <xdr:cNvPr id="4" name="图片 3">
          <a:extLst>
            <a:ext uri="{FF2B5EF4-FFF2-40B4-BE49-F238E27FC236}">
              <a16:creationId xmlns:a16="http://schemas.microsoft.com/office/drawing/2014/main" id="{CC67C8CF-16B3-B740-967D-548D2DB69B2E}"/>
            </a:ext>
          </a:extLst>
        </xdr:cNvPr>
        <xdr:cNvPicPr>
          <a:picLocks noChangeAspect="1"/>
        </xdr:cNvPicPr>
      </xdr:nvPicPr>
      <xdr:blipFill>
        <a:blip xmlns:r="http://schemas.openxmlformats.org/officeDocument/2006/relationships" r:embed="rId3"/>
        <a:stretch>
          <a:fillRect/>
        </a:stretch>
      </xdr:blipFill>
      <xdr:spPr>
        <a:xfrm>
          <a:off x="12700" y="4800600"/>
          <a:ext cx="10417543" cy="4597810"/>
        </a:xfrm>
        <a:prstGeom prst="rect">
          <a:avLst/>
        </a:prstGeom>
      </xdr:spPr>
    </xdr:pic>
    <xdr:clientData/>
  </xdr:twoCellAnchor>
  <xdr:twoCellAnchor editAs="oneCell">
    <xdr:from>
      <xdr:col>15</xdr:col>
      <xdr:colOff>342900</xdr:colOff>
      <xdr:row>26</xdr:row>
      <xdr:rowOff>152400</xdr:rowOff>
    </xdr:from>
    <xdr:to>
      <xdr:col>22</xdr:col>
      <xdr:colOff>284919</xdr:colOff>
      <xdr:row>52</xdr:row>
      <xdr:rowOff>119789</xdr:rowOff>
    </xdr:to>
    <xdr:pic>
      <xdr:nvPicPr>
        <xdr:cNvPr id="5" name="图片 4">
          <a:extLst>
            <a:ext uri="{FF2B5EF4-FFF2-40B4-BE49-F238E27FC236}">
              <a16:creationId xmlns:a16="http://schemas.microsoft.com/office/drawing/2014/main" id="{95B8D00E-BAB8-C94F-B1DD-0E7827DA55C7}"/>
            </a:ext>
          </a:extLst>
        </xdr:cNvPr>
        <xdr:cNvPicPr>
          <a:picLocks noChangeAspect="1"/>
        </xdr:cNvPicPr>
      </xdr:nvPicPr>
      <xdr:blipFill>
        <a:blip xmlns:r="http://schemas.openxmlformats.org/officeDocument/2006/relationships" r:embed="rId4"/>
        <a:stretch>
          <a:fillRect/>
        </a:stretch>
      </xdr:blipFill>
      <xdr:spPr>
        <a:xfrm>
          <a:off x="10439400" y="4775200"/>
          <a:ext cx="4653719" cy="4590189"/>
        </a:xfrm>
        <a:prstGeom prst="rect">
          <a:avLst/>
        </a:prstGeom>
      </xdr:spPr>
    </xdr:pic>
    <xdr:clientData/>
  </xdr:twoCellAnchor>
  <xdr:twoCellAnchor editAs="oneCell">
    <xdr:from>
      <xdr:col>0</xdr:col>
      <xdr:colOff>0</xdr:colOff>
      <xdr:row>54</xdr:row>
      <xdr:rowOff>63500</xdr:rowOff>
    </xdr:from>
    <xdr:to>
      <xdr:col>15</xdr:col>
      <xdr:colOff>328663</xdr:colOff>
      <xdr:row>80</xdr:row>
      <xdr:rowOff>63912</xdr:rowOff>
    </xdr:to>
    <xdr:pic>
      <xdr:nvPicPr>
        <xdr:cNvPr id="6" name="图片 5">
          <a:extLst>
            <a:ext uri="{FF2B5EF4-FFF2-40B4-BE49-F238E27FC236}">
              <a16:creationId xmlns:a16="http://schemas.microsoft.com/office/drawing/2014/main" id="{A9087E29-197E-2D4A-8D9D-4514913FA236}"/>
            </a:ext>
          </a:extLst>
        </xdr:cNvPr>
        <xdr:cNvPicPr>
          <a:picLocks noChangeAspect="1"/>
        </xdr:cNvPicPr>
      </xdr:nvPicPr>
      <xdr:blipFill>
        <a:blip xmlns:r="http://schemas.openxmlformats.org/officeDocument/2006/relationships" r:embed="rId5"/>
        <a:stretch>
          <a:fillRect/>
        </a:stretch>
      </xdr:blipFill>
      <xdr:spPr>
        <a:xfrm>
          <a:off x="0" y="9664700"/>
          <a:ext cx="10425163" cy="4623212"/>
        </a:xfrm>
        <a:prstGeom prst="rect">
          <a:avLst/>
        </a:prstGeom>
      </xdr:spPr>
    </xdr:pic>
    <xdr:clientData/>
  </xdr:twoCellAnchor>
  <xdr:twoCellAnchor editAs="oneCell">
    <xdr:from>
      <xdr:col>15</xdr:col>
      <xdr:colOff>342900</xdr:colOff>
      <xdr:row>54</xdr:row>
      <xdr:rowOff>63500</xdr:rowOff>
    </xdr:from>
    <xdr:to>
      <xdr:col>22</xdr:col>
      <xdr:colOff>262057</xdr:colOff>
      <xdr:row>80</xdr:row>
      <xdr:rowOff>23268</xdr:rowOff>
    </xdr:to>
    <xdr:pic>
      <xdr:nvPicPr>
        <xdr:cNvPr id="7" name="图片 6">
          <a:extLst>
            <a:ext uri="{FF2B5EF4-FFF2-40B4-BE49-F238E27FC236}">
              <a16:creationId xmlns:a16="http://schemas.microsoft.com/office/drawing/2014/main" id="{D635D386-7A6E-374E-812C-CA1DF232978C}"/>
            </a:ext>
          </a:extLst>
        </xdr:cNvPr>
        <xdr:cNvPicPr>
          <a:picLocks noChangeAspect="1"/>
        </xdr:cNvPicPr>
      </xdr:nvPicPr>
      <xdr:blipFill>
        <a:blip xmlns:r="http://schemas.openxmlformats.org/officeDocument/2006/relationships" r:embed="rId6"/>
        <a:stretch>
          <a:fillRect/>
        </a:stretch>
      </xdr:blipFill>
      <xdr:spPr>
        <a:xfrm>
          <a:off x="10439400" y="9664700"/>
          <a:ext cx="4630857" cy="4582568"/>
        </a:xfrm>
        <a:prstGeom prst="rect">
          <a:avLst/>
        </a:prstGeom>
      </xdr:spPr>
    </xdr:pic>
    <xdr:clientData/>
  </xdr:twoCellAnchor>
  <xdr:twoCellAnchor editAs="oneCell">
    <xdr:from>
      <xdr:col>0</xdr:col>
      <xdr:colOff>0</xdr:colOff>
      <xdr:row>81</xdr:row>
      <xdr:rowOff>76200</xdr:rowOff>
    </xdr:from>
    <xdr:to>
      <xdr:col>15</xdr:col>
      <xdr:colOff>328663</xdr:colOff>
      <xdr:row>107</xdr:row>
      <xdr:rowOff>66451</xdr:rowOff>
    </xdr:to>
    <xdr:pic>
      <xdr:nvPicPr>
        <xdr:cNvPr id="8" name="图片 7">
          <a:extLst>
            <a:ext uri="{FF2B5EF4-FFF2-40B4-BE49-F238E27FC236}">
              <a16:creationId xmlns:a16="http://schemas.microsoft.com/office/drawing/2014/main" id="{7ACE88F8-69F3-0A44-9170-EC3E20351574}"/>
            </a:ext>
          </a:extLst>
        </xdr:cNvPr>
        <xdr:cNvPicPr>
          <a:picLocks noChangeAspect="1"/>
        </xdr:cNvPicPr>
      </xdr:nvPicPr>
      <xdr:blipFill>
        <a:blip xmlns:r="http://schemas.openxmlformats.org/officeDocument/2006/relationships" r:embed="rId7"/>
        <a:stretch>
          <a:fillRect/>
        </a:stretch>
      </xdr:blipFill>
      <xdr:spPr>
        <a:xfrm>
          <a:off x="0" y="14478000"/>
          <a:ext cx="10425163" cy="4613051"/>
        </a:xfrm>
        <a:prstGeom prst="rect">
          <a:avLst/>
        </a:prstGeom>
      </xdr:spPr>
    </xdr:pic>
    <xdr:clientData/>
  </xdr:twoCellAnchor>
  <xdr:twoCellAnchor editAs="oneCell">
    <xdr:from>
      <xdr:col>15</xdr:col>
      <xdr:colOff>342900</xdr:colOff>
      <xdr:row>81</xdr:row>
      <xdr:rowOff>76200</xdr:rowOff>
    </xdr:from>
    <xdr:to>
      <xdr:col>22</xdr:col>
      <xdr:colOff>231574</xdr:colOff>
      <xdr:row>107</xdr:row>
      <xdr:rowOff>35968</xdr:rowOff>
    </xdr:to>
    <xdr:pic>
      <xdr:nvPicPr>
        <xdr:cNvPr id="9" name="图片 8">
          <a:extLst>
            <a:ext uri="{FF2B5EF4-FFF2-40B4-BE49-F238E27FC236}">
              <a16:creationId xmlns:a16="http://schemas.microsoft.com/office/drawing/2014/main" id="{C4E77F01-6FD4-914A-8671-FA7D7BAA9859}"/>
            </a:ext>
          </a:extLst>
        </xdr:cNvPr>
        <xdr:cNvPicPr>
          <a:picLocks noChangeAspect="1"/>
        </xdr:cNvPicPr>
      </xdr:nvPicPr>
      <xdr:blipFill>
        <a:blip xmlns:r="http://schemas.openxmlformats.org/officeDocument/2006/relationships" r:embed="rId8"/>
        <a:stretch>
          <a:fillRect/>
        </a:stretch>
      </xdr:blipFill>
      <xdr:spPr>
        <a:xfrm>
          <a:off x="10439400" y="14478000"/>
          <a:ext cx="4600374" cy="4582568"/>
        </a:xfrm>
        <a:prstGeom prst="rect">
          <a:avLst/>
        </a:prstGeom>
      </xdr:spPr>
    </xdr:pic>
    <xdr:clientData/>
  </xdr:twoCellAnchor>
  <xdr:twoCellAnchor editAs="oneCell">
    <xdr:from>
      <xdr:col>0</xdr:col>
      <xdr:colOff>0</xdr:colOff>
      <xdr:row>107</xdr:row>
      <xdr:rowOff>165100</xdr:rowOff>
    </xdr:from>
    <xdr:to>
      <xdr:col>15</xdr:col>
      <xdr:colOff>328663</xdr:colOff>
      <xdr:row>122</xdr:row>
      <xdr:rowOff>18005</xdr:rowOff>
    </xdr:to>
    <xdr:pic>
      <xdr:nvPicPr>
        <xdr:cNvPr id="10" name="图片 9">
          <a:extLst>
            <a:ext uri="{FF2B5EF4-FFF2-40B4-BE49-F238E27FC236}">
              <a16:creationId xmlns:a16="http://schemas.microsoft.com/office/drawing/2014/main" id="{67EC915C-E99E-3543-A7D4-55830DE85BF6}"/>
            </a:ext>
          </a:extLst>
        </xdr:cNvPr>
        <xdr:cNvPicPr>
          <a:picLocks noChangeAspect="1"/>
        </xdr:cNvPicPr>
      </xdr:nvPicPr>
      <xdr:blipFill>
        <a:blip xmlns:r="http://schemas.openxmlformats.org/officeDocument/2006/relationships" r:embed="rId9"/>
        <a:stretch>
          <a:fillRect/>
        </a:stretch>
      </xdr:blipFill>
      <xdr:spPr>
        <a:xfrm>
          <a:off x="0" y="19189700"/>
          <a:ext cx="10425163" cy="2519905"/>
        </a:xfrm>
        <a:prstGeom prst="rect">
          <a:avLst/>
        </a:prstGeom>
      </xdr:spPr>
    </xdr:pic>
    <xdr:clientData/>
  </xdr:twoCellAnchor>
  <xdr:twoCellAnchor editAs="oneCell">
    <xdr:from>
      <xdr:col>15</xdr:col>
      <xdr:colOff>342900</xdr:colOff>
      <xdr:row>108</xdr:row>
      <xdr:rowOff>12700</xdr:rowOff>
    </xdr:from>
    <xdr:to>
      <xdr:col>22</xdr:col>
      <xdr:colOff>277298</xdr:colOff>
      <xdr:row>122</xdr:row>
      <xdr:rowOff>20543</xdr:rowOff>
    </xdr:to>
    <xdr:pic>
      <xdr:nvPicPr>
        <xdr:cNvPr id="11" name="图片 10">
          <a:extLst>
            <a:ext uri="{FF2B5EF4-FFF2-40B4-BE49-F238E27FC236}">
              <a16:creationId xmlns:a16="http://schemas.microsoft.com/office/drawing/2014/main" id="{53029BDE-1635-C341-886A-4BDBA4F79286}"/>
            </a:ext>
          </a:extLst>
        </xdr:cNvPr>
        <xdr:cNvPicPr>
          <a:picLocks noChangeAspect="1"/>
        </xdr:cNvPicPr>
      </xdr:nvPicPr>
      <xdr:blipFill>
        <a:blip xmlns:r="http://schemas.openxmlformats.org/officeDocument/2006/relationships" r:embed="rId10"/>
        <a:stretch>
          <a:fillRect/>
        </a:stretch>
      </xdr:blipFill>
      <xdr:spPr>
        <a:xfrm>
          <a:off x="10439400" y="19215100"/>
          <a:ext cx="4646098" cy="2497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29</xdr:row>
      <xdr:rowOff>38100</xdr:rowOff>
    </xdr:from>
    <xdr:to>
      <xdr:col>10</xdr:col>
      <xdr:colOff>134937</xdr:colOff>
      <xdr:row>42</xdr:row>
      <xdr:rowOff>114300</xdr:rowOff>
    </xdr:to>
    <xdr:pic>
      <xdr:nvPicPr>
        <xdr:cNvPr id="2" name="图片 1">
          <a:extLst>
            <a:ext uri="{FF2B5EF4-FFF2-40B4-BE49-F238E27FC236}">
              <a16:creationId xmlns:a16="http://schemas.microsoft.com/office/drawing/2014/main" id="{77F0FFC7-DF51-7946-BF81-25DBA128F486}"/>
            </a:ext>
          </a:extLst>
        </xdr:cNvPr>
        <xdr:cNvPicPr>
          <a:picLocks noChangeAspect="1"/>
        </xdr:cNvPicPr>
      </xdr:nvPicPr>
      <xdr:blipFill>
        <a:blip xmlns:r="http://schemas.openxmlformats.org/officeDocument/2006/relationships" r:embed="rId1"/>
        <a:stretch>
          <a:fillRect/>
        </a:stretch>
      </xdr:blipFill>
      <xdr:spPr>
        <a:xfrm>
          <a:off x="1574800" y="5727700"/>
          <a:ext cx="6172200" cy="2222500"/>
        </a:xfrm>
        <a:prstGeom prst="rect">
          <a:avLst/>
        </a:prstGeom>
      </xdr:spPr>
    </xdr:pic>
    <xdr:clientData/>
  </xdr:twoCellAnchor>
  <xdr:twoCellAnchor editAs="oneCell">
    <xdr:from>
      <xdr:col>4</xdr:col>
      <xdr:colOff>25400</xdr:colOff>
      <xdr:row>44</xdr:row>
      <xdr:rowOff>0</xdr:rowOff>
    </xdr:from>
    <xdr:to>
      <xdr:col>10</xdr:col>
      <xdr:colOff>185737</xdr:colOff>
      <xdr:row>51</xdr:row>
      <xdr:rowOff>12700</xdr:rowOff>
    </xdr:to>
    <xdr:pic>
      <xdr:nvPicPr>
        <xdr:cNvPr id="3" name="图片 2">
          <a:extLst>
            <a:ext uri="{FF2B5EF4-FFF2-40B4-BE49-F238E27FC236}">
              <a16:creationId xmlns:a16="http://schemas.microsoft.com/office/drawing/2014/main" id="{7489F8AE-F919-494A-AA92-D1F2A8B3232C}"/>
            </a:ext>
          </a:extLst>
        </xdr:cNvPr>
        <xdr:cNvPicPr>
          <a:picLocks noChangeAspect="1"/>
        </xdr:cNvPicPr>
      </xdr:nvPicPr>
      <xdr:blipFill>
        <a:blip xmlns:r="http://schemas.openxmlformats.org/officeDocument/2006/relationships" r:embed="rId2"/>
        <a:stretch>
          <a:fillRect/>
        </a:stretch>
      </xdr:blipFill>
      <xdr:spPr>
        <a:xfrm>
          <a:off x="1485900" y="8166100"/>
          <a:ext cx="6311900" cy="116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6</xdr:row>
      <xdr:rowOff>139825</xdr:rowOff>
    </xdr:to>
    <xdr:pic>
      <xdr:nvPicPr>
        <xdr:cNvPr id="3" name="图片 2">
          <a:extLst>
            <a:ext uri="{FF2B5EF4-FFF2-40B4-BE49-F238E27FC236}">
              <a16:creationId xmlns:a16="http://schemas.microsoft.com/office/drawing/2014/main" id="{71735C7A-C024-804D-8882-391A49CE154A}"/>
            </a:ext>
          </a:extLst>
        </xdr:cNvPr>
        <xdr:cNvPicPr>
          <a:picLocks noChangeAspect="1"/>
        </xdr:cNvPicPr>
      </xdr:nvPicPr>
      <xdr:blipFill>
        <a:blip xmlns:r="http://schemas.openxmlformats.org/officeDocument/2006/relationships" r:embed="rId1"/>
        <a:stretch>
          <a:fillRect/>
        </a:stretch>
      </xdr:blipFill>
      <xdr:spPr>
        <a:xfrm>
          <a:off x="0" y="0"/>
          <a:ext cx="4953000" cy="1206625"/>
        </a:xfrm>
        <a:prstGeom prst="rect">
          <a:avLst/>
        </a:prstGeom>
      </xdr:spPr>
    </xdr:pic>
    <xdr:clientData/>
  </xdr:twoCellAnchor>
  <xdr:twoCellAnchor editAs="oneCell">
    <xdr:from>
      <xdr:col>0</xdr:col>
      <xdr:colOff>25399</xdr:colOff>
      <xdr:row>7</xdr:row>
      <xdr:rowOff>22474</xdr:rowOff>
    </xdr:from>
    <xdr:to>
      <xdr:col>10</xdr:col>
      <xdr:colOff>782006</xdr:colOff>
      <xdr:row>20</xdr:row>
      <xdr:rowOff>25400</xdr:rowOff>
    </xdr:to>
    <xdr:pic>
      <xdr:nvPicPr>
        <xdr:cNvPr id="4" name="图片 3">
          <a:extLst>
            <a:ext uri="{FF2B5EF4-FFF2-40B4-BE49-F238E27FC236}">
              <a16:creationId xmlns:a16="http://schemas.microsoft.com/office/drawing/2014/main" id="{49642207-5B31-0C4D-8EFA-68DDDF0F437A}"/>
            </a:ext>
          </a:extLst>
        </xdr:cNvPr>
        <xdr:cNvPicPr>
          <a:picLocks noChangeAspect="1"/>
        </xdr:cNvPicPr>
      </xdr:nvPicPr>
      <xdr:blipFill>
        <a:blip xmlns:r="http://schemas.openxmlformats.org/officeDocument/2006/relationships" r:embed="rId2"/>
        <a:stretch>
          <a:fillRect/>
        </a:stretch>
      </xdr:blipFill>
      <xdr:spPr>
        <a:xfrm>
          <a:off x="25399" y="1267074"/>
          <a:ext cx="9011607" cy="2314326"/>
        </a:xfrm>
        <a:prstGeom prst="rect">
          <a:avLst/>
        </a:prstGeom>
      </xdr:spPr>
    </xdr:pic>
    <xdr:clientData/>
  </xdr:twoCellAnchor>
  <xdr:twoCellAnchor editAs="oneCell">
    <xdr:from>
      <xdr:col>0</xdr:col>
      <xdr:colOff>0</xdr:colOff>
      <xdr:row>22</xdr:row>
      <xdr:rowOff>0</xdr:rowOff>
    </xdr:from>
    <xdr:to>
      <xdr:col>5</xdr:col>
      <xdr:colOff>812800</xdr:colOff>
      <xdr:row>28</xdr:row>
      <xdr:rowOff>44991</xdr:rowOff>
    </xdr:to>
    <xdr:pic>
      <xdr:nvPicPr>
        <xdr:cNvPr id="5" name="图片 4">
          <a:extLst>
            <a:ext uri="{FF2B5EF4-FFF2-40B4-BE49-F238E27FC236}">
              <a16:creationId xmlns:a16="http://schemas.microsoft.com/office/drawing/2014/main" id="{801340B9-FBCF-3641-B9CC-F8A0164DFC5D}"/>
            </a:ext>
          </a:extLst>
        </xdr:cNvPr>
        <xdr:cNvPicPr>
          <a:picLocks noChangeAspect="1"/>
        </xdr:cNvPicPr>
      </xdr:nvPicPr>
      <xdr:blipFill>
        <a:blip xmlns:r="http://schemas.openxmlformats.org/officeDocument/2006/relationships" r:embed="rId3"/>
        <a:stretch>
          <a:fillRect/>
        </a:stretch>
      </xdr:blipFill>
      <xdr:spPr>
        <a:xfrm>
          <a:off x="0" y="3911600"/>
          <a:ext cx="4940300" cy="1111791"/>
        </a:xfrm>
        <a:prstGeom prst="rect">
          <a:avLst/>
        </a:prstGeom>
      </xdr:spPr>
    </xdr:pic>
    <xdr:clientData/>
  </xdr:twoCellAnchor>
  <xdr:twoCellAnchor editAs="oneCell">
    <xdr:from>
      <xdr:col>0</xdr:col>
      <xdr:colOff>0</xdr:colOff>
      <xdr:row>28</xdr:row>
      <xdr:rowOff>54868</xdr:rowOff>
    </xdr:from>
    <xdr:to>
      <xdr:col>10</xdr:col>
      <xdr:colOff>793776</xdr:colOff>
      <xdr:row>40</xdr:row>
      <xdr:rowOff>101600</xdr:rowOff>
    </xdr:to>
    <xdr:pic>
      <xdr:nvPicPr>
        <xdr:cNvPr id="6" name="图片 5">
          <a:extLst>
            <a:ext uri="{FF2B5EF4-FFF2-40B4-BE49-F238E27FC236}">
              <a16:creationId xmlns:a16="http://schemas.microsoft.com/office/drawing/2014/main" id="{564A21FE-0D54-1D4B-8034-A19E1BE1E65D}"/>
            </a:ext>
          </a:extLst>
        </xdr:cNvPr>
        <xdr:cNvPicPr>
          <a:picLocks noChangeAspect="1"/>
        </xdr:cNvPicPr>
      </xdr:nvPicPr>
      <xdr:blipFill>
        <a:blip xmlns:r="http://schemas.openxmlformats.org/officeDocument/2006/relationships" r:embed="rId4"/>
        <a:stretch>
          <a:fillRect/>
        </a:stretch>
      </xdr:blipFill>
      <xdr:spPr>
        <a:xfrm>
          <a:off x="0" y="5033268"/>
          <a:ext cx="9048776" cy="2180332"/>
        </a:xfrm>
        <a:prstGeom prst="rect">
          <a:avLst/>
        </a:prstGeom>
      </xdr:spPr>
    </xdr:pic>
    <xdr:clientData/>
  </xdr:twoCellAnchor>
  <xdr:twoCellAnchor editAs="oneCell">
    <xdr:from>
      <xdr:col>0</xdr:col>
      <xdr:colOff>0</xdr:colOff>
      <xdr:row>43</xdr:row>
      <xdr:rowOff>0</xdr:rowOff>
    </xdr:from>
    <xdr:to>
      <xdr:col>6</xdr:col>
      <xdr:colOff>0</xdr:colOff>
      <xdr:row>50</xdr:row>
      <xdr:rowOff>29029</xdr:rowOff>
    </xdr:to>
    <xdr:pic>
      <xdr:nvPicPr>
        <xdr:cNvPr id="7" name="图片 6">
          <a:extLst>
            <a:ext uri="{FF2B5EF4-FFF2-40B4-BE49-F238E27FC236}">
              <a16:creationId xmlns:a16="http://schemas.microsoft.com/office/drawing/2014/main" id="{9B097E40-899E-C147-B703-31259BC5BA5E}"/>
            </a:ext>
          </a:extLst>
        </xdr:cNvPr>
        <xdr:cNvPicPr>
          <a:picLocks noChangeAspect="1"/>
        </xdr:cNvPicPr>
      </xdr:nvPicPr>
      <xdr:blipFill>
        <a:blip xmlns:r="http://schemas.openxmlformats.org/officeDocument/2006/relationships" r:embed="rId5"/>
        <a:stretch>
          <a:fillRect/>
        </a:stretch>
      </xdr:blipFill>
      <xdr:spPr>
        <a:xfrm>
          <a:off x="0" y="7645400"/>
          <a:ext cx="4953000" cy="1273629"/>
        </a:xfrm>
        <a:prstGeom prst="rect">
          <a:avLst/>
        </a:prstGeom>
      </xdr:spPr>
    </xdr:pic>
    <xdr:clientData/>
  </xdr:twoCellAnchor>
  <xdr:twoCellAnchor editAs="oneCell">
    <xdr:from>
      <xdr:col>0</xdr:col>
      <xdr:colOff>39288</xdr:colOff>
      <xdr:row>50</xdr:row>
      <xdr:rowOff>114300</xdr:rowOff>
    </xdr:from>
    <xdr:to>
      <xdr:col>10</xdr:col>
      <xdr:colOff>800099</xdr:colOff>
      <xdr:row>62</xdr:row>
      <xdr:rowOff>101600</xdr:rowOff>
    </xdr:to>
    <xdr:pic>
      <xdr:nvPicPr>
        <xdr:cNvPr id="8" name="图片 7">
          <a:extLst>
            <a:ext uri="{FF2B5EF4-FFF2-40B4-BE49-F238E27FC236}">
              <a16:creationId xmlns:a16="http://schemas.microsoft.com/office/drawing/2014/main" id="{90E2959E-4370-B947-8D63-EEA50CD3D8A9}"/>
            </a:ext>
          </a:extLst>
        </xdr:cNvPr>
        <xdr:cNvPicPr>
          <a:picLocks noChangeAspect="1"/>
        </xdr:cNvPicPr>
      </xdr:nvPicPr>
      <xdr:blipFill>
        <a:blip xmlns:r="http://schemas.openxmlformats.org/officeDocument/2006/relationships" r:embed="rId6"/>
        <a:stretch>
          <a:fillRect/>
        </a:stretch>
      </xdr:blipFill>
      <xdr:spPr>
        <a:xfrm>
          <a:off x="39288" y="9004300"/>
          <a:ext cx="9015811" cy="2120900"/>
        </a:xfrm>
        <a:prstGeom prst="rect">
          <a:avLst/>
        </a:prstGeom>
      </xdr:spPr>
    </xdr:pic>
    <xdr:clientData/>
  </xdr:twoCellAnchor>
  <xdr:twoCellAnchor editAs="oneCell">
    <xdr:from>
      <xdr:col>0</xdr:col>
      <xdr:colOff>0</xdr:colOff>
      <xdr:row>66</xdr:row>
      <xdr:rowOff>0</xdr:rowOff>
    </xdr:from>
    <xdr:to>
      <xdr:col>5</xdr:col>
      <xdr:colOff>800100</xdr:colOff>
      <xdr:row>72</xdr:row>
      <xdr:rowOff>162601</xdr:rowOff>
    </xdr:to>
    <xdr:pic>
      <xdr:nvPicPr>
        <xdr:cNvPr id="11" name="图片 10">
          <a:extLst>
            <a:ext uri="{FF2B5EF4-FFF2-40B4-BE49-F238E27FC236}">
              <a16:creationId xmlns:a16="http://schemas.microsoft.com/office/drawing/2014/main" id="{28B530FF-9F38-9D4E-AFB3-9FD9EE078A91}"/>
            </a:ext>
          </a:extLst>
        </xdr:cNvPr>
        <xdr:cNvPicPr>
          <a:picLocks noChangeAspect="1"/>
        </xdr:cNvPicPr>
      </xdr:nvPicPr>
      <xdr:blipFill>
        <a:blip xmlns:r="http://schemas.openxmlformats.org/officeDocument/2006/relationships" r:embed="rId7"/>
        <a:stretch>
          <a:fillRect/>
        </a:stretch>
      </xdr:blipFill>
      <xdr:spPr>
        <a:xfrm>
          <a:off x="0" y="15290800"/>
          <a:ext cx="4927600" cy="1229401"/>
        </a:xfrm>
        <a:prstGeom prst="rect">
          <a:avLst/>
        </a:prstGeom>
      </xdr:spPr>
    </xdr:pic>
    <xdr:clientData/>
  </xdr:twoCellAnchor>
  <xdr:twoCellAnchor editAs="oneCell">
    <xdr:from>
      <xdr:col>0</xdr:col>
      <xdr:colOff>12700</xdr:colOff>
      <xdr:row>73</xdr:row>
      <xdr:rowOff>38326</xdr:rowOff>
    </xdr:from>
    <xdr:to>
      <xdr:col>10</xdr:col>
      <xdr:colOff>787400</xdr:colOff>
      <xdr:row>85</xdr:row>
      <xdr:rowOff>29833</xdr:rowOff>
    </xdr:to>
    <xdr:pic>
      <xdr:nvPicPr>
        <xdr:cNvPr id="12" name="图片 11">
          <a:extLst>
            <a:ext uri="{FF2B5EF4-FFF2-40B4-BE49-F238E27FC236}">
              <a16:creationId xmlns:a16="http://schemas.microsoft.com/office/drawing/2014/main" id="{ECA5713E-9D02-B841-B2C2-AC4EF1D115B5}"/>
            </a:ext>
          </a:extLst>
        </xdr:cNvPr>
        <xdr:cNvPicPr>
          <a:picLocks noChangeAspect="1"/>
        </xdr:cNvPicPr>
      </xdr:nvPicPr>
      <xdr:blipFill>
        <a:blip xmlns:r="http://schemas.openxmlformats.org/officeDocument/2006/relationships" r:embed="rId8"/>
        <a:stretch>
          <a:fillRect/>
        </a:stretch>
      </xdr:blipFill>
      <xdr:spPr>
        <a:xfrm>
          <a:off x="12700" y="16573726"/>
          <a:ext cx="9029700" cy="2125107"/>
        </a:xfrm>
        <a:prstGeom prst="rect">
          <a:avLst/>
        </a:prstGeom>
      </xdr:spPr>
    </xdr:pic>
    <xdr:clientData/>
  </xdr:twoCellAnchor>
  <xdr:twoCellAnchor editAs="oneCell">
    <xdr:from>
      <xdr:col>11</xdr:col>
      <xdr:colOff>63500</xdr:colOff>
      <xdr:row>73</xdr:row>
      <xdr:rowOff>67786</xdr:rowOff>
    </xdr:from>
    <xdr:to>
      <xdr:col>19</xdr:col>
      <xdr:colOff>800100</xdr:colOff>
      <xdr:row>81</xdr:row>
      <xdr:rowOff>157580</xdr:rowOff>
    </xdr:to>
    <xdr:pic>
      <xdr:nvPicPr>
        <xdr:cNvPr id="13" name="图片 12">
          <a:extLst>
            <a:ext uri="{FF2B5EF4-FFF2-40B4-BE49-F238E27FC236}">
              <a16:creationId xmlns:a16="http://schemas.microsoft.com/office/drawing/2014/main" id="{68E63B6E-644F-7A44-90E8-C6CFCA0F4D11}"/>
            </a:ext>
          </a:extLst>
        </xdr:cNvPr>
        <xdr:cNvPicPr>
          <a:picLocks noChangeAspect="1"/>
        </xdr:cNvPicPr>
      </xdr:nvPicPr>
      <xdr:blipFill>
        <a:blip xmlns:r="http://schemas.openxmlformats.org/officeDocument/2006/relationships" r:embed="rId9"/>
        <a:stretch>
          <a:fillRect/>
        </a:stretch>
      </xdr:blipFill>
      <xdr:spPr>
        <a:xfrm>
          <a:off x="9144000" y="16603186"/>
          <a:ext cx="7340600" cy="1512194"/>
        </a:xfrm>
        <a:prstGeom prst="rect">
          <a:avLst/>
        </a:prstGeom>
      </xdr:spPr>
    </xdr:pic>
    <xdr:clientData/>
  </xdr:twoCellAnchor>
  <xdr:twoCellAnchor editAs="oneCell">
    <xdr:from>
      <xdr:col>11</xdr:col>
      <xdr:colOff>76200</xdr:colOff>
      <xdr:row>82</xdr:row>
      <xdr:rowOff>30344</xdr:rowOff>
    </xdr:from>
    <xdr:to>
      <xdr:col>19</xdr:col>
      <xdr:colOff>812800</xdr:colOff>
      <xdr:row>90</xdr:row>
      <xdr:rowOff>162963</xdr:rowOff>
    </xdr:to>
    <xdr:pic>
      <xdr:nvPicPr>
        <xdr:cNvPr id="14" name="图片 13">
          <a:extLst>
            <a:ext uri="{FF2B5EF4-FFF2-40B4-BE49-F238E27FC236}">
              <a16:creationId xmlns:a16="http://schemas.microsoft.com/office/drawing/2014/main" id="{A93413DF-808E-8D40-AA9B-225AC4BCFFAA}"/>
            </a:ext>
          </a:extLst>
        </xdr:cNvPr>
        <xdr:cNvPicPr>
          <a:picLocks noChangeAspect="1"/>
        </xdr:cNvPicPr>
      </xdr:nvPicPr>
      <xdr:blipFill>
        <a:blip xmlns:r="http://schemas.openxmlformats.org/officeDocument/2006/relationships" r:embed="rId10"/>
        <a:stretch>
          <a:fillRect/>
        </a:stretch>
      </xdr:blipFill>
      <xdr:spPr>
        <a:xfrm>
          <a:off x="9156700" y="18165944"/>
          <a:ext cx="7340600" cy="1555019"/>
        </a:xfrm>
        <a:prstGeom prst="rect">
          <a:avLst/>
        </a:prstGeom>
      </xdr:spPr>
    </xdr:pic>
    <xdr:clientData/>
  </xdr:twoCellAnchor>
  <xdr:twoCellAnchor editAs="oneCell">
    <xdr:from>
      <xdr:col>11</xdr:col>
      <xdr:colOff>0</xdr:colOff>
      <xdr:row>23</xdr:row>
      <xdr:rowOff>0</xdr:rowOff>
    </xdr:from>
    <xdr:to>
      <xdr:col>19</xdr:col>
      <xdr:colOff>723900</xdr:colOff>
      <xdr:row>35</xdr:row>
      <xdr:rowOff>63500</xdr:rowOff>
    </xdr:to>
    <xdr:pic>
      <xdr:nvPicPr>
        <xdr:cNvPr id="16" name="图片 15">
          <a:extLst>
            <a:ext uri="{FF2B5EF4-FFF2-40B4-BE49-F238E27FC236}">
              <a16:creationId xmlns:a16="http://schemas.microsoft.com/office/drawing/2014/main" id="{CE20956F-70C6-994C-9CEE-AC67DD5C22BD}"/>
            </a:ext>
          </a:extLst>
        </xdr:cNvPr>
        <xdr:cNvPicPr>
          <a:picLocks noChangeAspect="1"/>
        </xdr:cNvPicPr>
      </xdr:nvPicPr>
      <xdr:blipFill>
        <a:blip xmlns:r="http://schemas.openxmlformats.org/officeDocument/2006/relationships" r:embed="rId11"/>
        <a:stretch>
          <a:fillRect/>
        </a:stretch>
      </xdr:blipFill>
      <xdr:spPr>
        <a:xfrm>
          <a:off x="9080500" y="4089400"/>
          <a:ext cx="7327900" cy="2197100"/>
        </a:xfrm>
        <a:prstGeom prst="rect">
          <a:avLst/>
        </a:prstGeom>
      </xdr:spPr>
    </xdr:pic>
    <xdr:clientData/>
  </xdr:twoCellAnchor>
  <xdr:twoCellAnchor editAs="oneCell">
    <xdr:from>
      <xdr:col>11</xdr:col>
      <xdr:colOff>0</xdr:colOff>
      <xdr:row>0</xdr:row>
      <xdr:rowOff>0</xdr:rowOff>
    </xdr:from>
    <xdr:to>
      <xdr:col>19</xdr:col>
      <xdr:colOff>787400</xdr:colOff>
      <xdr:row>14</xdr:row>
      <xdr:rowOff>16148</xdr:rowOff>
    </xdr:to>
    <xdr:pic>
      <xdr:nvPicPr>
        <xdr:cNvPr id="17" name="图片 16">
          <a:extLst>
            <a:ext uri="{FF2B5EF4-FFF2-40B4-BE49-F238E27FC236}">
              <a16:creationId xmlns:a16="http://schemas.microsoft.com/office/drawing/2014/main" id="{8215A20C-4C79-704D-AD46-579211FEB3D3}"/>
            </a:ext>
          </a:extLst>
        </xdr:cNvPr>
        <xdr:cNvPicPr>
          <a:picLocks noChangeAspect="1"/>
        </xdr:cNvPicPr>
      </xdr:nvPicPr>
      <xdr:blipFill>
        <a:blip xmlns:r="http://schemas.openxmlformats.org/officeDocument/2006/relationships" r:embed="rId12"/>
        <a:stretch>
          <a:fillRect/>
        </a:stretch>
      </xdr:blipFill>
      <xdr:spPr>
        <a:xfrm>
          <a:off x="9080500" y="0"/>
          <a:ext cx="7391400" cy="2505348"/>
        </a:xfrm>
        <a:prstGeom prst="rect">
          <a:avLst/>
        </a:prstGeom>
      </xdr:spPr>
    </xdr:pic>
    <xdr:clientData/>
  </xdr:twoCellAnchor>
  <xdr:twoCellAnchor editAs="oneCell">
    <xdr:from>
      <xdr:col>11</xdr:col>
      <xdr:colOff>76200</xdr:colOff>
      <xdr:row>42</xdr:row>
      <xdr:rowOff>38100</xdr:rowOff>
    </xdr:from>
    <xdr:to>
      <xdr:col>14</xdr:col>
      <xdr:colOff>202721</xdr:colOff>
      <xdr:row>62</xdr:row>
      <xdr:rowOff>88900</xdr:rowOff>
    </xdr:to>
    <xdr:pic>
      <xdr:nvPicPr>
        <xdr:cNvPr id="18" name="图片 17">
          <a:extLst>
            <a:ext uri="{FF2B5EF4-FFF2-40B4-BE49-F238E27FC236}">
              <a16:creationId xmlns:a16="http://schemas.microsoft.com/office/drawing/2014/main" id="{DCCE0466-C802-BA48-AB19-38417EA01752}"/>
            </a:ext>
          </a:extLst>
        </xdr:cNvPr>
        <xdr:cNvPicPr>
          <a:picLocks noChangeAspect="1"/>
        </xdr:cNvPicPr>
      </xdr:nvPicPr>
      <xdr:blipFill>
        <a:blip xmlns:r="http://schemas.openxmlformats.org/officeDocument/2006/relationships" r:embed="rId13"/>
        <a:stretch>
          <a:fillRect/>
        </a:stretch>
      </xdr:blipFill>
      <xdr:spPr>
        <a:xfrm>
          <a:off x="9156700" y="7505700"/>
          <a:ext cx="2603021" cy="360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pple/Library/Containers/com.tencent.xinWeChat/Data/Library/Application%20Support/com.tencent.xinWeChat/2.0b4.0.9/d05f6c45f417b130fef44bd3ee36ace6/Message/MessageTemp/d1d35c52a9db35948a6cb2c42d106222/File/&#22856;&#20262;&#22823;&#21414;-&#27979;&#31639;-1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5151;&#22320;&#20135;&#65288;&#24503;&#33251;&#65289;20240203&#3576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结果汇总"/>
      <sheetName val="比较法-大宗"/>
      <sheetName val="大宗案例"/>
      <sheetName val="收益法汇总"/>
      <sheetName val="比较法-大宗 (2)"/>
      <sheetName val="租约"/>
      <sheetName val="测绘面积"/>
      <sheetName val="比较法-办公租金"/>
      <sheetName val="比较法-办公地下 (换案例)"/>
      <sheetName val="比较法-商业1层"/>
      <sheetName val="比较法-车位"/>
      <sheetName val="比较法-库房租金"/>
      <sheetName val="比较法-商业2层"/>
      <sheetName val="收益法"/>
      <sheetName val="成本法汇总"/>
      <sheetName val="成本法-办公（元）"/>
      <sheetName val="假设开发法"/>
      <sheetName val="收益法-酒店模型"/>
      <sheetName val="成本法-商业（元）"/>
      <sheetName val="成本法-车库（元）"/>
      <sheetName val="收益法（汇总）"/>
      <sheetName val="比较法-住宅"/>
      <sheetName val="比较法-工业"/>
      <sheetName val="比较法-仓储"/>
      <sheetName val="土地比较法-住宅、综合"/>
      <sheetName val="土地比较法-工业"/>
      <sheetName val="基准地价（汇总）"/>
      <sheetName val="基准地价修正-办公"/>
      <sheetName val="修正"/>
      <sheetName val="基准地价修正-商业"/>
      <sheetName val="典型户型修正"/>
      <sheetName val="市场分析"/>
      <sheetName val="租金案例"/>
      <sheetName val="收益法-人防车库"/>
      <sheetName val="收益法-办公"/>
      <sheetName val="收益法-商业"/>
      <sheetName val="收益法-车库"/>
      <sheetName val="收益法-仓储"/>
      <sheetName val="成本法-办公"/>
      <sheetName val="成本法-商业"/>
      <sheetName val="成本法-车库"/>
      <sheetName val="成本法"/>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A6" t="str">
            <v>中国金融出版社中心</v>
          </cell>
        </row>
        <row r="7">
          <cell r="A7" t="str">
            <v>通用时代中心B、C座</v>
          </cell>
        </row>
        <row r="8">
          <cell r="A8" t="str">
            <v>北京远洋锐中心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产权面积明细"/>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大宗交易案例2022"/>
      <sheetName val="Sheet7"/>
      <sheetName val="大宗交易案例2023"/>
      <sheetName val="收益预测(整体) "/>
      <sheetName val="租赁收入测算"/>
      <sheetName val="租赁情况"/>
      <sheetName val="比较法-办公 (租金)"/>
      <sheetName val="比较法-工业"/>
      <sheetName val="比较法-车位"/>
      <sheetName val="出租案例"/>
      <sheetName val="Sheet4"/>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189771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xzlsd.com/office_detail/3444.html" TargetMode="External"/><Relationship Id="rId2" Type="http://schemas.openxmlformats.org/officeDocument/2006/relationships/hyperlink" Target="https://www.xzlsd.com/office_detail/534.html" TargetMode="External"/><Relationship Id="rId1" Type="http://schemas.openxmlformats.org/officeDocument/2006/relationships/hyperlink" Target="https://www.xzlsd.com/office_detail/1653.html" TargetMode="External"/><Relationship Id="rId5" Type="http://schemas.openxmlformats.org/officeDocument/2006/relationships/drawing" Target="../drawings/drawing5.xml"/><Relationship Id="rId4" Type="http://schemas.openxmlformats.org/officeDocument/2006/relationships/hyperlink" Target="https://www.xzlsd.com/office_detail/2028.html"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估价对象为北京市房地产，为所有。根据《国有土地使用证》[]，估价对象（分摊）出让国有建设用地使用权面积为11881.76平方米，建筑面积为48955.32平方米。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估价对象为北京市房地产,为开发建设的，该项目尚在开发建设中。根据《国有土地使用证》[]，估价对象（分摊）出让国有建设用地使用权面积为11881.76平方米，规划建筑面积为48955.32平方米。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2023年12月31日</v>
      </c>
    </row>
    <row r="13" spans="1:2" s="1202" customFormat="1">
      <c r="A13" s="1200" t="s">
        <v>529</v>
      </c>
      <c r="B13" s="120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48955.32</v>
      </c>
    </row>
    <row r="44" spans="1:2" s="1202" customFormat="1">
      <c r="A44" s="1200" t="s">
        <v>575</v>
      </c>
      <c r="B44" s="1201" t="str">
        <f>'预评函-3'!C2</f>
        <v>(分摊)土地面积</v>
      </c>
    </row>
    <row r="45" spans="1:2" s="1202" customFormat="1">
      <c r="A45" s="1200" t="s">
        <v>547</v>
      </c>
      <c r="B45" s="1201">
        <f>'预评函-3'!C4</f>
        <v>11881.76</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29" sqref="B29"/>
    </sheetView>
  </sheetViews>
  <sheetFormatPr defaultColWidth="9" defaultRowHeight="13.5"/>
  <cols>
    <col min="1" max="1" width="18.375" style="1555" customWidth="1"/>
    <col min="2" max="2" width="23.125" style="1506" customWidth="1"/>
    <col min="3" max="3" width="13" style="1550" customWidth="1"/>
    <col min="4" max="4" width="5.8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3425</v>
      </c>
      <c r="B27" s="1545" t="s">
        <v>313</v>
      </c>
      <c r="C27" s="1546"/>
    </row>
    <row r="28" spans="1:3">
      <c r="A28" s="1545" t="s">
        <v>3653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5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3" t="s">
        <v>385</v>
      </c>
      <c r="C54" s="1550" t="s">
        <v>583</v>
      </c>
    </row>
    <row r="55" spans="1:4">
      <c r="A55" s="3652"/>
      <c r="B55" s="1553" t="s">
        <v>386</v>
      </c>
      <c r="C55" s="1550" t="s">
        <v>584</v>
      </c>
    </row>
    <row r="56" spans="1:4">
      <c r="A56" s="3652"/>
      <c r="B56" s="1553" t="s">
        <v>387</v>
      </c>
      <c r="C56" s="1550" t="s">
        <v>588</v>
      </c>
    </row>
    <row r="57" spans="1:4">
      <c r="A57" s="365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125" defaultRowHeight="13.5"/>
  <cols>
    <col min="1" max="7" width="15.125" style="3015"/>
    <col min="8" max="8" width="5.5" style="3015" customWidth="1"/>
    <col min="9" max="13" width="9.5" style="3057" customWidth="1"/>
    <col min="14" max="18" width="9.5" style="3015" customWidth="1"/>
    <col min="19" max="16384" width="15.1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653" t="s">
        <v>2584</v>
      </c>
      <c r="J2" s="3653"/>
      <c r="K2" s="3653"/>
      <c r="L2" s="3653"/>
      <c r="M2" s="3653"/>
      <c r="N2" s="3653"/>
      <c r="O2" s="3653"/>
      <c r="P2" s="3653"/>
      <c r="Q2" s="3653"/>
      <c r="R2" s="3653"/>
    </row>
    <row r="3" spans="1:18">
      <c r="A3" s="3019" t="s">
        <v>2505</v>
      </c>
      <c r="B3" s="3020">
        <f>项目基本情况!D3</f>
        <v>45291</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2.96</v>
      </c>
      <c r="D5" s="3024">
        <f>IF(ISERROR(ROUND(POWER(1+E5,A5-C5)*(POWER(1+E5,C5)-1)/(POWER(1+E5,A5)-1),3)),0,ROUND(POWER(1+E5,A5-C5)*(POWER(1+E5,C5)-1)/(POWER(1+E5,A5)-1),4))</f>
        <v>0.1384</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12.97</v>
      </c>
      <c r="D6" s="3024">
        <f>IF(ISERROR(ROUND(POWER(1+E6,A6-C6)*(POWER(1+E6,C6)-1)/(POWER(1+E6,A6)-1),3)),0,ROUND(POWER(1+E6,A6-C6)*(POWER(1+E6,C6)-1)/(POWER(1+E6,A6)-1),4))</f>
        <v>0.46400000000000002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32.99</v>
      </c>
      <c r="D7" s="3024">
        <f>IF(ISERROR(ROUND(POWER(1+E7,A7-C7)*(POWER(1+E7,C7)-1)/(POWER(1+E7,A7)-1),3)),0,ROUND(POWER(1+E7,A7-C7)*(POWER(1+E7,C7)-1)/(POWER(1+E7,A7)-1),4))</f>
        <v>0.77559999999999996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abSelected="1" topLeftCell="B1" workbookViewId="0">
      <selection activeCell="G15" sqref="G15"/>
    </sheetView>
  </sheetViews>
  <sheetFormatPr defaultColWidth="9" defaultRowHeight="11.25"/>
  <cols>
    <col min="1" max="1" width="5" style="3456" bestFit="1" customWidth="1"/>
    <col min="2" max="2" width="13.375" style="3456" bestFit="1" customWidth="1"/>
    <col min="3" max="4" width="10.375" style="3456" bestFit="1" customWidth="1"/>
    <col min="5" max="5" width="11" style="3456" bestFit="1" customWidth="1"/>
    <col min="6" max="6" width="17.5" style="3456" bestFit="1" customWidth="1"/>
    <col min="7" max="7" width="11" style="3456" bestFit="1" customWidth="1"/>
    <col min="8" max="8" width="7.875" style="3456" customWidth="1"/>
    <col min="9" max="9" width="19.125" style="3456" bestFit="1" customWidth="1"/>
    <col min="10" max="10" width="15.625" style="3456" bestFit="1" customWidth="1"/>
    <col min="11" max="11" width="19.125" style="3456" bestFit="1" customWidth="1"/>
    <col min="12" max="12" width="15.625" style="3456" bestFit="1" customWidth="1"/>
    <col min="13" max="16384" width="9" style="3456"/>
  </cols>
  <sheetData>
    <row r="1" spans="1:12">
      <c r="A1" s="3457" t="s">
        <v>3386</v>
      </c>
      <c r="B1" s="3457" t="s">
        <v>3394</v>
      </c>
      <c r="C1" s="3457" t="s">
        <v>3395</v>
      </c>
      <c r="D1" s="3466" t="s">
        <v>3396</v>
      </c>
      <c r="E1" s="3457" t="s">
        <v>3397</v>
      </c>
      <c r="F1" s="3457" t="s">
        <v>3398</v>
      </c>
      <c r="G1" s="3457" t="s">
        <v>3400</v>
      </c>
      <c r="I1" s="3458" t="s">
        <v>3415</v>
      </c>
      <c r="J1" s="3458"/>
      <c r="K1" s="3458" t="s">
        <v>3411</v>
      </c>
      <c r="L1" s="3458"/>
    </row>
    <row r="2" spans="1:12">
      <c r="A2" s="3458" t="s">
        <v>3648</v>
      </c>
      <c r="B2" s="3459">
        <v>54294.720000000001</v>
      </c>
      <c r="C2" s="3459">
        <v>5339.4000000000005</v>
      </c>
      <c r="D2" s="3467">
        <v>48955.32</v>
      </c>
      <c r="E2" s="3459">
        <v>32455.110000000004</v>
      </c>
      <c r="F2" s="3459">
        <v>16500.210000000003</v>
      </c>
      <c r="G2" s="3459">
        <v>23556.29</v>
      </c>
      <c r="I2" s="3458" t="s">
        <v>3405</v>
      </c>
      <c r="J2" s="3460">
        <v>143681726</v>
      </c>
      <c r="K2" s="3458"/>
      <c r="L2" s="3460">
        <f>J2+3110949+14675867</f>
        <v>161468542</v>
      </c>
    </row>
    <row r="3" spans="1:12">
      <c r="I3" s="3458" t="s">
        <v>3406</v>
      </c>
      <c r="J3" s="3461">
        <v>38230</v>
      </c>
      <c r="K3" s="3458" t="s">
        <v>3414</v>
      </c>
      <c r="L3" s="3461">
        <v>39177</v>
      </c>
    </row>
    <row r="4" spans="1:12">
      <c r="I4" s="3458" t="s">
        <v>3401</v>
      </c>
      <c r="J4" s="3460">
        <v>54771.69</v>
      </c>
      <c r="K4" s="3458" t="s">
        <v>3401</v>
      </c>
      <c r="L4" s="3460">
        <f>J4</f>
        <v>54771.69</v>
      </c>
    </row>
    <row r="5" spans="1:12">
      <c r="A5" s="3483" t="s">
        <v>3386</v>
      </c>
      <c r="B5" s="3483" t="s">
        <v>3387</v>
      </c>
      <c r="C5" s="3483" t="s">
        <v>3388</v>
      </c>
      <c r="D5" s="3483" t="s">
        <v>3389</v>
      </c>
      <c r="E5" s="3483" t="s">
        <v>3390</v>
      </c>
      <c r="F5" s="3483" t="s">
        <v>3649</v>
      </c>
      <c r="G5" s="3483" t="s">
        <v>3391</v>
      </c>
      <c r="I5" s="3458" t="s">
        <v>3402</v>
      </c>
      <c r="J5" s="3460">
        <v>261148</v>
      </c>
      <c r="K5" s="3458" t="s">
        <v>3402</v>
      </c>
      <c r="L5" s="3460">
        <f>L6+L9</f>
        <v>272255.49</v>
      </c>
    </row>
    <row r="6" spans="1:12">
      <c r="A6" s="3483" t="s">
        <v>3648</v>
      </c>
      <c r="B6" s="3483">
        <v>-3</v>
      </c>
      <c r="C6" s="3994">
        <v>5309.77</v>
      </c>
      <c r="D6" s="3994"/>
      <c r="E6" s="3483" t="s">
        <v>3392</v>
      </c>
      <c r="F6" s="3483" t="s">
        <v>3337</v>
      </c>
      <c r="G6" s="3483" t="s">
        <v>3393</v>
      </c>
      <c r="I6" s="3458" t="s">
        <v>3403</v>
      </c>
      <c r="J6" s="3460">
        <v>173813</v>
      </c>
      <c r="K6" s="3458" t="s">
        <v>3403</v>
      </c>
      <c r="L6" s="3460">
        <f>L7+L8</f>
        <v>173812.99</v>
      </c>
    </row>
    <row r="7" spans="1:12">
      <c r="A7" s="3483" t="s">
        <v>3648</v>
      </c>
      <c r="B7" s="3483">
        <v>-2</v>
      </c>
      <c r="C7" s="3995">
        <v>8129.2</v>
      </c>
      <c r="D7" s="3994">
        <v>6778.38</v>
      </c>
      <c r="E7" s="3483" t="s">
        <v>3337</v>
      </c>
      <c r="F7" s="3483" t="s">
        <v>3337</v>
      </c>
      <c r="G7" s="3483" t="s">
        <v>3393</v>
      </c>
      <c r="I7" s="3458" t="s">
        <v>3407</v>
      </c>
      <c r="J7" s="3460">
        <v>150638</v>
      </c>
      <c r="K7" s="3458" t="s">
        <v>3407</v>
      </c>
      <c r="L7" s="3460">
        <v>173812.99</v>
      </c>
    </row>
    <row r="8" spans="1:12">
      <c r="A8" s="3483" t="s">
        <v>3648</v>
      </c>
      <c r="B8" s="3483">
        <v>-1</v>
      </c>
      <c r="C8" s="3995">
        <v>8371.01</v>
      </c>
      <c r="D8" s="3994">
        <v>6980.01</v>
      </c>
      <c r="E8" s="3483" t="s">
        <v>3337</v>
      </c>
      <c r="F8" s="3483" t="s">
        <v>3650</v>
      </c>
      <c r="G8" s="3483" t="s">
        <v>3393</v>
      </c>
      <c r="I8" s="3458" t="s">
        <v>2816</v>
      </c>
      <c r="J8" s="3460">
        <v>23175</v>
      </c>
      <c r="K8" s="3458" t="s">
        <v>2816</v>
      </c>
      <c r="L8" s="3460">
        <v>0</v>
      </c>
    </row>
    <row r="9" spans="1:12">
      <c r="A9" s="3996" t="s">
        <v>3648</v>
      </c>
      <c r="B9" s="3996">
        <v>1</v>
      </c>
      <c r="C9" s="3997">
        <v>29.63</v>
      </c>
      <c r="D9" s="3997">
        <v>29.63</v>
      </c>
      <c r="E9" s="3996" t="s">
        <v>3392</v>
      </c>
      <c r="F9" s="3996" t="s">
        <v>673</v>
      </c>
      <c r="G9" s="3996" t="s">
        <v>3399</v>
      </c>
      <c r="I9" s="3458" t="s">
        <v>3404</v>
      </c>
      <c r="J9" s="3460">
        <v>87335</v>
      </c>
      <c r="K9" s="3458" t="s">
        <v>3404</v>
      </c>
      <c r="L9" s="3460">
        <f>L10+L11+L12+L13+L14+L15</f>
        <v>98442.5</v>
      </c>
    </row>
    <row r="10" spans="1:12">
      <c r="A10" s="3996" t="s">
        <v>3648</v>
      </c>
      <c r="B10" s="3996">
        <v>1</v>
      </c>
      <c r="C10" s="3995">
        <v>6311.44</v>
      </c>
      <c r="D10" s="3997">
        <v>5306.36</v>
      </c>
      <c r="E10" s="3996" t="s">
        <v>673</v>
      </c>
      <c r="F10" s="3996" t="s">
        <v>673</v>
      </c>
      <c r="G10" s="3996" t="s">
        <v>3399</v>
      </c>
      <c r="I10" s="3458" t="s">
        <v>3408</v>
      </c>
      <c r="J10" s="3460">
        <v>36531.1</v>
      </c>
      <c r="K10" s="3458" t="s">
        <v>3408</v>
      </c>
      <c r="L10" s="3460">
        <v>54743</v>
      </c>
    </row>
    <row r="11" spans="1:12">
      <c r="A11" s="3996" t="s">
        <v>3648</v>
      </c>
      <c r="B11" s="3996">
        <v>2</v>
      </c>
      <c r="C11" s="3995">
        <v>5458.34</v>
      </c>
      <c r="D11" s="3997">
        <v>4589.1099999999997</v>
      </c>
      <c r="E11" s="3996" t="s">
        <v>673</v>
      </c>
      <c r="F11" s="3996" t="s">
        <v>21</v>
      </c>
      <c r="G11" s="3996" t="s">
        <v>3399</v>
      </c>
      <c r="I11" s="3458" t="s">
        <v>3409</v>
      </c>
      <c r="J11" s="3460">
        <v>34984</v>
      </c>
      <c r="K11" s="3458" t="s">
        <v>3412</v>
      </c>
      <c r="L11" s="3460">
        <v>4689</v>
      </c>
    </row>
    <row r="12" spans="1:12">
      <c r="A12" s="3996" t="s">
        <v>3648</v>
      </c>
      <c r="B12" s="3996">
        <v>3</v>
      </c>
      <c r="C12" s="3995">
        <v>5464.13</v>
      </c>
      <c r="D12" s="3997">
        <v>4593.9799999999996</v>
      </c>
      <c r="E12" s="3996" t="s">
        <v>673</v>
      </c>
      <c r="F12" s="3996" t="s">
        <v>21</v>
      </c>
      <c r="G12" s="3996" t="s">
        <v>3399</v>
      </c>
      <c r="I12" s="3458" t="s">
        <v>3410</v>
      </c>
      <c r="J12" s="3460">
        <v>15819.9</v>
      </c>
      <c r="K12" s="3458" t="s">
        <v>3413</v>
      </c>
      <c r="L12" s="3460">
        <v>2010</v>
      </c>
    </row>
    <row r="13" spans="1:12">
      <c r="A13" s="3996" t="s">
        <v>3648</v>
      </c>
      <c r="B13" s="3996">
        <v>4</v>
      </c>
      <c r="C13" s="3995">
        <v>5458.04</v>
      </c>
      <c r="D13" s="3997">
        <v>4588.8599999999997</v>
      </c>
      <c r="E13" s="3996" t="s">
        <v>673</v>
      </c>
      <c r="F13" s="3996" t="s">
        <v>21</v>
      </c>
      <c r="G13" s="3996" t="s">
        <v>3399</v>
      </c>
      <c r="I13" s="3458"/>
      <c r="J13" s="3458"/>
      <c r="K13" s="3462" t="s">
        <v>3416</v>
      </c>
      <c r="L13" s="3460">
        <v>14628.58</v>
      </c>
    </row>
    <row r="14" spans="1:12">
      <c r="A14" s="3996" t="s">
        <v>3648</v>
      </c>
      <c r="B14" s="3996">
        <v>5</v>
      </c>
      <c r="C14" s="3995">
        <v>4881.58</v>
      </c>
      <c r="D14" s="3997">
        <v>4104.2</v>
      </c>
      <c r="E14" s="3996" t="s">
        <v>673</v>
      </c>
      <c r="F14" s="3996" t="s">
        <v>21</v>
      </c>
      <c r="G14" s="3996" t="s">
        <v>3399</v>
      </c>
      <c r="I14" s="3458"/>
      <c r="J14" s="3458"/>
      <c r="K14" s="3458" t="s">
        <v>3410</v>
      </c>
      <c r="L14" s="3458">
        <v>15704.79</v>
      </c>
    </row>
    <row r="15" spans="1:12">
      <c r="A15" s="3996" t="s">
        <v>3648</v>
      </c>
      <c r="B15" s="3996">
        <v>6</v>
      </c>
      <c r="C15" s="3995">
        <v>4881.58</v>
      </c>
      <c r="D15" s="3997">
        <v>4104.2</v>
      </c>
      <c r="E15" s="3996" t="s">
        <v>673</v>
      </c>
      <c r="F15" s="3996" t="s">
        <v>21</v>
      </c>
      <c r="G15" s="3996" t="s">
        <v>3399</v>
      </c>
      <c r="I15" s="3458"/>
      <c r="J15" s="3458"/>
      <c r="K15" s="3458" t="s">
        <v>3417</v>
      </c>
      <c r="L15" s="3458">
        <v>6667.13</v>
      </c>
    </row>
    <row r="16" spans="1:12">
      <c r="A16" s="3458" t="s">
        <v>3651</v>
      </c>
      <c r="B16" s="3458"/>
      <c r="C16" s="3459">
        <f>SUM(C6:C15)</f>
        <v>54294.720000000001</v>
      </c>
      <c r="D16" s="3459">
        <f>SUM(D6:D15)</f>
        <v>41074.729999999989</v>
      </c>
      <c r="E16" s="3458"/>
      <c r="F16" s="3458"/>
      <c r="G16" s="3996"/>
      <c r="I16" s="3458" t="s">
        <v>3418</v>
      </c>
      <c r="J16" s="3460">
        <f>J6/J4</f>
        <v>3.1734094748582704</v>
      </c>
      <c r="K16" s="3458" t="s">
        <v>3418</v>
      </c>
      <c r="L16" s="3460">
        <f>L6/L4</f>
        <v>3.1734092922821988</v>
      </c>
    </row>
    <row r="17" spans="3:12">
      <c r="I17" s="3458" t="s">
        <v>3419</v>
      </c>
      <c r="J17" s="3460">
        <f>(J7+J8+J10)/J4</f>
        <v>3.8403799481082288</v>
      </c>
      <c r="K17" s="3463" t="s">
        <v>3419</v>
      </c>
      <c r="L17" s="3465">
        <f>(L7+L10+L11+L12)/L4</f>
        <v>4.2951931919573774</v>
      </c>
    </row>
    <row r="19" spans="3:12">
      <c r="E19" s="3470">
        <f>SUM(C10:C15)</f>
        <v>32455.11</v>
      </c>
      <c r="F19" s="3456" t="s">
        <v>3426</v>
      </c>
    </row>
    <row r="20" spans="3:12">
      <c r="C20" s="3456" t="s">
        <v>3522</v>
      </c>
      <c r="D20" s="3456">
        <f>121+93</f>
        <v>214</v>
      </c>
      <c r="E20" s="3470">
        <f>C8</f>
        <v>8371.01</v>
      </c>
      <c r="F20" s="3456" t="s">
        <v>3408</v>
      </c>
      <c r="I20" s="3998" t="s">
        <v>3420</v>
      </c>
      <c r="J20" s="3999">
        <v>11881.761243140481</v>
      </c>
    </row>
    <row r="21" spans="3:12">
      <c r="E21" s="3470">
        <f>E19+E20</f>
        <v>40826.120000000003</v>
      </c>
      <c r="F21" s="3456" t="s">
        <v>2596</v>
      </c>
      <c r="I21" s="3463" t="s">
        <v>3421</v>
      </c>
      <c r="J21" s="3465">
        <v>11397.699198179815</v>
      </c>
    </row>
    <row r="22" spans="3:12">
      <c r="I22" s="3458" t="s">
        <v>2596</v>
      </c>
      <c r="J22" s="3460">
        <f>J20+J21</f>
        <v>23279.460441320298</v>
      </c>
    </row>
    <row r="23" spans="3:12">
      <c r="E23" s="3470">
        <f>SUM(C10:C15)</f>
        <v>32455.11</v>
      </c>
      <c r="F23" s="3456">
        <f>ROUND(E23/6,0)</f>
        <v>5409</v>
      </c>
      <c r="I23" s="3458" t="s">
        <v>3422</v>
      </c>
      <c r="J23" s="3468">
        <f>G2-J22</f>
        <v>276.82955867970304</v>
      </c>
    </row>
    <row r="24" spans="3:12">
      <c r="F24" s="3456" t="s">
        <v>3632</v>
      </c>
    </row>
  </sheetData>
  <phoneticPr fontId="1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8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62" t="str">
        <f>IF(B10="北京市","北京市",C10)&amp;F10&amp;IF(结果表!G1="在建","出让国有建设用地使用权及在建建筑物",IF(结果表!G1="土地","出让国有建设用地使用权",))&amp;B9&amp;"预评估"</f>
        <v>北京市房地产市场价值预评估</v>
      </c>
      <c r="C1" s="3663"/>
      <c r="D1" s="3663"/>
      <c r="E1" s="3663"/>
      <c r="F1" s="3663"/>
      <c r="G1" s="3663"/>
      <c r="H1" s="3663"/>
      <c r="I1" s="366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45291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3382</v>
      </c>
      <c r="C8" s="2389"/>
      <c r="D8" s="3665" t="s">
        <v>2177</v>
      </c>
      <c r="E8" s="2390"/>
      <c r="F8" s="2391"/>
      <c r="G8" s="2662"/>
      <c r="H8" s="2662"/>
      <c r="I8" s="2662"/>
      <c r="J8" s="2438"/>
      <c r="K8" s="2613"/>
      <c r="L8" s="2612"/>
      <c r="M8" s="2612"/>
      <c r="N8" s="2438"/>
      <c r="O8" s="2449"/>
      <c r="P8" s="2438"/>
      <c r="Q8" s="2438"/>
      <c r="R8" s="2438"/>
    </row>
    <row r="9" spans="1:30" ht="13.5" thickBot="1">
      <c r="A9" s="2392" t="s">
        <v>2178</v>
      </c>
      <c r="B9" s="2393" t="s">
        <v>3383</v>
      </c>
      <c r="C9" s="2394"/>
      <c r="D9" s="3666"/>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3469">
        <v>52839</v>
      </c>
      <c r="E13" s="3469">
        <v>56491</v>
      </c>
      <c r="F13" s="3469">
        <v>56491</v>
      </c>
      <c r="G13" s="855"/>
      <c r="H13" s="855"/>
      <c r="I13" s="855"/>
      <c r="J13" s="3061"/>
      <c r="K13" s="2612"/>
      <c r="L13" s="2612"/>
      <c r="M13" s="2438"/>
      <c r="N13" s="2449"/>
      <c r="O13" s="2438"/>
      <c r="P13" s="2438"/>
      <c r="Q13" s="2438"/>
      <c r="AD13" s="1744"/>
    </row>
    <row r="14" spans="1:30">
      <c r="A14" s="1080"/>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20.67</v>
      </c>
      <c r="E15" s="2409">
        <f>IF(A13="出让",IF(E13="","",ROUNDDOWN(MIN((E13-$D$3)/365,E14),2)),E14)</f>
        <v>30.68</v>
      </c>
      <c r="F15" s="2409">
        <f>IF(A13="出让",IF(F13="","",ROUNDDOWN(MIN((F13-$D$3)/365,F14),2)),F14)</f>
        <v>30.68</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72"/>
      <c r="C16" s="3673"/>
      <c r="D16" s="3674"/>
      <c r="E16" s="2412" t="s">
        <v>2194</v>
      </c>
      <c r="F16" s="3675"/>
      <c r="G16" s="3676"/>
      <c r="H16" s="3676"/>
      <c r="I16" s="3677"/>
      <c r="J16" s="2438"/>
      <c r="K16" s="2616"/>
      <c r="L16" s="2450"/>
      <c r="M16" s="2450"/>
      <c r="N16" s="2508"/>
      <c r="O16" s="2450"/>
      <c r="P16" s="2508"/>
      <c r="Q16" s="2438"/>
      <c r="R16" s="2438"/>
    </row>
    <row r="17" spans="1:28">
      <c r="A17" s="313" t="s">
        <v>2195</v>
      </c>
      <c r="B17" s="302" t="s">
        <v>2196</v>
      </c>
      <c r="C17" s="8">
        <f>'数据-汇总表'!E3</f>
        <v>48955.32</v>
      </c>
      <c r="D17" s="2321" t="s">
        <v>2197</v>
      </c>
      <c r="E17" s="3678" t="s">
        <v>2198</v>
      </c>
      <c r="F17" s="3679"/>
      <c r="G17" s="3679"/>
      <c r="H17" s="3679"/>
      <c r="I17" s="368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11881.76</v>
      </c>
      <c r="D18" s="1091" t="s">
        <v>2201</v>
      </c>
      <c r="E18" s="3681" t="s">
        <v>2202</v>
      </c>
      <c r="F18" s="3682"/>
      <c r="G18" s="3682"/>
      <c r="H18" s="3682"/>
      <c r="I18" s="368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68" t="s">
        <v>2206</v>
      </c>
      <c r="C20" s="3669"/>
      <c r="D20" s="3670" t="s">
        <v>2207</v>
      </c>
      <c r="E20" s="3671"/>
      <c r="F20" s="2646" t="s">
        <v>1056</v>
      </c>
      <c r="G20" s="2663"/>
      <c r="H20" s="2663"/>
      <c r="I20" s="2663"/>
      <c r="J20" s="2438"/>
      <c r="K20" s="366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6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6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5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5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5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56"/>
      <c r="B30" s="302" t="s">
        <v>2218</v>
      </c>
      <c r="C30" s="3657"/>
      <c r="D30" s="3658"/>
      <c r="E30" s="2663"/>
      <c r="F30" s="2663"/>
      <c r="G30" s="2663"/>
      <c r="H30" s="2663"/>
      <c r="I30" s="2663"/>
      <c r="J30" s="2438"/>
      <c r="K30" s="2615"/>
      <c r="L30" s="2612"/>
      <c r="M30" s="2612"/>
      <c r="N30" s="2438"/>
      <c r="O30" s="2449"/>
      <c r="P30" s="2438"/>
      <c r="Q30" s="2438"/>
      <c r="R30" s="2438"/>
      <c r="S30" s="2438"/>
      <c r="T30" s="2438"/>
      <c r="U30" s="2438"/>
      <c r="V30" s="2438"/>
    </row>
    <row r="31" spans="1:28">
      <c r="A31" s="365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6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6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54" t="s">
        <v>2228</v>
      </c>
      <c r="T34" s="2427" t="str">
        <f>NUMBERSTRING(7-K34,1)&amp;"通"</f>
        <v>七通</v>
      </c>
      <c r="U34" s="2438"/>
      <c r="V34" s="2438"/>
    </row>
    <row r="35" spans="1:30">
      <c r="A35" s="2428"/>
      <c r="B35" s="3661" t="s">
        <v>2229</v>
      </c>
      <c r="C35" s="3661"/>
      <c r="D35" s="3661"/>
      <c r="E35" s="366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K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6" style="1572" customWidth="1"/>
    <col min="10" max="10" width="9.5" style="1572" customWidth="1"/>
    <col min="11" max="11" width="11" style="1572" customWidth="1"/>
    <col min="12" max="14" width="9.5" style="1572" customWidth="1"/>
    <col min="15" max="16" width="9.875" style="1572" customWidth="1"/>
    <col min="17" max="17" width="9.375" style="1572" customWidth="1"/>
    <col min="18" max="18" width="9.125" style="1572" customWidth="1"/>
    <col min="19" max="28" width="10.875" style="1572" customWidth="1"/>
    <col min="29" max="29" width="11" style="1572" bestFit="1" customWidth="1"/>
    <col min="30" max="30" width="10" style="1572" bestFit="1" customWidth="1"/>
    <col min="31" max="31" width="9.875" style="1572" customWidth="1"/>
    <col min="32" max="46" width="9.5" style="1572" customWidth="1"/>
    <col min="47" max="47" width="18.125" style="1572" customWidth="1"/>
    <col min="48" max="50" width="9.8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产权面积明细!J20</f>
        <v>11881.761243140481</v>
      </c>
      <c r="B3" s="11">
        <f>IF(C3="否",G5-AT5,G5)</f>
        <v>48955.32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48955.32</v>
      </c>
      <c r="H5" s="13">
        <f t="shared" ref="H5:AT5" si="0">SUM(H13:H656)</f>
        <v>48955.32</v>
      </c>
      <c r="I5" s="13">
        <f t="shared" si="0"/>
        <v>32455.11</v>
      </c>
      <c r="J5" s="13">
        <f t="shared" si="0"/>
        <v>0</v>
      </c>
      <c r="K5" s="13">
        <f t="shared" si="0"/>
        <v>8371.01</v>
      </c>
      <c r="L5" s="13">
        <f t="shared" si="0"/>
        <v>0</v>
      </c>
      <c r="M5" s="13">
        <f t="shared" si="0"/>
        <v>8129.2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48955.32</v>
      </c>
      <c r="BA5" s="15">
        <f t="shared" si="1"/>
        <v>48955.32</v>
      </c>
      <c r="BB5" s="15">
        <f t="shared" si="1"/>
        <v>32455.11</v>
      </c>
      <c r="BC5" s="15">
        <f t="shared" si="1"/>
        <v>8371.01</v>
      </c>
      <c r="BD5" s="15">
        <f t="shared" si="1"/>
        <v>8129.2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11881.77</v>
      </c>
      <c r="F6" s="13" t="s">
        <v>0</v>
      </c>
      <c r="G6" s="13" t="s">
        <v>1</v>
      </c>
      <c r="H6" s="17">
        <f>SUMIF(I$12:AB$12,"总值",I6:AB6)</f>
        <v>11881.77</v>
      </c>
      <c r="I6" s="13">
        <f t="shared" ref="I6:AB6" si="2">ROUND($A$3*I5/$B$3,2)</f>
        <v>7877.06</v>
      </c>
      <c r="J6" s="13">
        <f t="shared" si="2"/>
        <v>0</v>
      </c>
      <c r="K6" s="13">
        <f t="shared" si="2"/>
        <v>2031.7</v>
      </c>
      <c r="L6" s="13">
        <f t="shared" si="2"/>
        <v>0</v>
      </c>
      <c r="M6" s="13">
        <f t="shared" si="2"/>
        <v>1973.01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11881.76</v>
      </c>
      <c r="AZ6" s="13" t="s">
        <v>2</v>
      </c>
      <c r="BA6" s="13">
        <f>ROUND($AY$6*BA5/$AZ$5,2)</f>
        <v>11881.76</v>
      </c>
      <c r="BB6" s="13">
        <f>ROUND($AY$6*BB5/$AZ$5,2)</f>
        <v>7877.06</v>
      </c>
      <c r="BC6" s="13">
        <f t="shared" ref="BC6:BH6" si="4">ROUND($AY$6*BC5/$AZ$5,2)</f>
        <v>2031.7</v>
      </c>
      <c r="BD6" s="13">
        <f t="shared" si="4"/>
        <v>1973.01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3399</v>
      </c>
      <c r="J9" s="808"/>
      <c r="K9" s="1602" t="s">
        <v>3393</v>
      </c>
      <c r="L9" s="808"/>
      <c r="M9" s="1602" t="s">
        <v>3393</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3337</v>
      </c>
      <c r="L10" s="808"/>
      <c r="M10" s="1608" t="s">
        <v>3337</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3424</v>
      </c>
      <c r="J11" s="1614"/>
      <c r="K11" s="1613" t="s">
        <v>3652</v>
      </c>
      <c r="L11" s="1614"/>
      <c r="M11" s="1613" t="s">
        <v>3337</v>
      </c>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车库</v>
      </c>
      <c r="BD11" s="1598" t="str">
        <f>M10</f>
        <v>车库</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地上商业及附属设施</v>
      </c>
      <c r="BC12" s="1623" t="str">
        <f>K11</f>
        <v>地下车库-整体出租部分</v>
      </c>
      <c r="BD12" s="1623" t="str">
        <f>M11</f>
        <v>车库</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11881.76</v>
      </c>
      <c r="F13" s="29"/>
      <c r="G13" s="30">
        <f>H13+AC13+AT13</f>
        <v>48955.32</v>
      </c>
      <c r="H13" s="17">
        <f>SUMIF(I$12:AB$12,"总值",I13:AB13)</f>
        <v>48955.32</v>
      </c>
      <c r="I13" s="1625">
        <f>产权面积明细!E19</f>
        <v>32455.11</v>
      </c>
      <c r="J13" s="1625"/>
      <c r="K13" s="1625">
        <f>产权面积明细!E20</f>
        <v>8371.01</v>
      </c>
      <c r="L13" s="1625"/>
      <c r="M13" s="1625">
        <f>产权面积明细!C7</f>
        <v>8129.2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11881.76</v>
      </c>
      <c r="AZ13" s="13">
        <f>BA13+BL13</f>
        <v>48955.32</v>
      </c>
      <c r="BA13" s="13">
        <f>SUM(BB13:BK13)</f>
        <v>48955.32</v>
      </c>
      <c r="BB13" s="13">
        <f>IF($D13="是",I13-J13,0)</f>
        <v>32455.11</v>
      </c>
      <c r="BC13" s="13">
        <f>IF($D13="是",K13-L13,0)</f>
        <v>8371.01</v>
      </c>
      <c r="BD13" s="13">
        <f>IF($D13="是",M13-N13,0)</f>
        <v>8129.2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93" t="s">
        <v>1131</v>
      </c>
      <c r="B2" s="3693"/>
      <c r="C2" s="3693"/>
      <c r="D2" s="795" t="s">
        <v>1107</v>
      </c>
      <c r="E2" s="1638" t="s">
        <v>1108</v>
      </c>
      <c r="F2" s="2658"/>
      <c r="G2" s="2649"/>
      <c r="H2" s="2650"/>
      <c r="I2" s="2324" t="s">
        <v>1132</v>
      </c>
      <c r="J2" s="2658"/>
      <c r="K2" s="2658"/>
      <c r="L2" s="2658"/>
      <c r="M2" s="2658"/>
      <c r="N2" s="2660"/>
      <c r="O2" s="2658"/>
      <c r="P2" s="2658"/>
    </row>
    <row r="3" spans="1:16" ht="15.75" thickBot="1">
      <c r="A3" s="3694" t="s">
        <v>1105</v>
      </c>
      <c r="B3" s="3694"/>
      <c r="C3" s="3694"/>
      <c r="D3" s="43">
        <f>'数据-基础表'!AY6</f>
        <v>11881.76</v>
      </c>
      <c r="E3" s="43">
        <f>'数据-基础表'!AZ5</f>
        <v>48955.32</v>
      </c>
      <c r="F3" s="2658"/>
      <c r="G3" s="1144"/>
      <c r="H3" s="1025" t="s">
        <v>1106</v>
      </c>
      <c r="I3" s="854">
        <f>ROUND('数据-基础表'!B3/'数据-基础表'!A3,2)</f>
        <v>4.12</v>
      </c>
      <c r="J3" s="2658"/>
      <c r="K3" s="2658"/>
      <c r="L3" s="2658"/>
      <c r="M3" s="2658"/>
      <c r="N3" s="2660"/>
      <c r="O3" s="2658"/>
      <c r="P3" s="2658"/>
    </row>
    <row r="4" spans="1:16" ht="15">
      <c r="A4" s="3695"/>
      <c r="B4" s="3696"/>
      <c r="C4" s="3697"/>
      <c r="D4" s="1640" t="s">
        <v>1107</v>
      </c>
      <c r="E4" s="1641" t="s">
        <v>1108</v>
      </c>
      <c r="F4" s="2658"/>
      <c r="G4" s="2651" t="s">
        <v>1133</v>
      </c>
      <c r="H4" s="1025" t="s">
        <v>1113</v>
      </c>
      <c r="I4" s="854">
        <f>ROUND(SUMIF('数据-基础表'!I9:AS9,"地上",'数据-基础表'!I5:AS5)/'数据-基础表'!A3,2)</f>
        <v>2.73</v>
      </c>
      <c r="J4" s="2658"/>
      <c r="K4" s="2658"/>
      <c r="L4" s="2658"/>
      <c r="M4" s="2658"/>
      <c r="N4" s="2660"/>
      <c r="O4" s="2658"/>
      <c r="P4" s="2658"/>
    </row>
    <row r="5" spans="1:16">
      <c r="A5" s="44" t="s">
        <v>1109</v>
      </c>
      <c r="B5" s="3698" t="s">
        <v>1110</v>
      </c>
      <c r="C5" s="3698"/>
      <c r="D5" s="45">
        <f>ROUND($D$3*E5/$E$3,2)</f>
        <v>0</v>
      </c>
      <c r="E5" s="46">
        <f>SUMIF('数据-基础表'!$11:$11,"住宅",'数据-基础表'!$5:$5)</f>
        <v>0</v>
      </c>
      <c r="F5" s="2658"/>
      <c r="G5" s="1144"/>
      <c r="H5" s="1025" t="s">
        <v>1106</v>
      </c>
      <c r="I5" s="854">
        <f>ROUND(E31/D31,2)</f>
        <v>4.12</v>
      </c>
      <c r="J5" s="2658"/>
      <c r="K5" s="2658"/>
      <c r="L5" s="2658"/>
      <c r="M5" s="2658"/>
      <c r="N5" s="2658"/>
      <c r="O5" s="2658"/>
      <c r="P5" s="2658"/>
    </row>
    <row r="6" spans="1:16" ht="15" thickBot="1">
      <c r="A6" s="1643"/>
      <c r="B6" s="3698" t="s">
        <v>1111</v>
      </c>
      <c r="C6" s="3698"/>
      <c r="D6" s="45">
        <f>ROUND($D$3*E6/$E$3,2)</f>
        <v>11881.76</v>
      </c>
      <c r="E6" s="46">
        <f>E3-E5</f>
        <v>48955.32</v>
      </c>
      <c r="F6" s="2658"/>
      <c r="G6" s="2652" t="s">
        <v>1112</v>
      </c>
      <c r="H6" s="1145" t="s">
        <v>1113</v>
      </c>
      <c r="I6" s="2653">
        <f>ROUND(F31/D31,2)</f>
        <v>2.73</v>
      </c>
      <c r="J6" s="2658"/>
      <c r="K6" s="2658"/>
      <c r="L6" s="2658"/>
      <c r="M6" s="2658"/>
      <c r="N6" s="2658"/>
      <c r="O6" s="2658"/>
      <c r="P6" s="2658"/>
    </row>
    <row r="7" spans="1:16" ht="15.75" thickBot="1">
      <c r="A7" s="3690"/>
      <c r="B7" s="3691"/>
      <c r="C7" s="369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7877.06</v>
      </c>
      <c r="E8" s="48">
        <f>SUMIF('数据-基础表'!BB10:BK10,"地上",'数据-基础表'!BB5:BK5)</f>
        <v>32455.11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4004.7</v>
      </c>
      <c r="E13" s="48">
        <f>SUMPRODUCT(('数据-基础表'!BB10:BK10="地下")*('数据-基础表'!BB11:BK11="车库")*('数据-基础表'!BB5:BK5))</f>
        <v>16500.21</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11881.76</v>
      </c>
      <c r="E16" s="50">
        <f>SUM(E8:E15)</f>
        <v>48955.32</v>
      </c>
      <c r="F16" s="2658"/>
      <c r="G16" s="2659"/>
      <c r="H16" s="1647" t="s">
        <v>1135</v>
      </c>
      <c r="I16" s="1648"/>
      <c r="J16" s="1138"/>
      <c r="K16" s="3687" t="s">
        <v>1135</v>
      </c>
      <c r="L16" s="3688"/>
      <c r="M16" s="3688"/>
      <c r="N16" s="3688"/>
      <c r="O16" s="3688"/>
      <c r="P16" s="3689"/>
    </row>
    <row r="17" spans="1:19" ht="15">
      <c r="A17" s="1649" t="s">
        <v>1136</v>
      </c>
      <c r="B17" s="1650" t="s">
        <v>1137</v>
      </c>
      <c r="C17" s="1651" t="s">
        <v>1138</v>
      </c>
      <c r="D17" s="1652" t="s">
        <v>1126</v>
      </c>
      <c r="E17" s="1653" t="s">
        <v>1127</v>
      </c>
      <c r="F17" s="1654"/>
      <c r="G17" s="1655"/>
      <c r="H17" s="1656" t="s">
        <v>1139</v>
      </c>
      <c r="I17" s="1657" t="s">
        <v>1124</v>
      </c>
      <c r="J17" s="1138"/>
      <c r="K17" s="3684" t="s">
        <v>1140</v>
      </c>
      <c r="L17" s="3685"/>
      <c r="M17" s="3686"/>
      <c r="N17" s="3684" t="s">
        <v>1141</v>
      </c>
      <c r="O17" s="3685"/>
      <c r="P17" s="368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'数据-基础表'!I11</f>
        <v>地上商业及附属设施</v>
      </c>
      <c r="D19" s="45">
        <f>ROUND($D$3*E19/$E$3,2)</f>
        <v>7877.06</v>
      </c>
      <c r="E19" s="53">
        <f t="shared" ref="E19:E26" si="1">SUM(F19:G19)</f>
        <v>32455.11</v>
      </c>
      <c r="F19" s="2794">
        <f>'数据-基础表'!I13</f>
        <v>32455.11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7877.06</v>
      </c>
      <c r="S19" s="1026">
        <f t="shared" si="5"/>
        <v>32455.11</v>
      </c>
    </row>
    <row r="20" spans="1:19">
      <c r="A20" s="1669"/>
      <c r="B20" s="47" t="s">
        <v>1153</v>
      </c>
      <c r="C20" s="3416" t="str">
        <f>'数据-基础表'!K11</f>
        <v>地下车库-整体出租部分</v>
      </c>
      <c r="D20" s="45">
        <f t="shared" ref="D20:D26" si="6">ROUND($D$3*E20/$E$3,2)</f>
        <v>2031.7</v>
      </c>
      <c r="E20" s="53">
        <f t="shared" si="1"/>
        <v>8371.01</v>
      </c>
      <c r="F20" s="2794"/>
      <c r="G20" s="2795">
        <f>'数据-基础表'!K13</f>
        <v>8371.01</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2031.7</v>
      </c>
      <c r="S20" s="1026">
        <f t="shared" si="5"/>
        <v>8371.01</v>
      </c>
    </row>
    <row r="21" spans="1:19">
      <c r="A21" s="1669"/>
      <c r="B21" s="47" t="s">
        <v>1153</v>
      </c>
      <c r="C21" s="3416" t="str">
        <f>'数据-基础表'!M11</f>
        <v>车库</v>
      </c>
      <c r="D21" s="45">
        <f t="shared" si="6"/>
        <v>1973.01</v>
      </c>
      <c r="E21" s="53">
        <f t="shared" si="1"/>
        <v>8129.2</v>
      </c>
      <c r="F21" s="2794"/>
      <c r="G21" s="2795">
        <f>'数据-基础表'!M13</f>
        <v>8129.2</v>
      </c>
      <c r="H21" s="669">
        <f t="shared" si="7"/>
        <v>0</v>
      </c>
      <c r="I21" s="48">
        <f t="shared" si="2"/>
        <v>0</v>
      </c>
      <c r="J21" s="1138"/>
      <c r="K21" s="1137">
        <f t="shared" si="3"/>
        <v>0</v>
      </c>
      <c r="L21" s="1025">
        <f t="shared" si="4"/>
        <v>0</v>
      </c>
      <c r="M21" s="1149">
        <f t="shared" si="8"/>
        <v>0</v>
      </c>
      <c r="N21" s="1667"/>
      <c r="O21" s="1668"/>
      <c r="P21" s="1149">
        <f t="shared" si="9"/>
        <v>0</v>
      </c>
      <c r="R21" s="1025">
        <f t="shared" si="5"/>
        <v>1973.01</v>
      </c>
      <c r="S21" s="1026">
        <f t="shared" si="5"/>
        <v>8129.2</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11881.77</v>
      </c>
      <c r="E27" s="1140">
        <f>IF(SUM(E19:E26)='数据-基础表'!BA5,SUM(E19:E26),IF(F27="地上面积有误","面积有误","地下面积有误"))</f>
        <v>48955.32</v>
      </c>
      <c r="F27" s="1139">
        <f>IF(SUM(F19:F26)=E8,SUM(F19:F26),"地上面积有误")</f>
        <v>32455.11</v>
      </c>
      <c r="G27" s="1141">
        <f>SUM(G19:G26)</f>
        <v>16500.21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t="str">
        <f>IF(SUM(R19:R26)=$D$3,SUM(R19:R26),SUM(R19:R26)&amp;"误差"&amp;ROUND(SUM(R19:R26)-$D$3,2))</f>
        <v>11881.77误差0.01</v>
      </c>
      <c r="S27" s="1025">
        <f>IF(SUM(S19:S26)=$E$3,SUM(S19:S26),SUM(S19:S26)&amp;"误差"&amp;ROUND(SUM(S19:S26)-E3,2))</f>
        <v>48955.32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11881.77</v>
      </c>
      <c r="E31" s="675">
        <f>E27+E30</f>
        <v>48955.32</v>
      </c>
      <c r="F31" s="676">
        <f>F27+F30</f>
        <v>32455.11</v>
      </c>
      <c r="G31" s="677">
        <f>G27+G30</f>
        <v>16500.21</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3" sqref="L33"/>
    </sheetView>
  </sheetViews>
  <sheetFormatPr defaultColWidth="13.875" defaultRowHeight="12.75"/>
  <cols>
    <col min="1" max="1" width="20.875" style="1744" customWidth="1"/>
    <col min="2" max="2" width="12" style="1681" customWidth="1"/>
    <col min="3" max="3" width="12.8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875" style="1681" customWidth="1"/>
    <col min="31" max="31" width="8" style="1681" customWidth="1"/>
    <col min="32" max="34" width="7.125" style="1681" customWidth="1"/>
    <col min="35" max="39" width="8" style="1681" customWidth="1"/>
    <col min="40" max="40" width="13.875" style="1680"/>
    <col min="41" max="41" width="11.625" style="1680" customWidth="1"/>
    <col min="42" max="42" width="9.875" style="1680" customWidth="1"/>
    <col min="43" max="67" width="13.875" style="1680"/>
    <col min="68" max="16384" width="13.8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45291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地上商业及附属设施</v>
      </c>
      <c r="B6" s="1712" t="str">
        <f>IF(A6=0,"","经营性")</f>
        <v>经营性</v>
      </c>
      <c r="C6" s="1713" t="s">
        <v>673</v>
      </c>
      <c r="D6" s="857">
        <f>SUMIF(项目基本情况!C$12:I$12,C6,项目基本情况!C$14:I$14)</f>
        <v>40</v>
      </c>
      <c r="E6" s="856">
        <f>IF(B6="","",SUMIF(项目基本情况!C$12:I$12,C6,项目基本情况!C$13:I$13))</f>
        <v>52839</v>
      </c>
      <c r="F6" s="64">
        <f>SUMIF(项目基本情况!C$12:I$12,C6,项目基本情况!C$15:I$15)</f>
        <v>20.67</v>
      </c>
      <c r="G6" s="65">
        <f>IF(ISERROR(ROUND(POWER(1+H6,D6-F6)*(POWER(1+H6,F6)-1)/(POWER(1+H6,D6)-1),3)),0,ROUND(POWER(1+H6,D6-F6)*(POWER(1+H6,F6)-1)/(POWER(1+H6,D6)-1),3))</f>
        <v>0</v>
      </c>
      <c r="H6" s="731"/>
      <c r="I6" s="731"/>
      <c r="J6" s="66"/>
      <c r="K6" s="1029">
        <f>SUMIF('数据-汇总表'!C$19:C$33,A6,'数据-汇总表'!E$19:E$33)</f>
        <v>32455.11</v>
      </c>
      <c r="L6" s="732"/>
      <c r="M6" s="67">
        <f t="shared" ref="M6:M14" si="0">ROUND(K6*L6/10000,0)</f>
        <v>0</v>
      </c>
      <c r="N6" s="730"/>
      <c r="O6" s="67">
        <f>IF($N$5="成新度","——",ROUND(M6*N6,0))</f>
        <v>0</v>
      </c>
      <c r="P6" s="68">
        <f>IF($N$5="成新度","——",M6-O6)</f>
        <v>0</v>
      </c>
      <c r="Q6" s="733"/>
      <c r="R6" s="69">
        <f ca="1">SUMIF('数据-汇总表'!C$19:C$33,A6,'数据-汇总表'!R$19:R$27)</f>
        <v>7877.06</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地下车库-整体出租部分</v>
      </c>
      <c r="B7" s="1712" t="str">
        <f t="shared" ref="B7:B13" si="1">IF(A7=0,"","经营性")</f>
        <v>经营性</v>
      </c>
      <c r="C7" s="1713" t="s">
        <v>3337</v>
      </c>
      <c r="D7" s="857">
        <f>SUMIF(项目基本情况!C$12:I$12,C7,项目基本情况!C$14:I$14)</f>
        <v>50</v>
      </c>
      <c r="E7" s="856">
        <f>IF(B7="","",SUMIF(项目基本情况!C$12:I$12,C7,项目基本情况!C$13:I$13))</f>
        <v>56491</v>
      </c>
      <c r="F7" s="64">
        <f>SUMIF(项目基本情况!C$12:I$12,C7,项目基本情况!C$15:I$15)</f>
        <v>30.68</v>
      </c>
      <c r="G7" s="65">
        <f t="shared" ref="G7:G11" si="2">IF(ISERROR(ROUND(POWER(1+H7,D7-F7)*(POWER(1+H7,F7)-1)/(POWER(1+H7,D7)-1),3)),0,ROUND(POWER(1+H7,D7-F7)*(POWER(1+H7,F7)-1)/(POWER(1+H7,D7)-1),3))</f>
        <v>0</v>
      </c>
      <c r="H7" s="731"/>
      <c r="I7" s="731"/>
      <c r="J7" s="66"/>
      <c r="K7" s="1029">
        <f>SUMIF('数据-汇总表'!C$19:C$33,A7,'数据-汇总表'!E$19:E$33)</f>
        <v>8371.01</v>
      </c>
      <c r="L7" s="732"/>
      <c r="M7" s="67">
        <f t="shared" si="0"/>
        <v>0</v>
      </c>
      <c r="N7" s="730"/>
      <c r="O7" s="67">
        <f t="shared" ref="O7:O14" si="3">IF($N$5="成新度","——",ROUND(M7*N7,0))</f>
        <v>0</v>
      </c>
      <c r="P7" s="68">
        <f t="shared" ref="P7:P14" si="4">IF($N$5="成新度","——",M7-O7)</f>
        <v>0</v>
      </c>
      <c r="Q7" s="733"/>
      <c r="R7" s="69">
        <f ca="1">SUMIF('数据-汇总表'!C$19:C$33,A7,'数据-汇总表'!R$19:R$27)</f>
        <v>2031.7</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c r="D8" s="857">
        <f>SUMIF(项目基本情况!C$12:I$12,C8,项目基本情况!C$14:I$14)</f>
        <v>0</v>
      </c>
      <c r="E8" s="856">
        <f>IF(B8="","",SUMIF(项目基本情况!C$12:I$12,C8,项目基本情况!C$13:I$13))</f>
        <v>0</v>
      </c>
      <c r="F8" s="64">
        <f>SUMIF(项目基本情况!C$12:I$12,C8,项目基本情况!C$15:I$15)</f>
        <v>0</v>
      </c>
      <c r="G8" s="65">
        <f t="shared" si="2"/>
        <v>0</v>
      </c>
      <c r="H8" s="731"/>
      <c r="I8" s="731"/>
      <c r="J8" s="66"/>
      <c r="K8" s="1029">
        <f>SUMIF('数据-汇总表'!C$19:C$33,A8,'数据-汇总表'!E$19:E$33)</f>
        <v>8129.2</v>
      </c>
      <c r="L8" s="732"/>
      <c r="M8" s="67">
        <f>ROUND(K8*L8/10000,0)</f>
        <v>0</v>
      </c>
      <c r="N8" s="730"/>
      <c r="O8" s="67">
        <f t="shared" si="3"/>
        <v>0</v>
      </c>
      <c r="P8" s="68">
        <f t="shared" si="4"/>
        <v>0</v>
      </c>
      <c r="Q8" s="733"/>
      <c r="R8" s="69">
        <f ca="1">SUMIF('数据-汇总表'!C$19:C$33,A8,'数据-汇总表'!R$19:R$27)</f>
        <v>1973.01</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t="e">
        <f>ROUND(SUMPRODUCT(H6:H13,K6:K13)/SUMPRODUCT((H6:H13&gt;0)*(K6:K13)),3)</f>
        <v>#DIV/0!</v>
      </c>
      <c r="I16" s="91"/>
      <c r="J16" s="91"/>
      <c r="K16" s="92">
        <f>SUM(K6:K15)</f>
        <v>48955.32</v>
      </c>
      <c r="L16" s="93">
        <f>ROUND(M16*10000/SUM(K6:K14),0)</f>
        <v>0</v>
      </c>
      <c r="M16" s="93">
        <f>SUM(M6:M14)</f>
        <v>0</v>
      </c>
      <c r="N16" s="94" t="e">
        <f>ROUND(SUMPRODUCT(M6:M14,N6:N14)/M16,3)</f>
        <v>#DIV/0!</v>
      </c>
      <c r="O16" s="93">
        <f>SUM(O6:O14)</f>
        <v>0</v>
      </c>
      <c r="P16" s="93">
        <f>SUM(P6:P14)</f>
        <v>0</v>
      </c>
      <c r="Q16" s="95" t="e">
        <f>ROUND(SUMPRODUCT(Q6:Q13,K6:K13)/SUMPRODUCT((Q6:Q13&gt;0)*(K6:K13)),2)</f>
        <v>#DIV/0!</v>
      </c>
      <c r="R16" s="1033">
        <f ca="1">SUM(R6:R13)</f>
        <v>11881.77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875" style="2491" customWidth="1"/>
    <col min="10" max="10" width="2.625" style="2490" customWidth="1"/>
    <col min="11" max="11" width="11.875" style="2490" customWidth="1"/>
    <col min="12" max="12" width="16.875" style="2491" customWidth="1"/>
    <col min="13" max="13" width="2.625" style="2490" customWidth="1"/>
    <col min="14" max="14" width="11.875" style="2490" customWidth="1"/>
    <col min="15" max="15" width="16.875" style="2491" customWidth="1"/>
    <col min="16" max="16" width="2.625" style="2490" customWidth="1"/>
    <col min="17" max="17" width="11.875" style="2490" customWidth="1"/>
    <col min="18" max="18" width="16.875" style="2492" customWidth="1"/>
    <col min="19" max="29" width="9" style="798"/>
    <col min="30" max="16384" width="9" style="1685"/>
  </cols>
  <sheetData>
    <row r="1" spans="1:29" s="2456" customFormat="1" ht="18.75" thickBot="1">
      <c r="A1" s="3699" t="s">
        <v>2286</v>
      </c>
      <c r="B1" s="3700"/>
      <c r="C1" s="3700"/>
      <c r="D1" s="3700"/>
      <c r="E1" s="3700"/>
      <c r="F1" s="3700"/>
      <c r="G1" s="370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2" customWidth="1"/>
    <col min="2" max="9" width="15.8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45291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25" sqref="I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3567</v>
      </c>
      <c r="H1" s="1749" t="str">
        <f>IF(G1="现房","——","估价对象范围")</f>
        <v>——</v>
      </c>
      <c r="I1" s="1750" t="s">
        <v>3568</v>
      </c>
    </row>
    <row r="2" spans="1:12" ht="21.75" customHeight="1" thickBot="1">
      <c r="A2" s="3735" t="str">
        <f>项目基本情况!S2</f>
        <v>北京市房地产</v>
      </c>
      <c r="B2" s="3736"/>
      <c r="C2" s="3736"/>
      <c r="D2" s="3736"/>
      <c r="E2" s="3736"/>
      <c r="F2" s="3736"/>
      <c r="G2" s="3736"/>
      <c r="H2" s="3736"/>
      <c r="I2" s="3737"/>
    </row>
    <row r="3" spans="1:12" ht="12.75">
      <c r="A3" s="3739" t="s">
        <v>1264</v>
      </c>
      <c r="B3" s="3740"/>
      <c r="C3" s="3740"/>
      <c r="D3" s="3740"/>
      <c r="E3" s="3740"/>
      <c r="F3" s="3740"/>
      <c r="G3" s="3740"/>
      <c r="H3" s="3740"/>
      <c r="I3" s="3740"/>
    </row>
    <row r="4" spans="1:12" ht="14.25">
      <c r="A4" s="1753" t="s">
        <v>1265</v>
      </c>
      <c r="B4" s="1754" t="s">
        <v>1266</v>
      </c>
      <c r="C4" s="1755" t="s">
        <v>3565</v>
      </c>
      <c r="D4" s="1755" t="s">
        <v>3566</v>
      </c>
      <c r="E4" s="3741" t="s">
        <v>1267</v>
      </c>
      <c r="F4" s="3742"/>
      <c r="G4" s="3742"/>
      <c r="H4" s="3742"/>
      <c r="I4" s="37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5" t="s">
        <v>1268</v>
      </c>
      <c r="B5" s="3702">
        <v>25</v>
      </c>
      <c r="C5" s="3718">
        <v>5</v>
      </c>
      <c r="D5" s="3738">
        <v>5</v>
      </c>
      <c r="E5" s="131" t="s">
        <v>1269</v>
      </c>
      <c r="F5" s="1756"/>
      <c r="G5" s="1756"/>
      <c r="H5" s="1756"/>
      <c r="I5" s="1372"/>
    </row>
    <row r="6" spans="1:12" ht="12.75">
      <c r="A6" s="3715"/>
      <c r="B6" s="3702"/>
      <c r="C6" s="3719"/>
      <c r="D6" s="3738"/>
      <c r="E6" s="131" t="s">
        <v>1270</v>
      </c>
      <c r="F6" s="1756"/>
      <c r="G6" s="1756"/>
      <c r="H6" s="1756"/>
      <c r="I6" s="1372"/>
    </row>
    <row r="7" spans="1:12" ht="12.75">
      <c r="A7" s="3715"/>
      <c r="B7" s="3702"/>
      <c r="C7" s="3720"/>
      <c r="D7" s="3738"/>
      <c r="E7" s="131" t="s">
        <v>1271</v>
      </c>
      <c r="F7" s="1756"/>
      <c r="G7" s="1756"/>
      <c r="H7" s="1756"/>
      <c r="I7" s="1372"/>
    </row>
    <row r="8" spans="1:12" ht="12.75">
      <c r="A8" s="3715" t="s">
        <v>1272</v>
      </c>
      <c r="B8" s="3702">
        <v>15</v>
      </c>
      <c r="C8" s="3718"/>
      <c r="D8" s="3738"/>
      <c r="E8" s="131" t="s">
        <v>1273</v>
      </c>
      <c r="F8" s="1756"/>
      <c r="G8" s="1756"/>
      <c r="H8" s="1756"/>
      <c r="I8" s="1372"/>
    </row>
    <row r="9" spans="1:12" ht="12.75">
      <c r="A9" s="3715"/>
      <c r="B9" s="3702"/>
      <c r="C9" s="3720"/>
      <c r="D9" s="3738"/>
      <c r="E9" s="131" t="s">
        <v>1274</v>
      </c>
      <c r="F9" s="1756"/>
      <c r="G9" s="1756"/>
      <c r="H9" s="1756"/>
      <c r="I9" s="1372"/>
    </row>
    <row r="10" spans="1:12" ht="12.75">
      <c r="A10" s="3715" t="s">
        <v>1275</v>
      </c>
      <c r="B10" s="3702">
        <v>15</v>
      </c>
      <c r="C10" s="3718"/>
      <c r="D10" s="3738"/>
      <c r="E10" s="131" t="s">
        <v>1276</v>
      </c>
      <c r="F10" s="1756"/>
      <c r="G10" s="1756"/>
      <c r="H10" s="1756"/>
      <c r="I10" s="1372"/>
    </row>
    <row r="11" spans="1:12" ht="12.75">
      <c r="A11" s="3715"/>
      <c r="B11" s="3702"/>
      <c r="C11" s="3720"/>
      <c r="D11" s="3738"/>
      <c r="E11" s="131" t="s">
        <v>1277</v>
      </c>
      <c r="F11" s="1756"/>
      <c r="G11" s="1756"/>
      <c r="H11" s="1756"/>
      <c r="I11" s="1372"/>
    </row>
    <row r="12" spans="1:12" ht="12.75">
      <c r="A12" s="3715" t="s">
        <v>1278</v>
      </c>
      <c r="B12" s="3702">
        <v>15</v>
      </c>
      <c r="C12" s="3718"/>
      <c r="D12" s="3738"/>
      <c r="E12" s="131" t="s">
        <v>1279</v>
      </c>
      <c r="F12" s="1756"/>
      <c r="G12" s="1756"/>
      <c r="H12" s="1756"/>
      <c r="I12" s="1372"/>
    </row>
    <row r="13" spans="1:12" ht="12.75">
      <c r="A13" s="3715"/>
      <c r="B13" s="3702"/>
      <c r="C13" s="3720"/>
      <c r="D13" s="3738"/>
      <c r="E13" s="131" t="s">
        <v>1280</v>
      </c>
      <c r="F13" s="1756"/>
      <c r="G13" s="1756"/>
      <c r="H13" s="1756"/>
      <c r="I13" s="1372"/>
    </row>
    <row r="14" spans="1:12" ht="12.75">
      <c r="A14" s="3715" t="s">
        <v>1281</v>
      </c>
      <c r="B14" s="3702">
        <v>30</v>
      </c>
      <c r="C14" s="3718"/>
      <c r="D14" s="3738"/>
      <c r="E14" s="131" t="s">
        <v>1282</v>
      </c>
      <c r="F14" s="1756"/>
      <c r="G14" s="1756"/>
      <c r="H14" s="1756"/>
      <c r="I14" s="1372"/>
    </row>
    <row r="15" spans="1:12" ht="12.75">
      <c r="A15" s="3715"/>
      <c r="B15" s="3702"/>
      <c r="C15" s="3719"/>
      <c r="D15" s="3738"/>
      <c r="E15" s="131" t="s">
        <v>1283</v>
      </c>
      <c r="F15" s="1756"/>
      <c r="G15" s="1756"/>
      <c r="H15" s="1756"/>
      <c r="I15" s="1372"/>
    </row>
    <row r="16" spans="1:12" ht="12.75">
      <c r="A16" s="3715"/>
      <c r="B16" s="3702"/>
      <c r="C16" s="3720"/>
      <c r="D16" s="373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2.1" customHeight="1" thickBot="1">
      <c r="A18" s="1758" t="s">
        <v>1288</v>
      </c>
      <c r="B18" s="1759"/>
      <c r="C18" s="133">
        <f>ROUND(C17/SUM(C17:D17),2)</f>
        <v>0.5</v>
      </c>
      <c r="D18" s="133">
        <f>1-C18</f>
        <v>0.5</v>
      </c>
      <c r="E18" s="3725" t="s">
        <v>2131</v>
      </c>
      <c r="F18" s="3726"/>
      <c r="G18" s="3726"/>
      <c r="H18" s="3726"/>
      <c r="I18" s="3726"/>
      <c r="K18" s="302" t="s">
        <v>1289</v>
      </c>
      <c r="L18" s="302">
        <f>IF(C1="",'数据-汇总表'!E3,SUMIF(项目类型,C1,'数据-汇总表'!E17:E26)+SUMIF(项目类型,C1,'数据-汇总表'!I17:I26))</f>
        <v>48955.32</v>
      </c>
      <c r="M18" s="302">
        <f>IF(C1="",'数据-汇总表'!E3,SUMIF(项目类型,C1,'数据-汇总表'!E17:E26))</f>
        <v>48955.32</v>
      </c>
    </row>
    <row r="19" spans="1:36" ht="15">
      <c r="A19" s="1760" t="s">
        <v>1290</v>
      </c>
      <c r="B19" s="1761" t="s">
        <v>1291</v>
      </c>
      <c r="C19" s="134">
        <f ca="1">SUMIF(INDIRECT("'"&amp;C4&amp;"'"&amp;"!A:A"),结果表!B19,INDIRECT("'"&amp;C4&amp;"'"&amp;"!B:B"))</f>
        <v>196805</v>
      </c>
      <c r="D19" s="3608">
        <f>'收益预测(整体) '!E26</f>
        <v>177634.92438230829</v>
      </c>
      <c r="E19" s="1760" t="s">
        <v>1292</v>
      </c>
      <c r="F19" s="1761" t="s">
        <v>1291</v>
      </c>
      <c r="G19" s="136">
        <f ca="1">ROUND(C19*$C$18+D19*$D$18,0)</f>
        <v>187220</v>
      </c>
      <c r="H19" s="1762" t="s">
        <v>1293</v>
      </c>
      <c r="I19" s="129"/>
      <c r="K19" s="302" t="s">
        <v>1294</v>
      </c>
      <c r="L19" s="302">
        <f>IF(C1="",'数据-汇总表'!D3,SUMIF(项目类型,C1,'数据-汇总表'!D17:D26)+SUMIF(项目类型,C1,'数据-汇总表'!H17:H27))</f>
        <v>11881.76</v>
      </c>
      <c r="M19" s="302">
        <f>IF(C1="",'数据-汇总表'!D3,SUMIF(项目类型,C1,'数据-汇总表'!D17:D26))</f>
        <v>11881.76</v>
      </c>
    </row>
    <row r="20" spans="1:36" ht="15">
      <c r="A20" s="1763"/>
      <c r="B20" s="1025" t="s">
        <v>1295</v>
      </c>
      <c r="C20" s="137">
        <f ca="1">SUMIF(INDIRECT("'"&amp;C4&amp;"'"&amp;"!A:A"),结果表!B20,INDIRECT("'"&amp;C4&amp;"'"&amp;"!B:B"))</f>
        <v>40201</v>
      </c>
      <c r="D20" s="3609">
        <f>'收益预测(整体) '!E27</f>
        <v>36285.111481716041</v>
      </c>
      <c r="E20" s="1763"/>
      <c r="F20" s="1025" t="s">
        <v>1295</v>
      </c>
      <c r="G20" s="139">
        <f ca="1">ROUND(C20*$C$18+D20*$D$18,0)</f>
        <v>38243</v>
      </c>
      <c r="H20" s="807" t="s">
        <v>1296</v>
      </c>
      <c r="I20" s="129"/>
    </row>
    <row r="21" spans="1:36" ht="15" customHeight="1" thickBot="1">
      <c r="A21" s="827"/>
      <c r="B21" s="1764" t="s">
        <v>1297</v>
      </c>
      <c r="C21" s="718">
        <f ca="1">ROUND(C19*10000/L19,0)</f>
        <v>165636</v>
      </c>
      <c r="D21" s="719">
        <f>ROUND(D19*10000/L19,0)</f>
        <v>149502</v>
      </c>
      <c r="E21" s="827"/>
      <c r="F21" s="1764" t="s">
        <v>1297</v>
      </c>
      <c r="G21" s="140">
        <f ca="1">ROUND(G19*10000/L19,0)</f>
        <v>157569</v>
      </c>
      <c r="H21" s="1765" t="s">
        <v>1296</v>
      </c>
      <c r="I21" s="129"/>
    </row>
    <row r="22" spans="1:36" ht="15" thickBot="1">
      <c r="A22" s="1687" t="s">
        <v>1298</v>
      </c>
      <c r="B22" s="1766"/>
      <c r="C22" s="1767"/>
      <c r="D22" s="720">
        <f ca="1">IF(C19&lt;D19,D19/C19-1,C19/D19-1)</f>
        <v>0.10791839321210062</v>
      </c>
      <c r="E22" s="129"/>
      <c r="F22" s="129"/>
      <c r="G22" s="129"/>
      <c r="H22" s="129"/>
      <c r="I22" s="129"/>
    </row>
    <row r="23" spans="1:36" ht="13.5" thickBot="1">
      <c r="A23" s="1746"/>
      <c r="B23" s="1746"/>
      <c r="C23" s="1746"/>
      <c r="D23" s="1746"/>
      <c r="E23" s="129"/>
      <c r="F23" s="129"/>
      <c r="G23" s="129"/>
      <c r="H23" s="129"/>
      <c r="I23" s="129"/>
    </row>
    <row r="24" spans="1:36" ht="14.25">
      <c r="A24" s="3709" t="s">
        <v>1299</v>
      </c>
      <c r="B24" s="1761" t="s">
        <v>1291</v>
      </c>
      <c r="C24" s="136">
        <f>IF(B30=0,0,D30)</f>
        <v>0</v>
      </c>
      <c r="D24" s="1768"/>
      <c r="E24" s="129"/>
      <c r="F24" s="4005" t="s">
        <v>3654</v>
      </c>
      <c r="G24" s="129">
        <f ca="1">G19</f>
        <v>187220</v>
      </c>
      <c r="H24" s="129"/>
      <c r="I24" s="129"/>
    </row>
    <row r="25" spans="1:36" ht="14.25">
      <c r="A25" s="3710"/>
      <c r="B25" s="1025" t="s">
        <v>1295</v>
      </c>
      <c r="C25" s="141">
        <f>IF(B30=0,0,C30)</f>
        <v>0</v>
      </c>
      <c r="D25" s="1769"/>
      <c r="E25" s="129"/>
      <c r="F25" s="4005" t="s">
        <v>3655</v>
      </c>
      <c r="G25" s="129">
        <f>[3]结果表!$G$19</f>
        <v>189771</v>
      </c>
      <c r="H25" s="129"/>
      <c r="I25" s="129"/>
    </row>
    <row r="26" spans="1:36" ht="13.5" customHeight="1">
      <c r="A26" s="1770" t="s">
        <v>1300</v>
      </c>
      <c r="B26" s="142" t="s">
        <v>1301</v>
      </c>
      <c r="C26" s="142" t="s">
        <v>1302</v>
      </c>
      <c r="D26" s="143" t="s">
        <v>1303</v>
      </c>
      <c r="E26" s="129"/>
      <c r="F26" s="4005"/>
      <c r="G26" s="129">
        <f ca="1">G24+G25</f>
        <v>376991</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38243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29" t="s">
        <v>1312</v>
      </c>
      <c r="B36" s="1786" t="s">
        <v>1313</v>
      </c>
      <c r="C36" s="145"/>
      <c r="D36" s="1787"/>
      <c r="E36" s="1788"/>
      <c r="F36" s="1789"/>
      <c r="G36" s="129"/>
      <c r="H36" s="129"/>
      <c r="I36" s="129"/>
    </row>
    <row r="37" spans="1:15" ht="15.75" thickBot="1">
      <c r="A37" s="3730"/>
      <c r="B37" s="1673" t="s">
        <v>1314</v>
      </c>
      <c r="C37" s="147"/>
      <c r="D37" s="1138"/>
      <c r="E37" s="1138"/>
      <c r="F37" s="1789"/>
      <c r="G37" s="129"/>
      <c r="H37" s="129"/>
      <c r="I37" s="129"/>
    </row>
    <row r="38" spans="1:15" ht="15.75" thickBot="1">
      <c r="A38" s="373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06" t="s">
        <v>1326</v>
      </c>
      <c r="B45" s="3707"/>
      <c r="C45" s="3708"/>
      <c r="D45" s="155" t="e">
        <f ca="1">ROUND(H101*F45,0)</f>
        <v>#REF!</v>
      </c>
      <c r="E45" s="156" t="s">
        <v>1327</v>
      </c>
      <c r="F45" s="157">
        <v>1</v>
      </c>
      <c r="G45" s="158" t="s">
        <v>1328</v>
      </c>
      <c r="H45" s="129"/>
      <c r="I45" s="129"/>
      <c r="J45" s="3784" t="s">
        <v>1329</v>
      </c>
      <c r="K45" s="3784"/>
      <c r="L45" s="3784"/>
      <c r="M45" s="3784"/>
      <c r="N45" s="3784"/>
      <c r="O45" s="3784"/>
    </row>
    <row r="46" spans="1:15" ht="14.25" customHeight="1">
      <c r="A46" s="3703" t="s">
        <v>1330</v>
      </c>
      <c r="B46" s="3704"/>
      <c r="C46" s="3704"/>
      <c r="D46" s="3704"/>
      <c r="E46" s="3704"/>
      <c r="F46" s="3704"/>
      <c r="G46" s="3705"/>
      <c r="H46" s="1805"/>
      <c r="I46" s="159"/>
      <c r="J46" s="2522">
        <v>1</v>
      </c>
      <c r="K46" s="3765" t="s">
        <v>1331</v>
      </c>
      <c r="L46" s="3765"/>
      <c r="M46" s="3785"/>
      <c r="N46" s="3785"/>
      <c r="O46" s="3785"/>
    </row>
    <row r="47" spans="1:15" ht="12" customHeight="1">
      <c r="A47" s="160" t="s">
        <v>1332</v>
      </c>
      <c r="B47" s="161"/>
      <c r="C47" s="162"/>
      <c r="D47" s="1086" t="s">
        <v>1333</v>
      </c>
      <c r="E47" s="302" t="s">
        <v>1334</v>
      </c>
      <c r="F47" s="163" t="s">
        <v>1335</v>
      </c>
      <c r="G47" s="2545" t="s">
        <v>1336</v>
      </c>
      <c r="H47" s="2546"/>
      <c r="I47" s="159"/>
      <c r="J47" s="2522">
        <v>2</v>
      </c>
      <c r="K47" s="3765" t="s">
        <v>1337</v>
      </c>
      <c r="L47" s="3765"/>
      <c r="M47" s="3786">
        <f>'数据-取费表'!B2</f>
        <v>45291</v>
      </c>
      <c r="N47" s="3786"/>
      <c r="O47" s="3786"/>
    </row>
    <row r="48" spans="1:15" ht="25.5">
      <c r="A48" s="3734" t="s">
        <v>1338</v>
      </c>
      <c r="B48" s="3717"/>
      <c r="C48" s="3717"/>
      <c r="D48" s="2323" t="b">
        <f>IF(H48="情况1",0,IF(H48="情况2",D52,IF(H48="情况3",D53,IF(H48="情况4",D54))))</f>
        <v>0</v>
      </c>
      <c r="E48" s="2333" t="str">
        <f>IF(H48="情况4","(销售额-原购置价)×税（费）率","销售额×税（费）率")</f>
        <v>销售额×税（费）率</v>
      </c>
      <c r="F48" s="2547">
        <f>IF(H48="情况1","免征",'数据-取费表'!B41)</f>
        <v>0</v>
      </c>
      <c r="G48" s="2548" t="s">
        <v>1339</v>
      </c>
      <c r="H48" s="2549"/>
      <c r="I48" s="1805"/>
      <c r="J48" s="2522">
        <v>3</v>
      </c>
      <c r="K48" s="3765" t="s">
        <v>1340</v>
      </c>
      <c r="L48" s="3765"/>
      <c r="M48" s="3787" t="e">
        <f ca="1">H101</f>
        <v>#REF!</v>
      </c>
      <c r="N48" s="3787"/>
      <c r="O48" s="3787"/>
    </row>
    <row r="49" spans="1:35" ht="25.5" customHeight="1">
      <c r="A49" s="2332" t="s">
        <v>1341</v>
      </c>
      <c r="B49" s="3701" t="s">
        <v>1342</v>
      </c>
      <c r="C49" s="3701"/>
      <c r="D49" s="1589">
        <v>0</v>
      </c>
      <c r="E49" s="324" t="s">
        <v>1343</v>
      </c>
      <c r="F49" s="2423" t="s">
        <v>28</v>
      </c>
      <c r="G49" s="3771"/>
      <c r="H49" s="2309" t="s">
        <v>2134</v>
      </c>
      <c r="I49" s="2310"/>
      <c r="J49" s="2522">
        <v>4</v>
      </c>
      <c r="K49" s="3765" t="str">
        <f>IF(项目基本情况!E8="房地产抵押价值","房地产抵押价值","抵押担保权已注销时的房地产抵押价值")</f>
        <v>抵押担保权已注销时的房地产抵押价值</v>
      </c>
      <c r="L49" s="3765"/>
      <c r="M49" s="3787" t="str">
        <f>IF(项目基本情况!E8="房地产抵押价值",H107,H109)</f>
        <v>——</v>
      </c>
      <c r="N49" s="3787"/>
      <c r="O49" s="3787"/>
    </row>
    <row r="50" spans="1:35" ht="25.5" customHeight="1">
      <c r="A50" s="2550"/>
      <c r="B50" s="3701" t="s">
        <v>1344</v>
      </c>
      <c r="C50" s="3701"/>
      <c r="D50" s="2551"/>
      <c r="E50" s="332"/>
      <c r="F50" s="2423"/>
      <c r="G50" s="3772"/>
      <c r="H50" s="2311" t="s">
        <v>2135</v>
      </c>
      <c r="I50" s="2310"/>
      <c r="J50" s="3784" t="s">
        <v>1345</v>
      </c>
      <c r="K50" s="3784"/>
      <c r="L50" s="3784"/>
      <c r="M50" s="3784"/>
      <c r="N50" s="3784"/>
      <c r="O50" s="3784"/>
    </row>
    <row r="51" spans="1:35" ht="20.45" customHeight="1">
      <c r="A51" s="2552"/>
      <c r="B51" s="3701" t="s">
        <v>1346</v>
      </c>
      <c r="C51" s="3701"/>
      <c r="D51" s="1086"/>
      <c r="E51" s="327"/>
      <c r="F51" s="2423"/>
      <c r="G51" s="3773"/>
      <c r="H51" s="2311" t="s">
        <v>2136</v>
      </c>
      <c r="I51" s="2310"/>
      <c r="J51" s="2523" t="s">
        <v>1347</v>
      </c>
      <c r="K51" s="3765" t="s">
        <v>1348</v>
      </c>
      <c r="L51" s="3765"/>
      <c r="M51" s="2523" t="s">
        <v>1349</v>
      </c>
      <c r="N51" s="2523" t="s">
        <v>1350</v>
      </c>
      <c r="O51" s="2523" t="s">
        <v>1351</v>
      </c>
    </row>
    <row r="52" spans="1:35" ht="24" customHeight="1">
      <c r="A52" s="2334" t="s">
        <v>1352</v>
      </c>
      <c r="B52" s="3701" t="s">
        <v>1353</v>
      </c>
      <c r="C52" s="3701"/>
      <c r="D52" s="1086" t="e">
        <f ca="1">ROUND(D45*'数据-取费表'!B41/(1+'数据-取费表'!C42),0)</f>
        <v>#REF!</v>
      </c>
      <c r="E52" s="2333" t="s">
        <v>1354</v>
      </c>
      <c r="F52" s="2553">
        <f>'数据-取费表'!B41</f>
        <v>0</v>
      </c>
      <c r="G52" s="2554"/>
      <c r="H52" s="2543"/>
      <c r="I52" s="1806"/>
      <c r="J52" s="2522">
        <v>1</v>
      </c>
      <c r="K52" s="3766" t="s">
        <v>1355</v>
      </c>
      <c r="L52" s="3766"/>
      <c r="M52" s="2524" t="b">
        <f>D48</f>
        <v>0</v>
      </c>
      <c r="N52" s="2522" t="str">
        <f>E48</f>
        <v>销售额×税（费）率</v>
      </c>
      <c r="O52" s="2525">
        <f>F48</f>
        <v>0</v>
      </c>
    </row>
    <row r="53" spans="1:35" ht="12" customHeight="1">
      <c r="A53" s="2334" t="s">
        <v>1356</v>
      </c>
      <c r="B53" s="3727" t="s">
        <v>2291</v>
      </c>
      <c r="C53" s="3728"/>
      <c r="D53" s="1086" t="e">
        <f ca="1">ROUND(D45*'数据-取费表'!B41/(1+'数据-取费表'!C42),0)</f>
        <v>#REF!</v>
      </c>
      <c r="E53" s="2333" t="s">
        <v>1354</v>
      </c>
      <c r="F53" s="2553">
        <f>'数据-取费表'!B41</f>
        <v>0</v>
      </c>
      <c r="G53" s="2554"/>
      <c r="H53" s="2543"/>
      <c r="I53" s="1806"/>
      <c r="J53" s="2522">
        <v>2</v>
      </c>
      <c r="K53" s="3766" t="s">
        <v>1357</v>
      </c>
      <c r="L53" s="3766"/>
      <c r="M53" s="2524" t="e">
        <f t="shared" ref="M53:O54" ca="1" si="0">D55</f>
        <v>#REF!</v>
      </c>
      <c r="N53" s="2522" t="str">
        <f t="shared" si="0"/>
        <v>销售额×税（费）率</v>
      </c>
      <c r="O53" s="2525" t="str">
        <f t="shared" si="0"/>
        <v>免征</v>
      </c>
    </row>
    <row r="54" spans="1:35" ht="12" customHeight="1">
      <c r="A54" s="2334" t="s">
        <v>1358</v>
      </c>
      <c r="B54" s="3727" t="s">
        <v>2292</v>
      </c>
      <c r="C54" s="3728"/>
      <c r="D54" s="1086" t="e">
        <f ca="1">C68</f>
        <v>#REF!</v>
      </c>
      <c r="E54" s="327" t="s">
        <v>1359</v>
      </c>
      <c r="F54" s="2553">
        <f>'数据-取费表'!B41</f>
        <v>0</v>
      </c>
      <c r="G54" s="2554"/>
      <c r="H54" s="2555"/>
      <c r="I54" s="1806"/>
      <c r="J54" s="2522">
        <v>3</v>
      </c>
      <c r="K54" s="3766" t="s">
        <v>1360</v>
      </c>
      <c r="L54" s="3766"/>
      <c r="M54" s="2524" t="e">
        <f t="shared" ca="1" si="0"/>
        <v>#REF!</v>
      </c>
      <c r="N54" s="2522" t="str">
        <f t="shared" si="0"/>
        <v>增值额×税（费）率</v>
      </c>
      <c r="O54" s="2526" t="str">
        <f t="shared" si="0"/>
        <v>免征</v>
      </c>
    </row>
    <row r="55" spans="1:35" ht="24" customHeight="1">
      <c r="A55" s="3716" t="s">
        <v>1361</v>
      </c>
      <c r="B55" s="3717"/>
      <c r="C55" s="3717"/>
      <c r="D55" s="2323" t="e">
        <f ca="1">IF(H55="个人住宅",0,ROUND(D45*I55,0))</f>
        <v>#REF!</v>
      </c>
      <c r="E55" s="2333" t="s">
        <v>1362</v>
      </c>
      <c r="F55" s="2553" t="str">
        <f>IF(H55="正常",I55,"免征")</f>
        <v>免征</v>
      </c>
      <c r="G55" s="2554"/>
      <c r="H55" s="2549"/>
      <c r="I55" s="165">
        <f>'数据-取费表'!B49</f>
        <v>0</v>
      </c>
      <c r="J55" s="2522">
        <f>IF(H59="非个人房产","",4)</f>
        <v>4</v>
      </c>
      <c r="K55" s="3766" t="str">
        <f>IF(H59="非个人房产","——","个人所得税")</f>
        <v>个人所得税</v>
      </c>
      <c r="L55" s="3766"/>
      <c r="M55" s="2527" t="e">
        <f ca="1">D59</f>
        <v>#REF!</v>
      </c>
      <c r="N55" s="2039" t="str">
        <f>E59</f>
        <v>差额计税</v>
      </c>
      <c r="O55" s="2528">
        <f>F59</f>
        <v>0.01</v>
      </c>
    </row>
    <row r="56" spans="1:35" ht="24.75">
      <c r="A56" s="3716" t="s">
        <v>1363</v>
      </c>
      <c r="B56" s="3717"/>
      <c r="C56" s="3717"/>
      <c r="D56" s="2323" t="e">
        <f ca="1">IF(H56="个人住宅",D57,D58)</f>
        <v>#REF!</v>
      </c>
      <c r="E56" s="2333" t="s">
        <v>1364</v>
      </c>
      <c r="F56" s="2553" t="str">
        <f>IF(H56="正常",F58,"免征")</f>
        <v>免征</v>
      </c>
      <c r="G56" s="2556" t="s">
        <v>1365</v>
      </c>
      <c r="H56" s="2557"/>
      <c r="I56" s="1807"/>
      <c r="J56" s="2522" t="str">
        <f>IF(项目基本情况!K6="上海银行",IF(J55="",4,J55+1),"")</f>
        <v/>
      </c>
      <c r="K56" s="3789" t="str">
        <f>IF(项目基本情况!K6="上海银行","其他处置费用","")</f>
        <v/>
      </c>
      <c r="L56" s="3790"/>
      <c r="M56" s="2524" t="str">
        <f>IF(项目基本情况!K6="上海银行",M69,"")</f>
        <v/>
      </c>
      <c r="N56" s="3789" t="str">
        <f>IF(项目基本情况!K6="上海银行","包含处置中涉及的律师、诉讼、拍卖、评估等费用","")</f>
        <v/>
      </c>
      <c r="O56" s="3792"/>
    </row>
    <row r="57" spans="1:35" ht="12.75">
      <c r="A57" s="2334" t="s">
        <v>1341</v>
      </c>
      <c r="B57" s="3727" t="s">
        <v>1366</v>
      </c>
      <c r="C57" s="3728"/>
      <c r="D57" s="1589">
        <v>0</v>
      </c>
      <c r="E57" s="324" t="s">
        <v>1343</v>
      </c>
      <c r="F57" s="302"/>
      <c r="G57" s="2554"/>
      <c r="H57" s="2558"/>
      <c r="I57" s="1807"/>
      <c r="J57" s="3766">
        <f>IF(AND(J55="",J56=""),4,IF(项目基本情况!K6="上海银行",结果表!J56+1,结果表!J55+1))</f>
        <v>5</v>
      </c>
      <c r="K57" s="3766" t="s">
        <v>1367</v>
      </c>
      <c r="L57" s="2529" t="s">
        <v>1368</v>
      </c>
      <c r="M57" s="2530"/>
      <c r="N57" s="2531">
        <f ca="1">SUMIF(M52:M56,"&lt;9e307")</f>
        <v>0</v>
      </c>
      <c r="O57" s="2532"/>
      <c r="P57" s="2689" t="e">
        <f ca="1">N57/M49</f>
        <v>#VALUE!</v>
      </c>
    </row>
    <row r="58" spans="1:35" ht="24.75">
      <c r="A58" s="2334" t="s">
        <v>1352</v>
      </c>
      <c r="B58" s="3727" t="s">
        <v>1369</v>
      </c>
      <c r="C58" s="3701"/>
      <c r="D58" s="2323" t="e">
        <f ca="1">IF(H58="转让取得",C81,C97)</f>
        <v>#REF!</v>
      </c>
      <c r="E58" s="2333" t="s">
        <v>1364</v>
      </c>
      <c r="F58" s="302" t="s">
        <v>28</v>
      </c>
      <c r="G58" s="2554"/>
      <c r="H58" s="2557"/>
      <c r="I58" s="1807"/>
      <c r="J58" s="3766"/>
      <c r="K58" s="3766"/>
      <c r="L58" s="2529" t="s">
        <v>1370</v>
      </c>
      <c r="M58" s="2533"/>
      <c r="N58" s="2534" t="str">
        <f ca="1">NUMBERSTRING(INT(N57*10000),2)&amp;"元整"</f>
        <v>零元整</v>
      </c>
      <c r="O58" s="2535"/>
    </row>
    <row r="59" spans="1:35" ht="24.75" thickBot="1">
      <c r="A59" s="3769" t="s">
        <v>1371</v>
      </c>
      <c r="B59" s="3770"/>
      <c r="C59" s="377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67">
        <f>J57+1</f>
        <v>6</v>
      </c>
      <c r="K59" s="3766" t="s">
        <v>1372</v>
      </c>
      <c r="L59" s="2522" t="s">
        <v>1368</v>
      </c>
      <c r="M59" s="2536"/>
      <c r="N59" s="2537" t="e">
        <f ca="1">M49-N57</f>
        <v>#VALUE!</v>
      </c>
      <c r="O59" s="2538"/>
    </row>
    <row r="60" spans="1:35" ht="12" customHeight="1">
      <c r="A60" s="1808"/>
      <c r="B60" s="1746"/>
      <c r="C60" s="1746"/>
      <c r="D60" s="1746"/>
      <c r="E60" s="1577"/>
      <c r="F60" s="1807"/>
      <c r="G60" s="1807"/>
      <c r="H60" s="1809"/>
      <c r="I60" s="129"/>
      <c r="J60" s="3768"/>
      <c r="K60" s="3766"/>
      <c r="L60" s="2529" t="s">
        <v>1370</v>
      </c>
      <c r="M60" s="2533"/>
      <c r="N60" s="2534" t="e">
        <f ca="1">NUMBERSTRING(INT(N59*10000),2)&amp;"元整"</f>
        <v>#VALUE!</v>
      </c>
      <c r="O60" s="2535"/>
    </row>
    <row r="61" spans="1:35" ht="13.5" thickBot="1">
      <c r="A61" s="3714" t="s">
        <v>1373</v>
      </c>
      <c r="B61" s="3714"/>
      <c r="C61" s="3714"/>
      <c r="D61" s="3714"/>
      <c r="E61" s="3714"/>
      <c r="F61" s="1807"/>
      <c r="G61" s="1807"/>
      <c r="H61" s="1809"/>
      <c r="I61" s="129"/>
      <c r="J61" s="2522">
        <f>J59+1</f>
        <v>7</v>
      </c>
      <c r="K61" s="3766" t="s">
        <v>1374</v>
      </c>
      <c r="L61" s="3766"/>
      <c r="M61" s="2539"/>
      <c r="N61" s="2540" t="e">
        <f ca="1">ROUND(N59*10000/'数据-汇总表'!E3,0)</f>
        <v>#VALUE!</v>
      </c>
      <c r="O61" s="2541"/>
    </row>
    <row r="62" spans="1:35" ht="12.75">
      <c r="A62" s="3732" t="s">
        <v>1375</v>
      </c>
      <c r="B62" s="3733"/>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9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9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9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9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9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0</v>
      </c>
      <c r="E68" s="178"/>
      <c r="F68" s="1807"/>
      <c r="G68" s="1807"/>
      <c r="H68" s="1809"/>
      <c r="I68" s="129"/>
      <c r="J68" s="379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91"/>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53" t="s">
        <v>1394</v>
      </c>
      <c r="B70" s="3754"/>
      <c r="C70" s="3754"/>
      <c r="D70" s="3754"/>
      <c r="E70" s="3754"/>
      <c r="F70" s="3754"/>
      <c r="G70" s="3754"/>
      <c r="H70" s="375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2" t="s">
        <v>1375</v>
      </c>
      <c r="B71" s="373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727" t="s">
        <v>1402</v>
      </c>
      <c r="F76" s="3701"/>
      <c r="G76" s="3701"/>
      <c r="H76" s="375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0</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0</v>
      </c>
      <c r="E78" s="3711" t="s">
        <v>1406</v>
      </c>
      <c r="F78" s="3712"/>
      <c r="G78" s="3712"/>
      <c r="H78" s="372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3" t="s">
        <v>1410</v>
      </c>
      <c r="B83" s="3754"/>
      <c r="C83" s="3754"/>
      <c r="D83" s="3754"/>
      <c r="E83" s="3754"/>
      <c r="F83" s="3754"/>
      <c r="G83" s="3754"/>
      <c r="H83" s="375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2" t="s">
        <v>1375</v>
      </c>
      <c r="B84" s="373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0</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93" t="s">
        <v>2129</v>
      </c>
      <c r="H90" s="379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711" t="s">
        <v>1419</v>
      </c>
      <c r="F91" s="3712"/>
      <c r="G91" s="371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711" t="s">
        <v>1422</v>
      </c>
      <c r="F92" s="3712"/>
      <c r="G92" s="3712"/>
      <c r="H92" s="372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0</v>
      </c>
      <c r="E93" s="3711" t="s">
        <v>1406</v>
      </c>
      <c r="F93" s="3712"/>
      <c r="G93" s="3712"/>
      <c r="H93" s="372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22" t="s">
        <v>1426</v>
      </c>
      <c r="F94" s="3723"/>
      <c r="G94" s="3723"/>
      <c r="H94" s="372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95" t="s">
        <v>1428</v>
      </c>
      <c r="B100" s="3696"/>
      <c r="C100" s="3696"/>
      <c r="D100" s="3713"/>
      <c r="E100" s="3696" t="s">
        <v>1429</v>
      </c>
      <c r="F100" s="3696"/>
      <c r="G100" s="3696"/>
      <c r="H100" s="3713"/>
      <c r="I100" s="129"/>
    </row>
    <row r="101" spans="1:35" ht="18.75" customHeight="1">
      <c r="A101" s="3774" t="s">
        <v>1430</v>
      </c>
      <c r="B101" s="3775"/>
      <c r="C101" s="2584" t="str">
        <f>C4</f>
        <v>比较法-办公</v>
      </c>
      <c r="D101" s="2585" t="str">
        <f>D4</f>
        <v>收益法</v>
      </c>
      <c r="E101" s="3788" t="s">
        <v>1431</v>
      </c>
      <c r="F101" s="3745"/>
      <c r="G101" s="1826" t="s">
        <v>1432</v>
      </c>
      <c r="H101" s="2594" t="e">
        <f ca="1">H118</f>
        <v>#REF!</v>
      </c>
      <c r="I101" s="129"/>
    </row>
    <row r="102" spans="1:35" ht="18.75" customHeight="1">
      <c r="A102" s="3747" t="s">
        <v>1433</v>
      </c>
      <c r="B102" s="2583" t="s">
        <v>1432</v>
      </c>
      <c r="C102" s="2584">
        <f ca="1">IF(D32="楼面单价",ROUND(C19,0),C19)</f>
        <v>196805</v>
      </c>
      <c r="D102" s="2585">
        <f>IF(D32="楼面单价",ROUND(D19,0),D19)</f>
        <v>177634.92438230829</v>
      </c>
      <c r="E102" s="3788"/>
      <c r="F102" s="3745"/>
      <c r="G102" s="1826" t="s">
        <v>1434</v>
      </c>
      <c r="H102" s="2554" t="e">
        <f ca="1">I118</f>
        <v>#REF!</v>
      </c>
      <c r="I102" s="129"/>
    </row>
    <row r="103" spans="1:35" ht="42.75" customHeight="1">
      <c r="A103" s="3747"/>
      <c r="B103" s="2583" t="s">
        <v>1434</v>
      </c>
      <c r="C103" s="2586">
        <f ca="1">C20</f>
        <v>40201</v>
      </c>
      <c r="D103" s="2587">
        <f>D20</f>
        <v>36285.111481716041</v>
      </c>
      <c r="E103" s="3782" t="s">
        <v>1435</v>
      </c>
      <c r="F103" s="3783"/>
      <c r="G103" s="1827" t="s">
        <v>1436</v>
      </c>
      <c r="H103" s="2594">
        <f>IF(D36="正常操作",H104+H105+H106,H105+H106)</f>
        <v>0</v>
      </c>
      <c r="I103" s="129"/>
    </row>
    <row r="104" spans="1:35" ht="18.75" customHeight="1">
      <c r="A104" s="3747"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748"/>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44" t="str">
        <f>IF(项目基本情况!E8="已注销","——","3.房地产抵押价值")</f>
        <v>3.房地产抵押价值</v>
      </c>
      <c r="F107" s="3745"/>
      <c r="G107" s="1826" t="s">
        <v>1432</v>
      </c>
      <c r="H107" s="2594" t="e">
        <f ca="1">IF(E107="——","——",H101-H103)</f>
        <v>#REF!</v>
      </c>
      <c r="I107" s="129"/>
    </row>
    <row r="108" spans="1:35" ht="18.75" customHeight="1">
      <c r="A108" s="129"/>
      <c r="B108" s="129"/>
      <c r="C108" s="129"/>
      <c r="D108" s="129"/>
      <c r="E108" s="3744"/>
      <c r="F108" s="3745"/>
      <c r="G108" s="1826" t="s">
        <v>1434</v>
      </c>
      <c r="H108" s="2554">
        <f ca="1">IF(H107=H101,H102,ROUND(H107*10000/'数据-汇总表'!E3,0))</f>
        <v>0</v>
      </c>
      <c r="I108" s="129"/>
    </row>
    <row r="109" spans="1:35" ht="18.75" customHeight="1">
      <c r="A109" s="129"/>
      <c r="B109" s="129"/>
      <c r="C109" s="129"/>
      <c r="D109" s="129"/>
      <c r="E109" s="3744" t="str">
        <f>IF(项目基本情况!E8="已注销及未注销","4.抵押担保权已注销时的房地产抵押价值",IF(项目基本情况!E8="已注销","3.抵押担保权已注销时的房地产抵押价值","——"))</f>
        <v>——</v>
      </c>
      <c r="F109" s="3745"/>
      <c r="G109" s="1826" t="s">
        <v>1432</v>
      </c>
      <c r="H109" s="2597" t="str">
        <f>IF(E109="——","——",H101-H105-H106)</f>
        <v>——</v>
      </c>
      <c r="I109" s="129"/>
    </row>
    <row r="110" spans="1:35" ht="18.75" customHeight="1">
      <c r="A110" s="129"/>
      <c r="B110" s="129"/>
      <c r="C110" s="129"/>
      <c r="D110" s="129"/>
      <c r="E110" s="3744"/>
      <c r="F110" s="3745"/>
      <c r="G110" s="1826" t="s">
        <v>1434</v>
      </c>
      <c r="H110" s="2554" t="str">
        <f>IF(H109="——","——",ROUND(H109*10000/'数据-汇总表'!E3,0))</f>
        <v>——</v>
      </c>
      <c r="I110" s="129"/>
    </row>
    <row r="111" spans="1:35" ht="18.75" customHeight="1">
      <c r="A111" s="129"/>
      <c r="B111" s="129"/>
      <c r="C111" s="129"/>
      <c r="D111" s="129"/>
      <c r="E111" s="3776" t="str">
        <f>IF(项目基本情况!E9="抵押净值",IF(OR(项目基本情况!E8="已注销",项目基本情况!E8="房地产抵押价值"),"4.抵押净值","5.抵押净值"),"——")</f>
        <v>——</v>
      </c>
      <c r="F111" s="3746"/>
      <c r="G111" s="1826" t="s">
        <v>1432</v>
      </c>
      <c r="H111" s="2594" t="str">
        <f>IF(E111="——","——",N59)</f>
        <v>——</v>
      </c>
      <c r="I111" s="129"/>
    </row>
    <row r="112" spans="1:35" ht="18.75" customHeight="1" thickBot="1">
      <c r="A112" s="129"/>
      <c r="B112" s="129"/>
      <c r="C112" s="129"/>
      <c r="D112" s="129"/>
      <c r="E112" s="3777"/>
      <c r="F112" s="3778"/>
      <c r="G112" s="1829" t="s">
        <v>1434</v>
      </c>
      <c r="H112" s="2598" t="str">
        <f>IF(E111="——","——",N61)</f>
        <v>——</v>
      </c>
      <c r="I112" s="129"/>
    </row>
    <row r="113" spans="1:27" ht="18.75" customHeight="1">
      <c r="A113" s="129"/>
      <c r="B113" s="129"/>
      <c r="C113" s="129"/>
      <c r="D113" s="129"/>
      <c r="E113" s="3749" t="s">
        <v>1440</v>
      </c>
      <c r="F113" s="3749"/>
      <c r="G113" s="3749"/>
      <c r="H113" s="3749"/>
      <c r="I113" s="129"/>
    </row>
    <row r="114" spans="1:27" ht="3.75" customHeight="1">
      <c r="A114" s="1746"/>
      <c r="B114" s="1746"/>
      <c r="C114" s="1746"/>
      <c r="D114" s="1746"/>
      <c r="E114" s="1808"/>
      <c r="F114" s="1808"/>
      <c r="G114" s="1808"/>
      <c r="H114" s="1808"/>
      <c r="I114" s="1746"/>
    </row>
    <row r="115" spans="1:27" ht="18.75" customHeight="1">
      <c r="A115" s="3759" t="s">
        <v>1442</v>
      </c>
      <c r="B115" s="3760"/>
      <c r="C115" s="3760"/>
      <c r="D115" s="3760"/>
      <c r="E115" s="3760"/>
      <c r="F115" s="3760"/>
      <c r="G115" s="3760"/>
      <c r="H115" s="3760"/>
      <c r="I115" s="3761"/>
    </row>
    <row r="116" spans="1:27" ht="27" customHeight="1">
      <c r="A116" s="3715" t="s">
        <v>1443</v>
      </c>
      <c r="B116" s="3750" t="s">
        <v>1444</v>
      </c>
      <c r="C116" s="3750" t="s">
        <v>1445</v>
      </c>
      <c r="D116" s="3763" t="s">
        <v>1446</v>
      </c>
      <c r="E116" s="3764"/>
      <c r="F116" s="3758" t="s">
        <v>1447</v>
      </c>
      <c r="G116" s="3758"/>
      <c r="H116" s="3715" t="s">
        <v>1448</v>
      </c>
      <c r="I116" s="3715"/>
    </row>
    <row r="117" spans="1:27" ht="18.75" customHeight="1">
      <c r="A117" s="3715"/>
      <c r="B117" s="3751"/>
      <c r="C117" s="375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48955.32</v>
      </c>
      <c r="C118" s="2328">
        <f>M19</f>
        <v>11881.76</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15" t="s">
        <v>1452</v>
      </c>
      <c r="B119" s="3715"/>
      <c r="C119" s="3715"/>
      <c r="D119" s="3755" t="e">
        <f ca="1">NUMBERSTRING(INT(D118*10000),2)&amp;"元整"</f>
        <v>#REF!</v>
      </c>
      <c r="E119" s="3757"/>
      <c r="F119" s="3755" t="e">
        <f ca="1">NUMBERSTRING(INT(F118*10000),2)&amp;"元整"</f>
        <v>#REF!</v>
      </c>
      <c r="G119" s="3757"/>
      <c r="H119" s="3755" t="e">
        <f ca="1">NUMBERSTRING(INT(H118*10000),2)&amp;"元整"</f>
        <v>#REF!</v>
      </c>
      <c r="I119" s="3757"/>
    </row>
    <row r="120" spans="1:27" ht="18.75" customHeight="1">
      <c r="A120" s="3779" t="str">
        <f>IF(项目基本情况!B9="房地产市场价值","",MID(E103,3,LEN(E103)-2))</f>
        <v/>
      </c>
      <c r="B120" s="3780"/>
      <c r="C120" s="3781"/>
      <c r="D120" s="3779">
        <f>H103</f>
        <v>0</v>
      </c>
      <c r="E120" s="3780"/>
      <c r="F120" s="3780"/>
      <c r="G120" s="3780"/>
      <c r="H120" s="3780"/>
      <c r="I120" s="378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55" t="s">
        <v>1452</v>
      </c>
      <c r="B121" s="3756"/>
      <c r="C121" s="3757"/>
      <c r="D121" s="3755" t="str">
        <f>IF(D120=0,"零元整",NUMBERSTRING(INT(D120*10000),2)&amp;"元整")</f>
        <v>零元整</v>
      </c>
      <c r="E121" s="3756"/>
      <c r="F121" s="3756"/>
      <c r="G121" s="3756"/>
      <c r="H121" s="3756"/>
      <c r="I121" s="3757"/>
      <c r="AA121" s="724"/>
    </row>
    <row r="122" spans="1:27" ht="18.75" customHeight="1">
      <c r="A122" s="3746" t="str">
        <f>IF(项目基本情况!B9="房地产市场价值","",MID(E107,3,LEN(E107)-2))</f>
        <v/>
      </c>
      <c r="B122" s="3746"/>
      <c r="C122" s="3746"/>
      <c r="D122" s="3779" t="e">
        <f ca="1">H107</f>
        <v>#REF!</v>
      </c>
      <c r="E122" s="3780"/>
      <c r="F122" s="3780"/>
      <c r="G122" s="3780"/>
      <c r="H122" s="3780"/>
      <c r="I122" s="3781"/>
      <c r="AA122" s="724"/>
    </row>
    <row r="123" spans="1:27" ht="18.75" customHeight="1">
      <c r="A123" s="3715" t="s">
        <v>1452</v>
      </c>
      <c r="B123" s="3715"/>
      <c r="C123" s="3715"/>
      <c r="D123" s="3755" t="e">
        <f ca="1">NUMBERSTRING(INT(D122*10000),2)&amp;"元整"</f>
        <v>#REF!</v>
      </c>
      <c r="E123" s="3756"/>
      <c r="F123" s="3756"/>
      <c r="G123" s="3756"/>
      <c r="H123" s="3756"/>
      <c r="I123" s="3757"/>
      <c r="AA123" s="724"/>
    </row>
    <row r="124" spans="1:27" ht="18.75" customHeight="1">
      <c r="A124" s="3746" t="str">
        <f>IF(项目基本情况!B9="房地产市场价值","",MID(E109,3,LEN(E109)-2))</f>
        <v/>
      </c>
      <c r="B124" s="3746"/>
      <c r="C124" s="3746"/>
      <c r="D124" s="3779" t="str">
        <f>H109</f>
        <v>——</v>
      </c>
      <c r="E124" s="3780"/>
      <c r="F124" s="3780"/>
      <c r="G124" s="3780"/>
      <c r="H124" s="3780"/>
      <c r="I124" s="3781"/>
      <c r="AA124" s="724"/>
    </row>
    <row r="125" spans="1:27" ht="18.75" customHeight="1">
      <c r="A125" s="3715" t="s">
        <v>1452</v>
      </c>
      <c r="B125" s="3715"/>
      <c r="C125" s="3715"/>
      <c r="D125" s="3755" t="e">
        <f>NUMBERSTRING(INT(D124*10000),2)&amp;"元整"</f>
        <v>#VALUE!</v>
      </c>
      <c r="E125" s="3756"/>
      <c r="F125" s="3756"/>
      <c r="G125" s="3756"/>
      <c r="H125" s="3756"/>
      <c r="I125" s="3757"/>
      <c r="AA125" s="724"/>
    </row>
    <row r="126" spans="1:27" ht="18.75" customHeight="1">
      <c r="A126" s="3746" t="str">
        <f>IF(项目基本情况!B9="房地产市场价值","",MID(E111,3,LEN(E111)-2))</f>
        <v/>
      </c>
      <c r="B126" s="3746"/>
      <c r="C126" s="3746"/>
      <c r="D126" s="3779" t="str">
        <f>H111</f>
        <v>——</v>
      </c>
      <c r="E126" s="3780"/>
      <c r="F126" s="3780"/>
      <c r="G126" s="3780"/>
      <c r="H126" s="3780"/>
      <c r="I126" s="3781"/>
      <c r="AA126" s="724"/>
    </row>
    <row r="127" spans="1:27" ht="18.75" customHeight="1">
      <c r="A127" s="3715" t="s">
        <v>1452</v>
      </c>
      <c r="B127" s="3715"/>
      <c r="C127" s="3715"/>
      <c r="D127" s="3755" t="e">
        <f>NUMBERSTRING(INT(D126*10000),2)&amp;"元整"</f>
        <v>#VALUE!</v>
      </c>
      <c r="E127" s="3756"/>
      <c r="F127" s="3756"/>
      <c r="G127" s="3756"/>
      <c r="H127" s="3756"/>
      <c r="I127" s="3757"/>
      <c r="AA127" s="724"/>
    </row>
    <row r="128" spans="1:27" ht="21.75" customHeight="1">
      <c r="A128" s="3762" t="s">
        <v>1453</v>
      </c>
      <c r="B128" s="3762"/>
      <c r="C128" s="3762"/>
      <c r="D128" s="3762"/>
      <c r="E128" s="3762"/>
      <c r="F128" s="3762"/>
      <c r="G128" s="3762"/>
      <c r="H128" s="3762"/>
      <c r="I128" s="376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612" t="str">
        <f>项目基本情况!B1</f>
        <v>北京市房地产市场价值预评估</v>
      </c>
      <c r="C37" s="3612"/>
      <c r="D37" s="3612"/>
      <c r="E37" s="3612"/>
      <c r="F37" s="3612"/>
      <c r="G37" s="3612"/>
      <c r="H37" s="3612"/>
      <c r="I37" s="361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1"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9</v>
      </c>
    </row>
    <row r="2" spans="1:9" s="200" customFormat="1" ht="18" customHeight="1">
      <c r="A2" s="201" t="s">
        <v>1462</v>
      </c>
      <c r="B2" s="202" t="e">
        <f ca="1">IF(D2="——",C52,C52-E2)</f>
        <v>#VALUE!</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0</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48955.32</v>
      </c>
      <c r="E10" s="225">
        <f>'数据-取费表'!B28</f>
        <v>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0</v>
      </c>
      <c r="D19" s="848">
        <f ca="1">D9+D10</f>
        <v>48955.32</v>
      </c>
      <c r="E19" s="211">
        <f>'数据-取费表'!B31</f>
        <v>0</v>
      </c>
      <c r="F19" s="231"/>
      <c r="G19" s="1855"/>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3"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9" t="s">
        <v>1502</v>
      </c>
      <c r="B23" s="215" t="s">
        <v>1503</v>
      </c>
      <c r="C23" s="1104" t="e">
        <f ca="1">ROUND(IF('数据-取费表'!B22&lt;=1,C5*F22*'数据-取费表'!B23,C5*(POWER((1+F22),'数据-取费表'!B23)-1)),0)</f>
        <v>#VALUE!</v>
      </c>
      <c r="D23" s="238"/>
      <c r="E23" s="238"/>
      <c r="F23" s="239"/>
      <c r="G23" s="240" t="s">
        <v>1504</v>
      </c>
    </row>
    <row r="24" spans="1:7" s="214" customFormat="1" ht="13.5" customHeight="1">
      <c r="A24" s="779" t="s">
        <v>1505</v>
      </c>
      <c r="B24" s="215" t="s">
        <v>1506</v>
      </c>
      <c r="C24" s="1104" t="e">
        <f ca="1">ROUND(IF('数据-取费表'!B22&lt;=1,C19*F22*('数据-取费表'!B19/2+'数据-取费表'!B21),C19*(POWER((1+F22),('数据-取费表'!B19/2+'数据-取费表'!B21))-1)),0)</f>
        <v>#VALUE!</v>
      </c>
      <c r="D24" s="238"/>
      <c r="E24" s="238"/>
      <c r="F24" s="239"/>
      <c r="G24" s="240" t="s">
        <v>1507</v>
      </c>
    </row>
    <row r="25" spans="1:7" s="214" customFormat="1" ht="24">
      <c r="A25" s="779" t="s">
        <v>1508</v>
      </c>
      <c r="B25" s="215" t="s">
        <v>1509</v>
      </c>
      <c r="C25" s="1104" t="e">
        <f ca="1">ROUND(IF('数据-取费表'!B22&lt;=1,C20*F22*'数据-取费表'!B23/2,C20*(POWER((1+F22),'数据-取费表'!B23/2)-1)),0)</f>
        <v>#VALUE!</v>
      </c>
      <c r="D25" s="238"/>
      <c r="E25" s="241"/>
      <c r="F25" s="239"/>
      <c r="G25" s="242" t="s">
        <v>1510</v>
      </c>
    </row>
    <row r="26" spans="1:7" s="214" customFormat="1">
      <c r="A26" s="779"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9" t="s">
        <v>351</v>
      </c>
      <c r="B35" s="215" t="s">
        <v>1527</v>
      </c>
      <c r="C35" s="220">
        <f ca="1">ROUND(C34*F35,0)</f>
        <v>0</v>
      </c>
      <c r="D35" s="220"/>
      <c r="E35" s="220"/>
      <c r="F35" s="259">
        <f>'数据-取费表'!B33</f>
        <v>0</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0</v>
      </c>
      <c r="D37" s="217">
        <f ca="1">D19</f>
        <v>48955.32</v>
      </c>
      <c r="E37" s="249">
        <f>'数据-取费表'!B35</f>
        <v>0</v>
      </c>
      <c r="F37" s="259"/>
      <c r="G37" s="261" t="s">
        <v>1532</v>
      </c>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9" t="s">
        <v>346</v>
      </c>
      <c r="B42" s="215" t="s">
        <v>1543</v>
      </c>
      <c r="C42" s="238" t="e">
        <f ca="1">ROUND(IF('数据-取费表'!B22&lt;=1,C33*F22*'数据-取费表'!B21/2,C33*(POWER((1+F22),'数据-取费表'!B21/2)-1)),0)</f>
        <v>#VALUE!</v>
      </c>
      <c r="D42" s="238"/>
      <c r="E42" s="238"/>
      <c r="F42" s="239"/>
      <c r="G42" s="3795" t="s">
        <v>1544</v>
      </c>
    </row>
    <row r="43" spans="1:7" ht="13.5" customHeight="1">
      <c r="A43" s="779" t="s">
        <v>347</v>
      </c>
      <c r="B43" s="215" t="s">
        <v>1545</v>
      </c>
      <c r="C43" s="238" t="e">
        <f ca="1">ROUND(IF('数据-取费表'!B22&lt;=1,C39*F22*'数据-取费表'!B21/2,C39*(POWER((1+F22),'数据-取费表'!B21/2)-1)),0)</f>
        <v>#VALUE!</v>
      </c>
      <c r="D43" s="238"/>
      <c r="E43" s="238"/>
      <c r="F43" s="239"/>
      <c r="G43" s="3796"/>
    </row>
    <row r="44" spans="1:7" ht="13.5" customHeight="1">
      <c r="A44" s="779" t="s">
        <v>348</v>
      </c>
      <c r="B44" s="215" t="s">
        <v>1546</v>
      </c>
      <c r="C44" s="238" t="e">
        <f ca="1">ROUND(IF('数据-取费表'!B22&lt;=1,C40*F22*'数据-取费表'!B21/2,C40*(POWER((1+F22),'数据-取费表'!B21/2)-1)),4)</f>
        <v>#VALUE!</v>
      </c>
      <c r="D44" s="238"/>
      <c r="E44" s="238"/>
      <c r="F44" s="239"/>
      <c r="G44" s="379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9" t="s">
        <v>346</v>
      </c>
      <c r="B46" s="248" t="s">
        <v>1549</v>
      </c>
      <c r="C46" s="249" t="e">
        <f ca="1">ROUND((C33+C39)*F27,0)</f>
        <v>#DIV/0!</v>
      </c>
      <c r="D46" s="263"/>
      <c r="E46" s="236"/>
      <c r="F46" s="246"/>
      <c r="G46" s="247"/>
    </row>
    <row r="47" spans="1:7" s="214" customFormat="1" ht="13.5" customHeight="1">
      <c r="A47" s="779" t="s">
        <v>347</v>
      </c>
      <c r="B47" s="248" t="s">
        <v>1550</v>
      </c>
      <c r="C47" s="238" t="e">
        <f ca="1">ROUND(C40*F27,4)</f>
        <v>#DIV/0!</v>
      </c>
      <c r="D47" s="263"/>
      <c r="E47" s="236"/>
      <c r="F47" s="246"/>
      <c r="G47" s="247"/>
    </row>
    <row r="48" spans="1:7" s="214" customFormat="1" ht="13.5" customHeight="1">
      <c r="A48" s="255" t="s">
        <v>1512</v>
      </c>
      <c r="B48" s="210" t="s">
        <v>1551</v>
      </c>
      <c r="C48" s="1326">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8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9</v>
      </c>
      <c r="H1" s="1060" t="str">
        <f>IF(ISERROR(FIND("住宅",B1)),"非住宅","住宅")</f>
        <v>非住宅</v>
      </c>
    </row>
    <row r="2" spans="1:8" s="200" customFormat="1" ht="18" customHeight="1">
      <c r="A2" s="201" t="s">
        <v>1462</v>
      </c>
      <c r="B2" s="3423" t="e">
        <f ca="1">ROUND(IF(D2="——",C52/10000,C52/10000-E2),4)</f>
        <v>#VALUE!</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0</v>
      </c>
      <c r="G7" s="219"/>
    </row>
    <row r="8" spans="1:8" s="223" customFormat="1">
      <c r="A8" s="777" t="s">
        <v>1476</v>
      </c>
      <c r="B8" s="215" t="s">
        <v>1477</v>
      </c>
      <c r="C8" s="220">
        <f ca="1">IF(G8="已包含在土地购买价格中",0,C9+C10)</f>
        <v>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48955.32</v>
      </c>
      <c r="E10" s="225">
        <f>'数据-取费表'!B28</f>
        <v>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0</v>
      </c>
      <c r="D19" s="848">
        <f ca="1">D9+D10</f>
        <v>48955.32</v>
      </c>
      <c r="E19" s="211">
        <f>'数据-取费表'!B31</f>
        <v>0</v>
      </c>
      <c r="F19" s="231"/>
      <c r="G19" s="1855"/>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6"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9" t="s">
        <v>1472</v>
      </c>
      <c r="B23" s="215" t="s">
        <v>1583</v>
      </c>
      <c r="C23" s="1127" t="e">
        <f ca="1">ROUND(IF('数据-取费表'!B22&lt;=1,C5*F22*'数据-取费表'!B22,C5*(POWER((1+F22),'数据-取费表'!B22)-1)),0)</f>
        <v>#VALUE!</v>
      </c>
      <c r="D23" s="238"/>
      <c r="E23" s="238"/>
      <c r="F23" s="239"/>
      <c r="G23" s="240" t="s">
        <v>1584</v>
      </c>
    </row>
    <row r="24" spans="1:7" s="214" customFormat="1" ht="13.5" customHeight="1">
      <c r="A24" s="779" t="s">
        <v>1474</v>
      </c>
      <c r="B24" s="215" t="s">
        <v>1585</v>
      </c>
      <c r="C24" s="1127" t="e">
        <f ca="1">ROUND(IF('数据-取费表'!B22&lt;=1,C19*F22*('数据-取费表'!B19/2+'数据-取费表'!B20),C19*(POWER((1+F22),('数据-取费表'!B19/2+'数据-取费表'!B20))-1)),0)</f>
        <v>#VALUE!</v>
      </c>
      <c r="D24" s="238"/>
      <c r="E24" s="238"/>
      <c r="F24" s="239"/>
      <c r="G24" s="240" t="s">
        <v>1586</v>
      </c>
    </row>
    <row r="25" spans="1:7" s="214" customFormat="1" ht="24">
      <c r="A25" s="779" t="s">
        <v>1476</v>
      </c>
      <c r="B25" s="215" t="s">
        <v>1587</v>
      </c>
      <c r="C25" s="1127" t="e">
        <f ca="1">ROUND(IF('数据-取费表'!B22&lt;=1,C20*F22*'数据-取费表'!B22/2,C20*(POWER((1+F22),'数据-取费表'!B22/2)-1)),0)</f>
        <v>#VALUE!</v>
      </c>
      <c r="D25" s="238"/>
      <c r="E25" s="241"/>
      <c r="F25" s="239"/>
      <c r="G25" s="242" t="s">
        <v>1588</v>
      </c>
    </row>
    <row r="26" spans="1:7" s="214" customFormat="1">
      <c r="A26" s="779"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9" t="s">
        <v>351</v>
      </c>
      <c r="B35" s="215" t="s">
        <v>1527</v>
      </c>
      <c r="C35" s="220">
        <f ca="1">ROUND(C34*F35,0)</f>
        <v>0</v>
      </c>
      <c r="D35" s="220"/>
      <c r="E35" s="220"/>
      <c r="F35" s="259">
        <f>'数据-取费表'!B33</f>
        <v>0</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0</v>
      </c>
      <c r="D37" s="217">
        <f ca="1">D19</f>
        <v>48955.32</v>
      </c>
      <c r="E37" s="249">
        <f>'数据-取费表'!B35</f>
        <v>0</v>
      </c>
      <c r="F37" s="259"/>
      <c r="G37" s="261"/>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9" t="s">
        <v>346</v>
      </c>
      <c r="B42" s="215" t="s">
        <v>1543</v>
      </c>
      <c r="C42" s="238" t="e">
        <f ca="1">ROUND(IF('数据-取费表'!B22&lt;=1,C33*F22*'数据-取费表'!B20/2,C33*(POWER((1+F22),'数据-取费表'!B20/2)-1)),0)</f>
        <v>#VALUE!</v>
      </c>
      <c r="D42" s="238"/>
      <c r="E42" s="238"/>
      <c r="F42" s="239"/>
      <c r="G42" s="3795" t="s">
        <v>1591</v>
      </c>
    </row>
    <row r="43" spans="1:7" ht="13.5" customHeight="1">
      <c r="A43" s="779" t="s">
        <v>347</v>
      </c>
      <c r="B43" s="215" t="s">
        <v>1545</v>
      </c>
      <c r="C43" s="238" t="e">
        <f ca="1">ROUND(IF('数据-取费表'!B22&lt;=1,C39*F22*'数据-取费表'!B20/2,C39*(POWER((1+F22),'数据-取费表'!B20/2)-1)),0)</f>
        <v>#VALUE!</v>
      </c>
      <c r="D43" s="238"/>
      <c r="E43" s="238"/>
      <c r="F43" s="239"/>
      <c r="G43" s="3796"/>
    </row>
    <row r="44" spans="1:7" ht="13.5" customHeight="1">
      <c r="A44" s="779" t="s">
        <v>348</v>
      </c>
      <c r="B44" s="215" t="s">
        <v>1546</v>
      </c>
      <c r="C44" s="238" t="e">
        <f ca="1">ROUND(IF('数据-取费表'!B22&lt;=1,C40*F22*'数据-取费表'!B20/2,C40*(POWER((1+F22),'数据-取费表'!B20/2)-1)),4)</f>
        <v>#VALUE!</v>
      </c>
      <c r="D44" s="238"/>
      <c r="E44" s="238"/>
      <c r="F44" s="239"/>
      <c r="G44" s="379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9" t="s">
        <v>346</v>
      </c>
      <c r="B46" s="248" t="s">
        <v>1549</v>
      </c>
      <c r="C46" s="249" t="e">
        <f ca="1">ROUND((C33+C39)*F27,0)</f>
        <v>#DIV/0!</v>
      </c>
      <c r="D46" s="263"/>
      <c r="E46" s="236"/>
      <c r="F46" s="246"/>
      <c r="G46" s="247"/>
    </row>
    <row r="47" spans="1:7" s="214" customFormat="1" ht="13.5" customHeight="1">
      <c r="A47" s="779"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7" customWidth="1"/>
    <col min="2" max="2" width="25.875" style="780" customWidth="1"/>
    <col min="3" max="3" width="10.375" style="822" customWidth="1"/>
    <col min="4" max="4" width="9.875" style="780" customWidth="1"/>
    <col min="5" max="5" width="9.5" style="727" customWidth="1"/>
    <col min="6" max="6" width="10.125" style="780" customWidth="1"/>
    <col min="7" max="7" width="10.8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9</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48955.32</v>
      </c>
      <c r="E14" s="21">
        <f>'数据-取费表'!B35</f>
        <v>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48955.32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48955.32</v>
      </c>
      <c r="E20" s="21">
        <f>'数据-取费表'!B28</f>
        <v>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v>
      </c>
      <c r="G23" s="5" t="s">
        <v>1633</v>
      </c>
      <c r="H23" s="796"/>
      <c r="I23" s="796"/>
      <c r="J23" s="796"/>
      <c r="K23" s="797"/>
    </row>
    <row r="24" spans="1:33" s="802" customFormat="1" ht="13.5" customHeight="1">
      <c r="A24" s="789" t="s">
        <v>1634</v>
      </c>
      <c r="B24" s="812" t="s">
        <v>1635</v>
      </c>
      <c r="C24" s="280">
        <f>ROUND(F24/(1+'数据-取费表'!C42),4)</f>
        <v>0</v>
      </c>
      <c r="D24" s="281" t="s">
        <v>12</v>
      </c>
      <c r="E24" s="281"/>
      <c r="F24" s="815">
        <f>IF(项目基本情况!B8="出让",0,'数据-取费表'!B48+'数据-取费表'!B49)</f>
        <v>0</v>
      </c>
      <c r="G24" s="5" t="s">
        <v>1636</v>
      </c>
      <c r="H24" s="817"/>
      <c r="I24" s="817"/>
      <c r="J24" s="817"/>
      <c r="K24" s="818"/>
    </row>
    <row r="25" spans="1:33" s="802" customFormat="1" ht="13.5" customHeight="1">
      <c r="A25" s="789" t="s">
        <v>1637</v>
      </c>
      <c r="B25" s="814" t="s">
        <v>1638</v>
      </c>
      <c r="C25" s="1105"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t="e">
        <f ca="1">ROUND(IF('数据-取费表'!B22&lt;=1,(1+C24)*F25*'数据-取费表'!B24,(1+C24)*(POWER((1+F25),'数据-取费表'!B24)-1)),4)</f>
        <v>#VALUE!</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t="e">
        <f ca="1">ROUND(IF('数据-取费表'!B22&lt;=1,(C21+C22+C23)*F25*'数据-取费表'!B24/2,(C21+C22+C23)*(POWER((1+F25),'数据-取费表'!B24/2)-1)),0)</f>
        <v>#VALUE!</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t="e">
        <f ca="1">C30</f>
        <v>#DIV/0!</v>
      </c>
      <c r="D28" s="280" t="e">
        <f ca="1">C29</f>
        <v>#DIV/0!</v>
      </c>
      <c r="E28" s="282" t="s">
        <v>12</v>
      </c>
      <c r="F28" s="288" t="e">
        <f ca="1">IF(C1="",'数据-取费表'!Q16,INDIRECT("'数据-取费表'!q"&amp;$K$1))</f>
        <v>#DIV/0!</v>
      </c>
      <c r="G28" s="816"/>
      <c r="H28" s="817"/>
      <c r="I28" s="817"/>
      <c r="J28" s="817"/>
      <c r="K28" s="818"/>
    </row>
    <row r="29" spans="1:33" s="291" customFormat="1" ht="13.5" customHeight="1">
      <c r="A29" s="799" t="s">
        <v>358</v>
      </c>
      <c r="B29" s="821" t="s">
        <v>1643</v>
      </c>
      <c r="C29" s="284" t="e">
        <f ca="1">ROUND((1+C24)*F28*'数据-取费表'!B24/'数据-取费表'!B20,4)</f>
        <v>#DIV/0!</v>
      </c>
      <c r="D29" s="284"/>
      <c r="E29" s="285"/>
      <c r="F29" s="290"/>
      <c r="G29" s="131" t="s">
        <v>1644</v>
      </c>
      <c r="H29" s="806"/>
      <c r="I29" s="806"/>
      <c r="J29" s="806"/>
      <c r="K29" s="807"/>
    </row>
    <row r="30" spans="1:33" s="291" customFormat="1" ht="13.5" customHeight="1">
      <c r="A30" s="799" t="s">
        <v>359</v>
      </c>
      <c r="B30" s="821" t="s">
        <v>1645</v>
      </c>
      <c r="C30" s="292" t="e">
        <f ca="1">ROUND((C21+C22+C23)*F28,0)</f>
        <v>#DIV/0!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0</v>
      </c>
      <c r="G31" s="837" t="s">
        <v>1648</v>
      </c>
      <c r="H31" s="838"/>
      <c r="I31" s="838"/>
      <c r="J31" s="838"/>
      <c r="K31" s="839"/>
    </row>
    <row r="32" spans="1:33" s="798" customFormat="1" ht="13.5" customHeight="1" thickBot="1">
      <c r="A32" s="827" t="s">
        <v>1649</v>
      </c>
      <c r="B32" s="828"/>
      <c r="C32" s="829" t="e">
        <f ca="1">ROUND((C4-C21-C22-C23-C25-C28-C31)/(1+C24+D25+D28),0)</f>
        <v>#VALUE!</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87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875" style="1383" customWidth="1"/>
    <col min="15" max="15" width="5.125" style="1383" customWidth="1"/>
    <col min="16" max="16" width="25.875" style="1383" customWidth="1"/>
    <col min="17" max="17" width="13.875" style="1383" customWidth="1"/>
    <col min="18" max="18" width="20.5" style="1383" customWidth="1"/>
    <col min="19" max="19" width="13.1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9</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#VALUE!</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800" t="s">
        <v>694</v>
      </c>
      <c r="C6" s="1073">
        <f ca="1">ROUND(F6*F8*F7*(1-F9)/10000,0)</f>
        <v>0</v>
      </c>
      <c r="D6" s="155" t="s">
        <v>2109</v>
      </c>
      <c r="E6" s="302" t="s">
        <v>696</v>
      </c>
      <c r="F6" s="303">
        <f ca="1">INDIRECT("'数据-取费表'!u"&amp;$G$1)</f>
        <v>0</v>
      </c>
      <c r="G6" s="1383"/>
      <c r="H6" s="1068" t="s">
        <v>398</v>
      </c>
      <c r="I6" s="3800" t="s">
        <v>694</v>
      </c>
      <c r="J6" s="301">
        <f ca="1">ROUND(M6*M8*M7*(1-M9)/10000,0)</f>
        <v>0</v>
      </c>
      <c r="K6" s="155" t="s">
        <v>2108</v>
      </c>
      <c r="L6" s="302" t="s">
        <v>696</v>
      </c>
      <c r="M6" s="303">
        <f ca="1">INDIRECT("'数据-取费表'!z"&amp;$G$1)</f>
        <v>0</v>
      </c>
    </row>
    <row r="7" spans="1:37" ht="18" customHeight="1">
      <c r="A7" s="1072"/>
      <c r="B7" s="3801"/>
      <c r="C7" s="1074"/>
      <c r="D7" s="307"/>
      <c r="E7" s="1075" t="s">
        <v>697</v>
      </c>
      <c r="F7" s="303">
        <f ca="1">IF(INDIRECT("'数据-取费表'!ah"&amp;$G$1)="",INDIRECT("'数据-取费表'!k"&amp;$G$1),INDIRECT("'数据-取费表'!ah"&amp;$G$1))</f>
        <v>0</v>
      </c>
      <c r="G7" s="1383"/>
      <c r="H7" s="304"/>
      <c r="I7" s="3801"/>
      <c r="J7" s="306"/>
      <c r="K7" s="307"/>
      <c r="L7" s="302" t="s">
        <v>697</v>
      </c>
      <c r="M7" s="303">
        <f ca="1">F7</f>
        <v>0</v>
      </c>
    </row>
    <row r="8" spans="1:37" ht="18" customHeight="1">
      <c r="A8" s="304"/>
      <c r="B8" s="3801"/>
      <c r="C8" s="306"/>
      <c r="D8" s="307"/>
      <c r="E8" s="302" t="s">
        <v>698</v>
      </c>
      <c r="F8" s="303">
        <f ca="1">INDIRECT("'数据-取费表'!ai"&amp;$G$1)</f>
        <v>0</v>
      </c>
      <c r="G8" s="1383"/>
      <c r="H8" s="304"/>
      <c r="I8" s="3801"/>
      <c r="J8" s="306"/>
      <c r="K8" s="307"/>
      <c r="L8" s="302" t="s">
        <v>698</v>
      </c>
      <c r="M8" s="303">
        <f ca="1">INDIRECT("'数据-取费表'!ai"&amp;$G$1)</f>
        <v>0</v>
      </c>
    </row>
    <row r="9" spans="1:37" ht="18" customHeight="1">
      <c r="A9" s="304"/>
      <c r="B9" s="3802"/>
      <c r="C9" s="306"/>
      <c r="D9" s="307"/>
      <c r="E9" s="302" t="s">
        <v>699</v>
      </c>
      <c r="F9" s="312">
        <f ca="1">INDIRECT("'数据-取费表'!w"&amp;$G$1)</f>
        <v>0</v>
      </c>
      <c r="G9" s="1383"/>
      <c r="H9" s="304"/>
      <c r="I9" s="380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#VALUE!</v>
      </c>
      <c r="D13" s="1080" t="s">
        <v>705</v>
      </c>
      <c r="E13" s="1080" t="s">
        <v>706</v>
      </c>
      <c r="F13" s="1081">
        <f ca="1">INDIRECT("'数据-取费表'!y"&amp;$G$1)</f>
        <v>0</v>
      </c>
      <c r="G13" s="1383"/>
      <c r="H13" s="1078">
        <v>2</v>
      </c>
      <c r="I13" s="1079" t="s">
        <v>704</v>
      </c>
      <c r="J13" s="1067" t="e">
        <f ca="1">ROUND(J14*J15,0)</f>
        <v>#VALUE!</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t="e">
        <f ca="1">C29</f>
        <v>#VALUE!</v>
      </c>
      <c r="K14" s="12"/>
      <c r="L14" s="806"/>
      <c r="M14" s="807"/>
    </row>
    <row r="15" spans="1:37" s="1396" customFormat="1" ht="18" customHeight="1" thickBot="1">
      <c r="A15" s="981" t="s">
        <v>399</v>
      </c>
      <c r="B15" s="302" t="s">
        <v>710</v>
      </c>
      <c r="C15" s="21">
        <f ca="1">ROUND(C14*F15,0)</f>
        <v>0</v>
      </c>
      <c r="D15" s="320" t="s">
        <v>711</v>
      </c>
      <c r="E15" s="320" t="s">
        <v>712</v>
      </c>
      <c r="F15" s="321">
        <f>'数据-取费表'!B33</f>
        <v>0</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t="e">
        <f ca="1">ROUND(J17+J22+J23+J24,0)</f>
        <v>#VALUE!</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ROUND(J6*M18/(1+'数据-取费表'!C42),2)</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ROUND(J14*M22,2)</f>
        <v>#VALUE!</v>
      </c>
      <c r="K22" s="1343" t="s">
        <v>739</v>
      </c>
      <c r="L22" s="302" t="s">
        <v>712</v>
      </c>
      <c r="M22" s="328">
        <f ca="1">INDIRECT("'数据-取费表'!Ak"&amp;$G$1)</f>
        <v>0</v>
      </c>
    </row>
    <row r="23" spans="1:37" s="1396" customFormat="1" ht="18" customHeight="1">
      <c r="A23" s="981"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5"/>
      <c r="H23" s="981" t="s">
        <v>437</v>
      </c>
      <c r="I23" s="302" t="s">
        <v>742</v>
      </c>
      <c r="J23" s="21" t="e">
        <f ca="1">ROUND(J13*M23,2)</f>
        <v>#VALUE!</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#VALUE!</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#VALUE!</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#VALUE!</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0</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t="e">
        <f ca="1">ROUND(C29*F36,2)</f>
        <v>#VALUE!</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t="e">
        <f ca="1">ROUND(C13*F37,2)</f>
        <v>#VALUE!</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t="e">
        <f ca="1">C5-C30</f>
        <v>#VALUE!</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#VALUE!</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#VALUE!</v>
      </c>
      <c r="D46" s="1405" t="str">
        <f>C2</f>
        <v>万元</v>
      </c>
      <c r="E46" s="1399"/>
      <c r="F46" s="1399"/>
      <c r="I46" s="1406" t="s">
        <v>810</v>
      </c>
      <c r="J46" s="1407"/>
      <c r="K46" s="1408"/>
      <c r="L46" s="1409" t="e">
        <f ca="1">IF(M47="住宅",0,IF(L48&gt;J51,L60,J60))</f>
        <v>#VALUE!</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#VALUE!</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#VALUE!</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t="e">
        <f ca="1">C29</f>
        <v>#VALUE!</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t="e">
        <f ca="1">ROUND(-PV(INDIRECT("'数据-取费表'!h"&amp;$G$1),J51,(C39-C13*C76),0),0)</f>
        <v>#VALUE!</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98" t="s">
        <v>837</v>
      </c>
      <c r="L53" s="3799"/>
      <c r="O53" s="1417" t="s">
        <v>409</v>
      </c>
      <c r="P53" s="1418" t="s">
        <v>838</v>
      </c>
      <c r="Q53" s="1419" t="e">
        <f ca="1">Q47+Q48</f>
        <v>#VALUE!</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t="e">
        <f ca="1">C13</f>
        <v>#VALUE!</v>
      </c>
      <c r="D56" s="1446"/>
      <c r="E56" s="1447"/>
      <c r="F56" s="1439"/>
      <c r="I56" s="1448" t="s">
        <v>842</v>
      </c>
      <c r="J56" s="1449"/>
      <c r="K56" s="1420" t="s">
        <v>843</v>
      </c>
      <c r="L56" s="1423">
        <f ca="1">IF(L48&lt;J51,"——",L48-J53)</f>
        <v>0</v>
      </c>
      <c r="O56" s="1417" t="s">
        <v>403</v>
      </c>
      <c r="P56" s="1418" t="s">
        <v>817</v>
      </c>
      <c r="Q56" s="1419" t="e">
        <f ca="1">C40+J29</f>
        <v>#VALUE!</v>
      </c>
      <c r="R56" s="1419" t="s">
        <v>818</v>
      </c>
    </row>
    <row r="57" spans="1:18" s="1383" customFormat="1" ht="24.75" thickBot="1">
      <c r="A57" s="1450"/>
      <c r="B57" s="949" t="s">
        <v>767</v>
      </c>
      <c r="C57" s="238" t="e">
        <f ca="1">C29</f>
        <v>#VALUE!</v>
      </c>
      <c r="D57" s="1451"/>
      <c r="E57" s="1452"/>
      <c r="F57" s="1453"/>
      <c r="I57" s="1454" t="s">
        <v>844</v>
      </c>
      <c r="J57" s="1455">
        <f ca="1">IF(OR(M47="住宅",J51&lt;L48,J56="是"),"——",J51-L48)</f>
        <v>0</v>
      </c>
      <c r="K57" s="1420" t="s">
        <v>845</v>
      </c>
      <c r="L57" s="1423" t="e">
        <f ca="1">IF(L48&lt;J51,"——",IF(L55="比较法",L49,IF(L55="基准地价",L50,L51)))</f>
        <v>#VALUE!</v>
      </c>
      <c r="O57" s="1417" t="s">
        <v>404</v>
      </c>
      <c r="P57" s="1418" t="s">
        <v>846</v>
      </c>
      <c r="Q57" s="1419" t="e">
        <f ca="1">L60</f>
        <v>#VALUE!</v>
      </c>
      <c r="R57" s="1419" t="s">
        <v>847</v>
      </c>
    </row>
    <row r="58" spans="1:18" s="1383" customFormat="1" ht="24.75" thickBot="1">
      <c r="A58" s="315" t="s">
        <v>393</v>
      </c>
      <c r="B58" s="957" t="s">
        <v>714</v>
      </c>
      <c r="C58" s="316" t="e">
        <f ca="1">ROUND(C59+C64+C65+C66,0)</f>
        <v>#VALUE!</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#VALUE!</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0</v>
      </c>
      <c r="I60" s="1457" t="s">
        <v>853</v>
      </c>
      <c r="J60" s="1458" t="e">
        <f ca="1">IF(OR(M47="住宅",J51&lt;L48,J56="是"),"0",ROUND(J59/(1+J52)^J53,0))</f>
        <v>#VALUE!</v>
      </c>
      <c r="K60" s="1459" t="s">
        <v>854</v>
      </c>
      <c r="L60" s="1458" t="e">
        <f ca="1">IF(OR(M47="住宅",L48&lt;J51),0,ROUND(L57*(L58/L59-1),0))</f>
        <v>#VALUE!</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#VALUE!</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#VALUE!</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#VALUE!</v>
      </c>
      <c r="D65" s="963" t="s">
        <v>743</v>
      </c>
      <c r="E65" s="949" t="s">
        <v>744</v>
      </c>
      <c r="F65" s="330">
        <f t="shared" ca="1" si="0"/>
        <v>0</v>
      </c>
      <c r="I65" s="1461" t="s">
        <v>867</v>
      </c>
      <c r="J65" s="1462">
        <v>40</v>
      </c>
      <c r="K65" s="1462">
        <v>30</v>
      </c>
      <c r="L65" s="1462">
        <v>50</v>
      </c>
      <c r="M65" s="1464">
        <v>0.02</v>
      </c>
      <c r="O65" s="1417" t="s">
        <v>403</v>
      </c>
      <c r="P65" s="1418" t="s">
        <v>868</v>
      </c>
      <c r="Q65" s="1419" t="e">
        <f ca="1">C40+J29</f>
        <v>#VALUE!</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#VALUE!</v>
      </c>
      <c r="R66" s="1419" t="s">
        <v>869</v>
      </c>
    </row>
    <row r="67" spans="1:18" s="1383" customFormat="1" ht="16.5" thickBot="1">
      <c r="A67" s="956" t="s">
        <v>394</v>
      </c>
      <c r="B67" s="966" t="s">
        <v>752</v>
      </c>
      <c r="C67" s="316" t="e">
        <f ca="1">C48-C58</f>
        <v>#VALUE!</v>
      </c>
      <c r="D67" s="962" t="s">
        <v>753</v>
      </c>
      <c r="E67" s="967"/>
      <c r="F67" s="968"/>
      <c r="O67" s="1427" t="s">
        <v>405</v>
      </c>
      <c r="P67" s="1418" t="s">
        <v>850</v>
      </c>
      <c r="Q67" s="1465" t="e">
        <f ca="1">L51</f>
        <v>#VALUE!</v>
      </c>
      <c r="R67" s="1419" t="s">
        <v>870</v>
      </c>
    </row>
    <row r="68" spans="1:18" s="1383" customFormat="1" ht="16.5" thickBot="1">
      <c r="A68" s="946" t="s">
        <v>395</v>
      </c>
      <c r="B68" s="947" t="s">
        <v>774</v>
      </c>
      <c r="C68" s="301" t="e">
        <f ca="1">ROUND(C67*(1-((1+F70)/(1+F68))^F69)/(F68-F70),0)</f>
        <v>#VALUE!</v>
      </c>
      <c r="D68" s="964" t="s">
        <v>758</v>
      </c>
      <c r="E68" s="949" t="s">
        <v>759</v>
      </c>
      <c r="F68" s="312">
        <f ca="1">F40</f>
        <v>0</v>
      </c>
      <c r="O68" s="1427" t="s">
        <v>406</v>
      </c>
      <c r="P68" s="1466" t="s">
        <v>871</v>
      </c>
      <c r="Q68" s="1419" t="e">
        <f ca="1">ROUND(Q69-Q70*Q71,0)</f>
        <v>#VALUE!</v>
      </c>
      <c r="R68" s="1419" t="s">
        <v>414</v>
      </c>
    </row>
    <row r="69" spans="1:18" s="1383" customFormat="1" ht="13.5" thickBot="1">
      <c r="A69" s="950"/>
      <c r="B69" s="951"/>
      <c r="C69" s="306"/>
      <c r="D69" s="969" t="s">
        <v>762</v>
      </c>
      <c r="E69" s="949" t="s">
        <v>763</v>
      </c>
      <c r="F69" s="333">
        <f ca="1">F41</f>
        <v>0</v>
      </c>
      <c r="O69" s="1427" t="s">
        <v>411</v>
      </c>
      <c r="P69" s="1466" t="s">
        <v>872</v>
      </c>
      <c r="Q69" s="1419" t="e">
        <f ca="1">C39</f>
        <v>#VALUE!</v>
      </c>
      <c r="R69" s="1419" t="s">
        <v>818</v>
      </c>
    </row>
    <row r="70" spans="1:18" s="1383" customFormat="1" ht="13.5" thickBot="1">
      <c r="A70" s="953"/>
      <c r="B70" s="954"/>
      <c r="C70" s="310"/>
      <c r="D70" s="965"/>
      <c r="E70" s="949" t="s">
        <v>766</v>
      </c>
      <c r="F70" s="1053"/>
      <c r="O70" s="1427" t="s">
        <v>412</v>
      </c>
      <c r="P70" s="1466" t="s">
        <v>873</v>
      </c>
      <c r="Q70" s="1419" t="e">
        <f ca="1">C13</f>
        <v>#VALUE!</v>
      </c>
      <c r="R70" s="1419" t="s">
        <v>818</v>
      </c>
    </row>
    <row r="71" spans="1:18" s="1383" customFormat="1" ht="13.5" thickBot="1">
      <c r="A71" s="970" t="s">
        <v>396</v>
      </c>
      <c r="B71" s="971" t="s">
        <v>776</v>
      </c>
      <c r="C71" s="336" t="e">
        <f ca="1">ROUND(C68*10000/F71,0)</f>
        <v>#VALUE!</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t="e">
        <f ca="1">ROUND(C13*C76,0)</f>
        <v>#VALUE!</v>
      </c>
      <c r="D75" s="1383"/>
      <c r="E75" s="1383"/>
      <c r="F75" s="1383"/>
      <c r="K75" s="1401"/>
      <c r="L75" s="1383"/>
      <c r="O75" s="1417" t="s">
        <v>409</v>
      </c>
      <c r="P75" s="1418" t="s">
        <v>838</v>
      </c>
      <c r="Q75" s="1419" t="e">
        <f ca="1">Q65+Q66</f>
        <v>#VALUE!</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87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875" style="1383" customWidth="1"/>
    <col min="15" max="15" width="5.125" style="1383" customWidth="1"/>
    <col min="16" max="16" width="25.875" style="1383" customWidth="1"/>
    <col min="17" max="17" width="13.875" style="1383" customWidth="1"/>
    <col min="18" max="18" width="20.5" style="1383" customWidth="1"/>
    <col min="19" max="19" width="13.1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9</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#VALUE!</v>
      </c>
      <c r="C2" s="1386" t="s">
        <v>879</v>
      </c>
      <c r="D2" s="1470" t="e">
        <f ca="1">C40+J29+L46</f>
        <v>#VALUE!</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800" t="s">
        <v>694</v>
      </c>
      <c r="C6" s="1073">
        <f ca="1">ROUND(F6*F8*F7*(1-F9),0)</f>
        <v>0</v>
      </c>
      <c r="D6" s="155" t="s">
        <v>2106</v>
      </c>
      <c r="E6" s="302" t="s">
        <v>696</v>
      </c>
      <c r="F6" s="303">
        <f ca="1">INDIRECT("'数据-取费表'!u"&amp;$G$1)</f>
        <v>0</v>
      </c>
      <c r="G6" s="1383"/>
      <c r="H6" s="1068" t="s">
        <v>398</v>
      </c>
      <c r="I6" s="3800" t="s">
        <v>694</v>
      </c>
      <c r="J6" s="301">
        <f ca="1">ROUND(M6*M8*M7*(1-M9),0)</f>
        <v>0</v>
      </c>
      <c r="K6" s="1375" t="s">
        <v>2107</v>
      </c>
      <c r="L6" s="302" t="s">
        <v>696</v>
      </c>
      <c r="M6" s="303">
        <f ca="1">INDIRECT("'数据-取费表'!z"&amp;$G$1)</f>
        <v>0</v>
      </c>
    </row>
    <row r="7" spans="1:37" ht="18" customHeight="1">
      <c r="A7" s="1072"/>
      <c r="B7" s="3801"/>
      <c r="C7" s="1074"/>
      <c r="D7" s="307"/>
      <c r="E7" s="1075" t="s">
        <v>697</v>
      </c>
      <c r="F7" s="303">
        <f ca="1">IF(INDIRECT("'数据-取费表'!ah"&amp;$G$1)="",INDIRECT("'数据-取费表'!k"&amp;$G$1),INDIRECT("'数据-取费表'!ah"&amp;$G$1))</f>
        <v>0</v>
      </c>
      <c r="G7" s="1383"/>
      <c r="H7" s="304"/>
      <c r="I7" s="3801"/>
      <c r="J7" s="306"/>
      <c r="K7" s="307"/>
      <c r="L7" s="302" t="s">
        <v>697</v>
      </c>
      <c r="M7" s="303">
        <f ca="1">F7</f>
        <v>0</v>
      </c>
    </row>
    <row r="8" spans="1:37" ht="18" customHeight="1">
      <c r="A8" s="304"/>
      <c r="B8" s="3801"/>
      <c r="C8" s="306"/>
      <c r="D8" s="307"/>
      <c r="E8" s="302" t="s">
        <v>698</v>
      </c>
      <c r="F8" s="303">
        <f ca="1">INDIRECT("'数据-取费表'!ai"&amp;$G$1)</f>
        <v>0</v>
      </c>
      <c r="G8" s="1383"/>
      <c r="H8" s="304"/>
      <c r="I8" s="3801"/>
      <c r="J8" s="306"/>
      <c r="K8" s="307"/>
      <c r="L8" s="302" t="s">
        <v>698</v>
      </c>
      <c r="M8" s="303">
        <f ca="1">INDIRECT("'数据-取费表'!ai"&amp;$G$1)</f>
        <v>0</v>
      </c>
    </row>
    <row r="9" spans="1:37" ht="18" customHeight="1">
      <c r="A9" s="304"/>
      <c r="B9" s="3802"/>
      <c r="C9" s="306"/>
      <c r="D9" s="307"/>
      <c r="E9" s="302" t="s">
        <v>699</v>
      </c>
      <c r="F9" s="312">
        <f ca="1">INDIRECT("'数据-取费表'!w"&amp;$G$1)</f>
        <v>0</v>
      </c>
      <c r="G9" s="1383"/>
      <c r="H9" s="304"/>
      <c r="I9" s="380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#VALUE!</v>
      </c>
      <c r="D13" s="1080" t="s">
        <v>705</v>
      </c>
      <c r="E13" s="1080" t="s">
        <v>706</v>
      </c>
      <c r="F13" s="1081">
        <f ca="1">INDIRECT("'数据-取费表'!y"&amp;$G$1)</f>
        <v>0</v>
      </c>
      <c r="G13" s="1383"/>
      <c r="H13" s="1078">
        <v>2</v>
      </c>
      <c r="I13" s="1079" t="s">
        <v>704</v>
      </c>
      <c r="J13" s="1067" t="e">
        <f ca="1">ROUND(J14*J15,0)</f>
        <v>#VALUE!</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t="e">
        <f ca="1">C29</f>
        <v>#VALUE!</v>
      </c>
      <c r="K14" s="12"/>
      <c r="L14" s="806"/>
      <c r="M14" s="807"/>
    </row>
    <row r="15" spans="1:37" s="1396" customFormat="1" ht="18" customHeight="1" thickBot="1">
      <c r="A15" s="981" t="s">
        <v>399</v>
      </c>
      <c r="B15" s="302" t="s">
        <v>710</v>
      </c>
      <c r="C15" s="21">
        <f ca="1">ROUND(C14*F15,0)</f>
        <v>0</v>
      </c>
      <c r="D15" s="320" t="s">
        <v>711</v>
      </c>
      <c r="E15" s="320" t="s">
        <v>712</v>
      </c>
      <c r="F15" s="321">
        <f>'数据-取费表'!B33</f>
        <v>0</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t="e">
        <f ca="1">ROUND(J17+J22+J23+J24,0)</f>
        <v>#VALUE!</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ROUND(J6*M18/(1+'数据-取费表'!C42),0)</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ROUND(J14*M22,0)</f>
        <v>#VALUE!</v>
      </c>
      <c r="K22" s="1343" t="s">
        <v>739</v>
      </c>
      <c r="L22" s="302" t="s">
        <v>712</v>
      </c>
      <c r="M22" s="328">
        <f ca="1">INDIRECT("'数据-取费表'!Ak"&amp;$G$1)</f>
        <v>0</v>
      </c>
    </row>
    <row r="23" spans="1:37" s="1396" customFormat="1" ht="18" customHeight="1">
      <c r="A23" s="981"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5"/>
      <c r="H23" s="981" t="s">
        <v>437</v>
      </c>
      <c r="I23" s="302" t="s">
        <v>742</v>
      </c>
      <c r="J23" s="21" t="e">
        <f ca="1">ROUND(J13*M23,0)</f>
        <v>#VALUE!</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#VALUE!</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#VALUE!</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#VALUE!</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0</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t="e">
        <f ca="1">ROUND(C29*F36,0)</f>
        <v>#VALUE!</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t="e">
        <f ca="1">ROUND(C13*F37,0)</f>
        <v>#VALUE!</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t="e">
        <f ca="1">C5-C30</f>
        <v>#VALUE!</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#VALUE!</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#VALUE!</v>
      </c>
      <c r="D45" s="3431" t="s">
        <v>3357</v>
      </c>
      <c r="E45" s="1399"/>
      <c r="F45" s="1399"/>
      <c r="O45" s="1402" t="s">
        <v>808</v>
      </c>
      <c r="P45" s="1460"/>
      <c r="Q45" s="1460"/>
      <c r="R45" s="1460"/>
    </row>
    <row r="46" spans="1:18" s="1383" customFormat="1" ht="13.5" thickBot="1">
      <c r="A46" s="1403" t="s">
        <v>809</v>
      </c>
      <c r="C46" s="1404" t="e">
        <f ca="1">ROUND(C45,0)</f>
        <v>#VALUE!</v>
      </c>
      <c r="D46" s="1405" t="str">
        <f>C2</f>
        <v>万元</v>
      </c>
      <c r="I46" s="1406" t="s">
        <v>810</v>
      </c>
      <c r="J46" s="1407"/>
      <c r="K46" s="1408"/>
      <c r="L46" s="1409" t="e">
        <f ca="1">IF(M47="住宅",0,IF(L48&gt;J51,L60,J60))</f>
        <v>#VALUE!</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#VALUE!</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#VALUE!</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t="e">
        <f ca="1">C29</f>
        <v>#VALUE!</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t="e">
        <f ca="1">ROUND(-PV(INDIRECT("'数据-取费表'!h"&amp;$G$1),J51,(C39-C13*C76),0),0)</f>
        <v>#VALUE!</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98" t="s">
        <v>837</v>
      </c>
      <c r="L53" s="3799"/>
      <c r="O53" s="1417" t="s">
        <v>409</v>
      </c>
      <c r="P53" s="1418" t="s">
        <v>838</v>
      </c>
      <c r="Q53" s="1419" t="e">
        <f ca="1">Q47+Q48</f>
        <v>#VALUE!</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#VALUE!</v>
      </c>
      <c r="D56" s="1446"/>
      <c r="E56" s="1447"/>
      <c r="F56" s="1439"/>
      <c r="I56" s="1448" t="s">
        <v>842</v>
      </c>
      <c r="J56" s="1449"/>
      <c r="K56" s="1420" t="s">
        <v>843</v>
      </c>
      <c r="L56" s="1423">
        <f ca="1">IF(L48&lt;J51,"——",L48-J51)</f>
        <v>0</v>
      </c>
      <c r="O56" s="1417" t="s">
        <v>403</v>
      </c>
      <c r="P56" s="1418" t="s">
        <v>817</v>
      </c>
      <c r="Q56" s="1419" t="e">
        <f ca="1">C40+J29</f>
        <v>#VALUE!</v>
      </c>
      <c r="R56" s="1419" t="s">
        <v>818</v>
      </c>
    </row>
    <row r="57" spans="1:18" s="1383" customFormat="1" ht="24.75" thickBot="1">
      <c r="A57" s="1450"/>
      <c r="B57" s="949" t="s">
        <v>767</v>
      </c>
      <c r="C57" s="238" t="e">
        <f ca="1">C29</f>
        <v>#VALUE!</v>
      </c>
      <c r="D57" s="1451"/>
      <c r="E57" s="1452"/>
      <c r="F57" s="1453"/>
      <c r="I57" s="1454" t="s">
        <v>844</v>
      </c>
      <c r="J57" s="1455">
        <f ca="1">IF(OR(M47="住宅",J51&lt;L48,J56="是"),"——",J51-L48)</f>
        <v>0</v>
      </c>
      <c r="K57" s="1420" t="s">
        <v>892</v>
      </c>
      <c r="L57" s="1423" t="e">
        <f ca="1">IF(L48&lt;J51,"——",IF(L55="比较法",L49,IF(L55="基准地价",L50,L51)))</f>
        <v>#VALUE!</v>
      </c>
      <c r="O57" s="1417" t="s">
        <v>404</v>
      </c>
      <c r="P57" s="1418" t="s">
        <v>893</v>
      </c>
      <c r="Q57" s="1419" t="e">
        <f ca="1">L60</f>
        <v>#VALUE!</v>
      </c>
      <c r="R57" s="1419" t="s">
        <v>894</v>
      </c>
    </row>
    <row r="58" spans="1:18" s="1383" customFormat="1" ht="24.75" thickBot="1">
      <c r="A58" s="315" t="s">
        <v>393</v>
      </c>
      <c r="B58" s="957" t="s">
        <v>714</v>
      </c>
      <c r="C58" s="316" t="e">
        <f ca="1">ROUND(C59+C64+C65+C66,0)</f>
        <v>#VALUE!</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#VALUE!</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0</v>
      </c>
      <c r="I60" s="1457" t="s">
        <v>853</v>
      </c>
      <c r="J60" s="1458" t="e">
        <f ca="1">IF(OR(M47="住宅",J51&lt;L48,J56="是"),"0",ROUND(J59/(1+J52)^J53,0))</f>
        <v>#VALUE!</v>
      </c>
      <c r="K60" s="1459" t="s">
        <v>854</v>
      </c>
      <c r="L60" s="1458" t="e">
        <f ca="1">IF(OR(M47="住宅",L48&lt;J51),0,ROUND(L57*(L58/L59-1),0))</f>
        <v>#VALUE!</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#VALUE!</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#VALUE!</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#VALUE!</v>
      </c>
      <c r="D65" s="963" t="s">
        <v>743</v>
      </c>
      <c r="E65" s="949" t="s">
        <v>744</v>
      </c>
      <c r="F65" s="330">
        <f t="shared" ca="1" si="0"/>
        <v>0</v>
      </c>
      <c r="I65" s="1461" t="s">
        <v>867</v>
      </c>
      <c r="J65" s="1462">
        <v>40</v>
      </c>
      <c r="K65" s="1462">
        <v>30</v>
      </c>
      <c r="L65" s="1462">
        <v>50</v>
      </c>
      <c r="M65" s="1464">
        <v>0.02</v>
      </c>
      <c r="O65" s="1417" t="s">
        <v>403</v>
      </c>
      <c r="P65" s="1418" t="s">
        <v>868</v>
      </c>
      <c r="Q65" s="1419" t="e">
        <f ca="1">C40+J29</f>
        <v>#VALUE!</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#VALUE!</v>
      </c>
      <c r="R66" s="1419" t="s">
        <v>869</v>
      </c>
    </row>
    <row r="67" spans="1:18" s="1383" customFormat="1" ht="16.5" thickBot="1">
      <c r="A67" s="956" t="s">
        <v>394</v>
      </c>
      <c r="B67" s="966" t="s">
        <v>752</v>
      </c>
      <c r="C67" s="316" t="e">
        <f ca="1">C48-C58</f>
        <v>#VALUE!</v>
      </c>
      <c r="D67" s="962" t="s">
        <v>753</v>
      </c>
      <c r="E67" s="967"/>
      <c r="F67" s="968"/>
      <c r="O67" s="1427" t="s">
        <v>405</v>
      </c>
      <c r="P67" s="1418" t="s">
        <v>850</v>
      </c>
      <c r="Q67" s="1465" t="e">
        <f ca="1">L51</f>
        <v>#VALUE!</v>
      </c>
      <c r="R67" s="1419" t="s">
        <v>870</v>
      </c>
    </row>
    <row r="68" spans="1:18" s="1383" customFormat="1" ht="16.5" thickBot="1">
      <c r="A68" s="946" t="s">
        <v>395</v>
      </c>
      <c r="B68" s="947" t="s">
        <v>774</v>
      </c>
      <c r="C68" s="301" t="e">
        <f ca="1">ROUND(C67*(1-((1+F70)/(1+F68))^F69)/(F68-F70),0)</f>
        <v>#VALUE!</v>
      </c>
      <c r="D68" s="964" t="s">
        <v>758</v>
      </c>
      <c r="E68" s="949" t="s">
        <v>759</v>
      </c>
      <c r="F68" s="312">
        <f ca="1">F40</f>
        <v>0</v>
      </c>
      <c r="O68" s="1427" t="s">
        <v>406</v>
      </c>
      <c r="P68" s="1466" t="s">
        <v>871</v>
      </c>
      <c r="Q68" s="1419" t="e">
        <f ca="1">ROUND(Q69-Q70*Q71,0)</f>
        <v>#VALUE!</v>
      </c>
      <c r="R68" s="1419" t="s">
        <v>414</v>
      </c>
    </row>
    <row r="69" spans="1:18" s="1383" customFormat="1" ht="13.5" thickBot="1">
      <c r="A69" s="950"/>
      <c r="B69" s="951"/>
      <c r="C69" s="306"/>
      <c r="D69" s="969" t="s">
        <v>762</v>
      </c>
      <c r="E69" s="949" t="s">
        <v>763</v>
      </c>
      <c r="F69" s="333">
        <f ca="1">F41</f>
        <v>0</v>
      </c>
      <c r="O69" s="1427" t="s">
        <v>411</v>
      </c>
      <c r="P69" s="1466" t="s">
        <v>872</v>
      </c>
      <c r="Q69" s="1419" t="e">
        <f ca="1">C39</f>
        <v>#VALUE!</v>
      </c>
      <c r="R69" s="1419" t="s">
        <v>818</v>
      </c>
    </row>
    <row r="70" spans="1:18" s="1383" customFormat="1" ht="13.5" thickBot="1">
      <c r="A70" s="953"/>
      <c r="B70" s="954"/>
      <c r="C70" s="310"/>
      <c r="D70" s="965"/>
      <c r="E70" s="949" t="s">
        <v>766</v>
      </c>
      <c r="F70" s="1053"/>
      <c r="O70" s="1427" t="s">
        <v>412</v>
      </c>
      <c r="P70" s="1466" t="s">
        <v>873</v>
      </c>
      <c r="Q70" s="1419" t="e">
        <f ca="1">C13</f>
        <v>#VALUE!</v>
      </c>
      <c r="R70" s="1419" t="s">
        <v>818</v>
      </c>
    </row>
    <row r="71" spans="1:18" s="1383" customFormat="1" ht="13.5" thickBot="1">
      <c r="A71" s="970" t="s">
        <v>396</v>
      </c>
      <c r="B71" s="971" t="s">
        <v>776</v>
      </c>
      <c r="C71" s="336" t="e">
        <f ca="1">ROUND(C68/F71,0)</f>
        <v>#VALUE!</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t="e">
        <f ca="1">ROUND(C13*C76,0)</f>
        <v>#VALUE!</v>
      </c>
      <c r="D75" s="1383"/>
      <c r="E75" s="1383"/>
      <c r="F75" s="1383"/>
      <c r="K75" s="1401"/>
      <c r="L75" s="1383"/>
      <c r="O75" s="1417" t="s">
        <v>409</v>
      </c>
      <c r="P75" s="1418" t="s">
        <v>838</v>
      </c>
      <c r="Q75" s="1419" t="e">
        <f ca="1">Q65+Q66</f>
        <v>#VALUE!</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8.875" defaultRowHeight="13.3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875" style="3001" customWidth="1"/>
    <col min="11" max="11" width="11.875" style="3001" customWidth="1"/>
    <col min="12" max="13" width="10.8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875" style="2841" customWidth="1"/>
    <col min="267" max="267" width="11.875" style="2841" customWidth="1"/>
    <col min="268" max="269" width="10.8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875" style="2841" customWidth="1"/>
    <col min="523" max="523" width="11.875" style="2841" customWidth="1"/>
    <col min="524" max="525" width="10.8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875" style="2841" customWidth="1"/>
    <col min="779" max="779" width="11.875" style="2841" customWidth="1"/>
    <col min="780" max="781" width="10.8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875" style="2841" customWidth="1"/>
    <col min="1035" max="1035" width="11.875" style="2841" customWidth="1"/>
    <col min="1036" max="1037" width="10.8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875" style="2841" customWidth="1"/>
    <col min="1291" max="1291" width="11.875" style="2841" customWidth="1"/>
    <col min="1292" max="1293" width="10.8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875" style="2841" customWidth="1"/>
    <col min="1547" max="1547" width="11.875" style="2841" customWidth="1"/>
    <col min="1548" max="1549" width="10.8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875" style="2841" customWidth="1"/>
    <col min="1803" max="1803" width="11.875" style="2841" customWidth="1"/>
    <col min="1804" max="1805" width="10.8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875" style="2841" customWidth="1"/>
    <col min="2059" max="2059" width="11.875" style="2841" customWidth="1"/>
    <col min="2060" max="2061" width="10.8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875" style="2841" customWidth="1"/>
    <col min="2315" max="2315" width="11.875" style="2841" customWidth="1"/>
    <col min="2316" max="2317" width="10.8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875" style="2841" customWidth="1"/>
    <col min="2571" max="2571" width="11.875" style="2841" customWidth="1"/>
    <col min="2572" max="2573" width="10.8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875" style="2841" customWidth="1"/>
    <col min="2827" max="2827" width="11.875" style="2841" customWidth="1"/>
    <col min="2828" max="2829" width="10.8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875" style="2841" customWidth="1"/>
    <col min="3083" max="3083" width="11.875" style="2841" customWidth="1"/>
    <col min="3084" max="3085" width="10.8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875" style="2841" customWidth="1"/>
    <col min="3339" max="3339" width="11.875" style="2841" customWidth="1"/>
    <col min="3340" max="3341" width="10.8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875" style="2841" customWidth="1"/>
    <col min="3595" max="3595" width="11.875" style="2841" customWidth="1"/>
    <col min="3596" max="3597" width="10.8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875" style="2841" customWidth="1"/>
    <col min="3851" max="3851" width="11.875" style="2841" customWidth="1"/>
    <col min="3852" max="3853" width="10.8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875" style="2841" customWidth="1"/>
    <col min="4107" max="4107" width="11.875" style="2841" customWidth="1"/>
    <col min="4108" max="4109" width="10.8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875" style="2841" customWidth="1"/>
    <col min="4363" max="4363" width="11.875" style="2841" customWidth="1"/>
    <col min="4364" max="4365" width="10.8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875" style="2841" customWidth="1"/>
    <col min="4619" max="4619" width="11.875" style="2841" customWidth="1"/>
    <col min="4620" max="4621" width="10.8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875" style="2841" customWidth="1"/>
    <col min="4875" max="4875" width="11.875" style="2841" customWidth="1"/>
    <col min="4876" max="4877" width="10.8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875" style="2841" customWidth="1"/>
    <col min="5131" max="5131" width="11.875" style="2841" customWidth="1"/>
    <col min="5132" max="5133" width="10.8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875" style="2841" customWidth="1"/>
    <col min="5387" max="5387" width="11.875" style="2841" customWidth="1"/>
    <col min="5388" max="5389" width="10.8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875" style="2841" customWidth="1"/>
    <col min="5643" max="5643" width="11.875" style="2841" customWidth="1"/>
    <col min="5644" max="5645" width="10.8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875" style="2841" customWidth="1"/>
    <col min="5899" max="5899" width="11.875" style="2841" customWidth="1"/>
    <col min="5900" max="5901" width="10.8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875" style="2841" customWidth="1"/>
    <col min="6155" max="6155" width="11.875" style="2841" customWidth="1"/>
    <col min="6156" max="6157" width="10.8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875" style="2841" customWidth="1"/>
    <col min="6411" max="6411" width="11.875" style="2841" customWidth="1"/>
    <col min="6412" max="6413" width="10.8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875" style="2841" customWidth="1"/>
    <col min="6667" max="6667" width="11.875" style="2841" customWidth="1"/>
    <col min="6668" max="6669" width="10.8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875" style="2841" customWidth="1"/>
    <col min="6923" max="6923" width="11.875" style="2841" customWidth="1"/>
    <col min="6924" max="6925" width="10.8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875" style="2841" customWidth="1"/>
    <col min="7179" max="7179" width="11.875" style="2841" customWidth="1"/>
    <col min="7180" max="7181" width="10.8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875" style="2841" customWidth="1"/>
    <col min="7435" max="7435" width="11.875" style="2841" customWidth="1"/>
    <col min="7436" max="7437" width="10.8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875" style="2841" customWidth="1"/>
    <col min="7691" max="7691" width="11.875" style="2841" customWidth="1"/>
    <col min="7692" max="7693" width="10.8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875" style="2841" customWidth="1"/>
    <col min="7947" max="7947" width="11.875" style="2841" customWidth="1"/>
    <col min="7948" max="7949" width="10.8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875" style="2841" customWidth="1"/>
    <col min="8203" max="8203" width="11.875" style="2841" customWidth="1"/>
    <col min="8204" max="8205" width="10.8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875" style="2841" customWidth="1"/>
    <col min="8459" max="8459" width="11.875" style="2841" customWidth="1"/>
    <col min="8460" max="8461" width="10.8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875" style="2841" customWidth="1"/>
    <col min="8715" max="8715" width="11.875" style="2841" customWidth="1"/>
    <col min="8716" max="8717" width="10.8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875" style="2841" customWidth="1"/>
    <col min="8971" max="8971" width="11.875" style="2841" customWidth="1"/>
    <col min="8972" max="8973" width="10.8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875" style="2841" customWidth="1"/>
    <col min="9227" max="9227" width="11.875" style="2841" customWidth="1"/>
    <col min="9228" max="9229" width="10.8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875" style="2841" customWidth="1"/>
    <col min="9483" max="9483" width="11.875" style="2841" customWidth="1"/>
    <col min="9484" max="9485" width="10.8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875" style="2841" customWidth="1"/>
    <col min="9739" max="9739" width="11.875" style="2841" customWidth="1"/>
    <col min="9740" max="9741" width="10.8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875" style="2841" customWidth="1"/>
    <col min="9995" max="9995" width="11.875" style="2841" customWidth="1"/>
    <col min="9996" max="9997" width="10.8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875" style="2841" customWidth="1"/>
    <col min="10251" max="10251" width="11.875" style="2841" customWidth="1"/>
    <col min="10252" max="10253" width="10.8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875" style="2841" customWidth="1"/>
    <col min="10507" max="10507" width="11.875" style="2841" customWidth="1"/>
    <col min="10508" max="10509" width="10.8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875" style="2841" customWidth="1"/>
    <col min="10763" max="10763" width="11.875" style="2841" customWidth="1"/>
    <col min="10764" max="10765" width="10.8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875" style="2841" customWidth="1"/>
    <col min="11019" max="11019" width="11.875" style="2841" customWidth="1"/>
    <col min="11020" max="11021" width="10.8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875" style="2841" customWidth="1"/>
    <col min="11275" max="11275" width="11.875" style="2841" customWidth="1"/>
    <col min="11276" max="11277" width="10.8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875" style="2841" customWidth="1"/>
    <col min="11531" max="11531" width="11.875" style="2841" customWidth="1"/>
    <col min="11532" max="11533" width="10.8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875" style="2841" customWidth="1"/>
    <col min="11787" max="11787" width="11.875" style="2841" customWidth="1"/>
    <col min="11788" max="11789" width="10.8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875" style="2841" customWidth="1"/>
    <col min="12043" max="12043" width="11.875" style="2841" customWidth="1"/>
    <col min="12044" max="12045" width="10.8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875" style="2841" customWidth="1"/>
    <col min="12299" max="12299" width="11.875" style="2841" customWidth="1"/>
    <col min="12300" max="12301" width="10.8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875" style="2841" customWidth="1"/>
    <col min="12555" max="12555" width="11.875" style="2841" customWidth="1"/>
    <col min="12556" max="12557" width="10.8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875" style="2841" customWidth="1"/>
    <col min="12811" max="12811" width="11.875" style="2841" customWidth="1"/>
    <col min="12812" max="12813" width="10.8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875" style="2841" customWidth="1"/>
    <col min="13067" max="13067" width="11.875" style="2841" customWidth="1"/>
    <col min="13068" max="13069" width="10.8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875" style="2841" customWidth="1"/>
    <col min="13323" max="13323" width="11.875" style="2841" customWidth="1"/>
    <col min="13324" max="13325" width="10.8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875" style="2841" customWidth="1"/>
    <col min="13579" max="13579" width="11.875" style="2841" customWidth="1"/>
    <col min="13580" max="13581" width="10.8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875" style="2841" customWidth="1"/>
    <col min="13835" max="13835" width="11.875" style="2841" customWidth="1"/>
    <col min="13836" max="13837" width="10.8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875" style="2841" customWidth="1"/>
    <col min="14091" max="14091" width="11.875" style="2841" customWidth="1"/>
    <col min="14092" max="14093" width="10.8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875" style="2841" customWidth="1"/>
    <col min="14347" max="14347" width="11.875" style="2841" customWidth="1"/>
    <col min="14348" max="14349" width="10.8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875" style="2841" customWidth="1"/>
    <col min="14603" max="14603" width="11.875" style="2841" customWidth="1"/>
    <col min="14604" max="14605" width="10.8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875" style="2841" customWidth="1"/>
    <col min="14859" max="14859" width="11.875" style="2841" customWidth="1"/>
    <col min="14860" max="14861" width="10.8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875" style="2841" customWidth="1"/>
    <col min="15115" max="15115" width="11.875" style="2841" customWidth="1"/>
    <col min="15116" max="15117" width="10.8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875" style="2841" customWidth="1"/>
    <col min="15371" max="15371" width="11.875" style="2841" customWidth="1"/>
    <col min="15372" max="15373" width="10.8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875" style="2841" customWidth="1"/>
    <col min="15627" max="15627" width="11.875" style="2841" customWidth="1"/>
    <col min="15628" max="15629" width="10.8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875" style="2841" customWidth="1"/>
    <col min="15883" max="15883" width="11.875" style="2841" customWidth="1"/>
    <col min="15884" max="15885" width="10.8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875" style="2841" customWidth="1"/>
    <col min="16139" max="16139" width="11.875" style="2841" customWidth="1"/>
    <col min="16140" max="16141" width="10.8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35" customHeight="1">
      <c r="A2" s="1384" t="s">
        <v>2319</v>
      </c>
      <c r="B2" s="2842" t="e">
        <f>IF(D2="——",C40,C40+E2)</f>
        <v>#DIV/0!</v>
      </c>
      <c r="C2" s="2843" t="s">
        <v>2320</v>
      </c>
      <c r="D2" s="3442" t="s">
        <v>3362</v>
      </c>
      <c r="E2" s="3443"/>
      <c r="F2" s="2845"/>
      <c r="G2" s="2846"/>
      <c r="H2" s="2847"/>
      <c r="I2" s="2848"/>
      <c r="J2" s="3809" t="s">
        <v>2321</v>
      </c>
      <c r="K2" s="3810"/>
      <c r="L2" s="2849" t="s">
        <v>2322</v>
      </c>
      <c r="M2" s="2849" t="s">
        <v>2323</v>
      </c>
      <c r="N2" s="2849" t="s">
        <v>2324</v>
      </c>
      <c r="O2" s="2849" t="s">
        <v>2325</v>
      </c>
      <c r="P2" s="2849" t="s">
        <v>2326</v>
      </c>
      <c r="Q2" s="2850" t="s">
        <v>2327</v>
      </c>
      <c r="R2" s="2851" t="s">
        <v>2328</v>
      </c>
      <c r="S2" s="2840"/>
      <c r="T2" s="2840"/>
      <c r="U2" s="2840"/>
      <c r="V2" s="2848"/>
    </row>
    <row r="3" spans="1:22" s="2852" customFormat="1" ht="13.35" customHeight="1">
      <c r="A3" s="2853" t="s">
        <v>2329</v>
      </c>
      <c r="B3" s="2854" t="e">
        <f>ROUND(B2*10000/B4,0)</f>
        <v>#DIV/0!</v>
      </c>
      <c r="C3" s="2843" t="s">
        <v>2330</v>
      </c>
      <c r="D3" s="2843"/>
      <c r="E3" s="2844"/>
      <c r="F3" s="2845"/>
      <c r="G3" s="2846"/>
      <c r="H3" s="2847"/>
      <c r="I3" s="2848"/>
      <c r="J3" s="3811" t="s">
        <v>2331</v>
      </c>
      <c r="K3" s="3812"/>
      <c r="L3" s="2855"/>
      <c r="M3" s="2855"/>
      <c r="N3" s="2855"/>
      <c r="O3" s="2855"/>
      <c r="P3" s="2855"/>
      <c r="Q3" s="2856"/>
      <c r="R3" s="2857">
        <f>SUM(L3:Q3)</f>
        <v>0</v>
      </c>
      <c r="S3" s="2840"/>
      <c r="T3" s="2840"/>
      <c r="U3" s="2840"/>
      <c r="V3" s="2848"/>
    </row>
    <row r="4" spans="1:22" s="2852" customFormat="1" ht="13.35" customHeight="1">
      <c r="A4" s="2858" t="s">
        <v>2332</v>
      </c>
      <c r="B4" s="2859"/>
      <c r="C4" s="2843"/>
      <c r="D4" s="2843"/>
      <c r="E4" s="2844"/>
      <c r="F4" s="2845"/>
      <c r="G4" s="2846"/>
      <c r="H4" s="2847"/>
      <c r="I4" s="2848"/>
      <c r="J4" s="3811" t="s">
        <v>2333</v>
      </c>
      <c r="K4" s="3812"/>
      <c r="L4" s="2860"/>
      <c r="M4" s="2860"/>
      <c r="N4" s="2860"/>
      <c r="O4" s="2860"/>
      <c r="P4" s="2860"/>
      <c r="Q4" s="2861"/>
      <c r="R4" s="2862">
        <f>SUM(L4:Q4)</f>
        <v>0</v>
      </c>
      <c r="S4" s="2840"/>
      <c r="T4" s="2840"/>
      <c r="U4" s="2840"/>
      <c r="V4" s="2848"/>
    </row>
    <row r="5" spans="1:22" s="2852" customFormat="1" ht="13.3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35" customHeight="1" thickBot="1">
      <c r="A6" s="3817" t="s">
        <v>2337</v>
      </c>
      <c r="B6" s="3818"/>
      <c r="C6" s="3819"/>
      <c r="D6" s="2869"/>
      <c r="E6" s="2870"/>
      <c r="F6" s="2871"/>
      <c r="G6" s="2872"/>
      <c r="H6" s="2847"/>
      <c r="I6" s="2848"/>
      <c r="J6" s="3803">
        <v>1</v>
      </c>
      <c r="K6" s="3804"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35" customHeight="1">
      <c r="A7" s="2875" t="s">
        <v>2347</v>
      </c>
      <c r="B7" s="2876"/>
      <c r="C7" s="2877"/>
      <c r="D7" s="2878">
        <f>SUM(D9,D10,D11,D17,0)</f>
        <v>0</v>
      </c>
      <c r="E7" s="2879" t="e">
        <f>E9+E10+E11+E17</f>
        <v>#DIV/0!</v>
      </c>
      <c r="F7" s="2880"/>
      <c r="G7" s="2881"/>
      <c r="H7" s="2847"/>
      <c r="I7" s="2848"/>
      <c r="J7" s="3803"/>
      <c r="K7" s="3805"/>
      <c r="L7" s="2882" t="s">
        <v>2348</v>
      </c>
      <c r="M7" s="2883"/>
      <c r="N7" s="2859"/>
      <c r="O7" s="2884"/>
      <c r="P7" s="2884"/>
      <c r="Q7" s="2885">
        <v>365</v>
      </c>
      <c r="R7" s="2886">
        <f>ROUND(M7*N7*O7*P7*Q7/10000,0)</f>
        <v>0</v>
      </c>
      <c r="S7" s="2840"/>
      <c r="T7" s="2840" t="s">
        <v>2349</v>
      </c>
      <c r="U7" s="2840"/>
      <c r="V7" s="2848"/>
    </row>
    <row r="8" spans="1:22" s="2852" customFormat="1" ht="13.35" customHeight="1">
      <c r="A8" s="2887" t="s">
        <v>2350</v>
      </c>
      <c r="B8" s="3820" t="s">
        <v>2351</v>
      </c>
      <c r="C8" s="3821"/>
      <c r="D8" s="2888" t="s">
        <v>2352</v>
      </c>
      <c r="E8" s="2889" t="s">
        <v>2353</v>
      </c>
      <c r="F8" s="2890" t="s">
        <v>2354</v>
      </c>
      <c r="G8" s="2891"/>
      <c r="H8" s="2847"/>
      <c r="I8" s="2848"/>
      <c r="J8" s="3803"/>
      <c r="K8" s="3805"/>
      <c r="L8" s="2882" t="s">
        <v>2355</v>
      </c>
      <c r="M8" s="2883"/>
      <c r="N8" s="2859"/>
      <c r="O8" s="2884"/>
      <c r="P8" s="2884"/>
      <c r="Q8" s="2885">
        <v>365</v>
      </c>
      <c r="R8" s="2886">
        <f t="shared" ref="R8:R13" si="0">ROUND(M8*N8*O8*P8*Q8/10000,0)</f>
        <v>0</v>
      </c>
      <c r="S8" s="2840"/>
      <c r="T8" s="2840" t="s">
        <v>2356</v>
      </c>
      <c r="U8" s="2840"/>
      <c r="V8" s="2848"/>
    </row>
    <row r="9" spans="1:22" s="2852" customFormat="1" ht="13.35" customHeight="1">
      <c r="A9" s="2887">
        <v>1</v>
      </c>
      <c r="B9" s="3820" t="s">
        <v>2357</v>
      </c>
      <c r="C9" s="3821"/>
      <c r="D9" s="2888">
        <f>ROUND(D6*E9,0)</f>
        <v>0</v>
      </c>
      <c r="E9" s="2892"/>
      <c r="F9" s="2893" t="s">
        <v>2358</v>
      </c>
      <c r="G9" s="2872"/>
      <c r="H9" s="2847"/>
      <c r="I9" s="2848"/>
      <c r="J9" s="3803"/>
      <c r="K9" s="3805"/>
      <c r="L9" s="2882" t="s">
        <v>2359</v>
      </c>
      <c r="M9" s="2883"/>
      <c r="N9" s="2859"/>
      <c r="O9" s="2884"/>
      <c r="P9" s="2884"/>
      <c r="Q9" s="2885">
        <v>365</v>
      </c>
      <c r="R9" s="2886">
        <f t="shared" si="0"/>
        <v>0</v>
      </c>
      <c r="S9" s="2840"/>
      <c r="T9" s="2840"/>
      <c r="U9" s="2840"/>
      <c r="V9" s="2848"/>
    </row>
    <row r="10" spans="1:22" s="2852" customFormat="1" ht="13.35" customHeight="1">
      <c r="A10" s="2887">
        <v>2</v>
      </c>
      <c r="B10" s="3820" t="s">
        <v>2360</v>
      </c>
      <c r="C10" s="3821"/>
      <c r="D10" s="2888">
        <f>ROUND(D6*E10,0)</f>
        <v>0</v>
      </c>
      <c r="E10" s="2892"/>
      <c r="F10" s="2893" t="s">
        <v>2361</v>
      </c>
      <c r="G10" s="2872"/>
      <c r="H10" s="2847"/>
      <c r="I10" s="2848"/>
      <c r="J10" s="3803"/>
      <c r="K10" s="3805"/>
      <c r="L10" s="2882" t="s">
        <v>2362</v>
      </c>
      <c r="M10" s="2883"/>
      <c r="N10" s="2859"/>
      <c r="O10" s="2884"/>
      <c r="P10" s="2884"/>
      <c r="Q10" s="2885">
        <v>365</v>
      </c>
      <c r="R10" s="2886">
        <f t="shared" si="0"/>
        <v>0</v>
      </c>
      <c r="S10" s="2840"/>
      <c r="T10" s="2840"/>
      <c r="U10" s="2840"/>
      <c r="V10" s="2848"/>
    </row>
    <row r="11" spans="1:22" s="2852" customFormat="1" ht="13.35" customHeight="1">
      <c r="A11" s="2887">
        <v>3</v>
      </c>
      <c r="B11" s="3820" t="s">
        <v>2363</v>
      </c>
      <c r="C11" s="3821"/>
      <c r="D11" s="2888">
        <f>D12+D14+D15+D16</f>
        <v>0</v>
      </c>
      <c r="E11" s="2894" t="e">
        <f>D11/D6</f>
        <v>#DIV/0!</v>
      </c>
      <c r="F11" s="2890"/>
      <c r="G11" s="2891"/>
      <c r="H11" s="2847"/>
      <c r="I11" s="2848"/>
      <c r="J11" s="3803"/>
      <c r="K11" s="3805"/>
      <c r="L11" s="2882" t="s">
        <v>2364</v>
      </c>
      <c r="M11" s="2883"/>
      <c r="N11" s="2859"/>
      <c r="O11" s="2884"/>
      <c r="P11" s="2884"/>
      <c r="Q11" s="2885">
        <v>365</v>
      </c>
      <c r="R11" s="2886">
        <f t="shared" si="0"/>
        <v>0</v>
      </c>
      <c r="S11" s="2840"/>
      <c r="T11" s="2840"/>
      <c r="U11" s="2840"/>
      <c r="V11" s="2848"/>
    </row>
    <row r="12" spans="1:22" s="2852" customFormat="1" ht="13.35" customHeight="1">
      <c r="A12" s="2895" t="s">
        <v>2365</v>
      </c>
      <c r="B12" s="3813" t="s">
        <v>2366</v>
      </c>
      <c r="C12" s="3814"/>
      <c r="D12" s="2896">
        <f>ROUND(D13*1.2%*(1-30%),0)</f>
        <v>0</v>
      </c>
      <c r="E12" s="2897">
        <v>1.2E-2</v>
      </c>
      <c r="F12" s="2890" t="s">
        <v>2367</v>
      </c>
      <c r="G12" s="2891"/>
      <c r="H12" s="2847"/>
      <c r="I12" s="2848"/>
      <c r="J12" s="3803"/>
      <c r="K12" s="3805"/>
      <c r="L12" s="2882" t="s">
        <v>2368</v>
      </c>
      <c r="M12" s="2883"/>
      <c r="N12" s="2859"/>
      <c r="O12" s="2884"/>
      <c r="P12" s="2884"/>
      <c r="Q12" s="2885">
        <v>365</v>
      </c>
      <c r="R12" s="2886">
        <f t="shared" si="0"/>
        <v>0</v>
      </c>
      <c r="S12" s="2840"/>
      <c r="T12" s="2840"/>
      <c r="U12" s="2840"/>
      <c r="V12" s="2848"/>
    </row>
    <row r="13" spans="1:22" s="2852" customFormat="1" ht="13.35" customHeight="1">
      <c r="A13" s="2895"/>
      <c r="B13" s="2898"/>
      <c r="C13" s="2899" t="s">
        <v>2369</v>
      </c>
      <c r="D13" s="2900"/>
      <c r="E13" s="2901"/>
      <c r="F13" s="2890"/>
      <c r="G13" s="2891"/>
      <c r="H13" s="2847"/>
      <c r="I13" s="2848"/>
      <c r="J13" s="3803"/>
      <c r="K13" s="3805"/>
      <c r="L13" s="2882" t="s">
        <v>2370</v>
      </c>
      <c r="M13" s="2883"/>
      <c r="N13" s="2859"/>
      <c r="O13" s="2884"/>
      <c r="P13" s="2884"/>
      <c r="Q13" s="2885">
        <v>365</v>
      </c>
      <c r="R13" s="2886">
        <f t="shared" si="0"/>
        <v>0</v>
      </c>
      <c r="S13" s="2840"/>
      <c r="T13" s="2840"/>
      <c r="U13" s="2840"/>
      <c r="V13" s="2848"/>
    </row>
    <row r="14" spans="1:22" s="2852" customFormat="1" ht="13.35" customHeight="1">
      <c r="A14" s="2895" t="s">
        <v>2371</v>
      </c>
      <c r="B14" s="3813" t="s">
        <v>2372</v>
      </c>
      <c r="C14" s="3814"/>
      <c r="D14" s="2896">
        <f>ROUND(E14*B5/10000,0)</f>
        <v>0</v>
      </c>
      <c r="E14" s="2885"/>
      <c r="F14" s="2890" t="s">
        <v>2373</v>
      </c>
      <c r="G14" s="2891"/>
      <c r="H14" s="2847"/>
      <c r="I14" s="2848"/>
      <c r="J14" s="3803"/>
      <c r="K14" s="3806"/>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35" customHeight="1">
      <c r="A15" s="2895" t="s">
        <v>2375</v>
      </c>
      <c r="B15" s="3813" t="s">
        <v>2376</v>
      </c>
      <c r="C15" s="3814"/>
      <c r="D15" s="2896">
        <f>ROUND(D6*E15,0)</f>
        <v>0</v>
      </c>
      <c r="E15" s="2897">
        <v>5.5E-2</v>
      </c>
      <c r="F15" s="2890" t="s">
        <v>2377</v>
      </c>
      <c r="G15" s="2872"/>
      <c r="H15" s="2847"/>
      <c r="I15" s="2848"/>
      <c r="J15" s="3803">
        <v>2</v>
      </c>
      <c r="K15" s="3804"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35" customHeight="1">
      <c r="A16" s="2895" t="s">
        <v>2384</v>
      </c>
      <c r="B16" s="3813" t="s">
        <v>2385</v>
      </c>
      <c r="C16" s="3814"/>
      <c r="D16" s="2907">
        <f>D6*E16</f>
        <v>0</v>
      </c>
      <c r="E16" s="2908"/>
      <c r="F16" s="2893" t="s">
        <v>2386</v>
      </c>
      <c r="G16" s="2872"/>
      <c r="H16" s="2847"/>
      <c r="I16" s="2848"/>
      <c r="J16" s="3803"/>
      <c r="K16" s="3805"/>
      <c r="L16" s="2882" t="s">
        <v>2387</v>
      </c>
      <c r="M16" s="2883"/>
      <c r="N16" s="2883"/>
      <c r="O16" s="2884"/>
      <c r="P16" s="2885">
        <v>365</v>
      </c>
      <c r="Q16" s="2859"/>
      <c r="R16" s="2906">
        <f>ROUND(M16*N16*O16*P16/10000,0)</f>
        <v>0</v>
      </c>
      <c r="S16" s="2840"/>
      <c r="T16" s="2840"/>
      <c r="U16" s="2840"/>
      <c r="V16" s="2848"/>
    </row>
    <row r="17" spans="1:22" s="2852" customFormat="1" ht="13.35" customHeight="1" thickBot="1">
      <c r="A17" s="2909">
        <v>4</v>
      </c>
      <c r="B17" s="3815" t="s">
        <v>2388</v>
      </c>
      <c r="C17" s="3816"/>
      <c r="D17" s="2910">
        <f>ROUND(D6*E17,0)</f>
        <v>0</v>
      </c>
      <c r="E17" s="2911"/>
      <c r="F17" s="2912" t="s">
        <v>2389</v>
      </c>
      <c r="G17" s="2872"/>
      <c r="H17" s="2847"/>
      <c r="I17" s="2848"/>
      <c r="J17" s="3803"/>
      <c r="K17" s="3805"/>
      <c r="L17" s="2882" t="s">
        <v>2390</v>
      </c>
      <c r="M17" s="2883"/>
      <c r="N17" s="2883"/>
      <c r="O17" s="2884"/>
      <c r="P17" s="2885">
        <v>365</v>
      </c>
      <c r="Q17" s="2859"/>
      <c r="R17" s="2906">
        <f>ROUND(M17*N17*O17*P17/10000,0)</f>
        <v>0</v>
      </c>
      <c r="S17" s="2840"/>
      <c r="T17" s="2840"/>
      <c r="U17" s="2840"/>
      <c r="V17" s="2848"/>
    </row>
    <row r="18" spans="1:22" s="2852" customFormat="1" ht="13.35" customHeight="1" thickBot="1">
      <c r="A18" s="2875" t="s">
        <v>2391</v>
      </c>
      <c r="B18" s="2876"/>
      <c r="C18" s="2876"/>
      <c r="D18" s="2913">
        <f>ROUND(D6*E18,0)</f>
        <v>0</v>
      </c>
      <c r="E18" s="2914"/>
      <c r="F18" s="2915" t="s">
        <v>2392</v>
      </c>
      <c r="G18" s="2872"/>
      <c r="H18" s="2847"/>
      <c r="I18" s="2848"/>
      <c r="J18" s="3803"/>
      <c r="K18" s="3805"/>
      <c r="L18" s="2882" t="s">
        <v>2393</v>
      </c>
      <c r="M18" s="2883"/>
      <c r="N18" s="2883"/>
      <c r="O18" s="2884"/>
      <c r="P18" s="2885">
        <v>365</v>
      </c>
      <c r="Q18" s="2859"/>
      <c r="R18" s="2906">
        <f>ROUND(M18*N18*O18*P18/10000,0)</f>
        <v>0</v>
      </c>
      <c r="S18" s="2840"/>
      <c r="T18" s="2840"/>
      <c r="U18" s="2840"/>
      <c r="V18" s="2848"/>
    </row>
    <row r="19" spans="1:22" s="2852" customFormat="1" ht="13.35" customHeight="1" thickBot="1">
      <c r="A19" s="2916" t="s">
        <v>2394</v>
      </c>
      <c r="B19" s="2870"/>
      <c r="C19" s="2870"/>
      <c r="D19" s="2870"/>
      <c r="E19" s="2870"/>
      <c r="F19" s="2871"/>
      <c r="G19" s="2891"/>
      <c r="H19" s="2847"/>
      <c r="I19" s="2848"/>
      <c r="J19" s="3803"/>
      <c r="K19" s="3806"/>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35" customHeight="1">
      <c r="A20" s="2875"/>
      <c r="B20" s="2876"/>
      <c r="C20" s="2876"/>
      <c r="D20" s="2876"/>
      <c r="E20" s="2876"/>
      <c r="F20" s="2919"/>
      <c r="G20" s="2891"/>
      <c r="H20" s="2847"/>
      <c r="I20" s="2848"/>
      <c r="J20" s="3803">
        <v>3</v>
      </c>
      <c r="K20" s="3804"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35" customHeight="1">
      <c r="A21" s="2875"/>
      <c r="B21" s="2876"/>
      <c r="C21" s="2922" t="s">
        <v>2403</v>
      </c>
      <c r="D21" s="2923" t="s">
        <v>2404</v>
      </c>
      <c r="E21" s="2924" t="s">
        <v>2405</v>
      </c>
      <c r="F21" s="2919"/>
      <c r="G21" s="2891"/>
      <c r="H21" s="2847"/>
      <c r="I21" s="2848"/>
      <c r="J21" s="3803"/>
      <c r="K21" s="3805"/>
      <c r="L21" s="2882" t="s">
        <v>2406</v>
      </c>
      <c r="M21" s="2883"/>
      <c r="N21" s="2883"/>
      <c r="O21" s="2884"/>
      <c r="P21" s="2885">
        <v>365</v>
      </c>
      <c r="Q21" s="2859"/>
      <c r="R21" s="2925">
        <f>ROUND(M21*N21*O21*P21/10000,0)</f>
        <v>0</v>
      </c>
      <c r="S21" s="2921"/>
      <c r="T21" s="2921"/>
      <c r="U21" s="2921"/>
      <c r="V21" s="2848"/>
    </row>
    <row r="22" spans="1:22" s="2852" customFormat="1" ht="13.35" customHeight="1">
      <c r="A22" s="2875"/>
      <c r="B22" s="2876"/>
      <c r="C22" s="2926" t="s">
        <v>2407</v>
      </c>
      <c r="D22" s="2927" t="s">
        <v>2408</v>
      </c>
      <c r="E22" s="2928" t="s">
        <v>2409</v>
      </c>
      <c r="F22" s="2919"/>
      <c r="G22" s="2929"/>
      <c r="H22" s="2847"/>
      <c r="I22" s="2848"/>
      <c r="J22" s="3803"/>
      <c r="K22" s="3805"/>
      <c r="L22" s="2882" t="s">
        <v>2410</v>
      </c>
      <c r="M22" s="2883"/>
      <c r="N22" s="2883"/>
      <c r="O22" s="2884"/>
      <c r="P22" s="2885">
        <v>365</v>
      </c>
      <c r="Q22" s="2859"/>
      <c r="R22" s="2925">
        <f>ROUND(M22*N22*O22*P22/10000,0)</f>
        <v>0</v>
      </c>
      <c r="S22" s="2921"/>
      <c r="T22" s="2921"/>
      <c r="U22" s="2921"/>
      <c r="V22" s="2848"/>
    </row>
    <row r="23" spans="1:22" s="2852" customFormat="1" ht="13.35" customHeight="1">
      <c r="A23" s="2930">
        <v>1</v>
      </c>
      <c r="B23" s="2931" t="s">
        <v>2411</v>
      </c>
      <c r="C23" s="2932">
        <f>D6</f>
        <v>0</v>
      </c>
      <c r="D23" s="2933">
        <f>C23*(1+D24)</f>
        <v>0</v>
      </c>
      <c r="E23" s="2934">
        <f>D23*(1+E24)</f>
        <v>0</v>
      </c>
      <c r="F23" s="2935"/>
      <c r="G23" s="2936"/>
      <c r="H23" s="2847"/>
      <c r="I23" s="2848"/>
      <c r="J23" s="3803"/>
      <c r="K23" s="3805"/>
      <c r="L23" s="2882" t="s">
        <v>2412</v>
      </c>
      <c r="M23" s="2883"/>
      <c r="N23" s="2883"/>
      <c r="O23" s="2884"/>
      <c r="P23" s="2885">
        <v>365</v>
      </c>
      <c r="Q23" s="2859"/>
      <c r="R23" s="2925">
        <f>ROUND(M23*N23*O23*P23/10000,0)</f>
        <v>0</v>
      </c>
      <c r="S23" s="2840"/>
      <c r="T23" s="2840"/>
      <c r="U23" s="2840"/>
      <c r="V23" s="2848"/>
    </row>
    <row r="24" spans="1:22" s="2852" customFormat="1" ht="13.35" customHeight="1">
      <c r="A24" s="2937"/>
      <c r="B24" s="2938" t="s">
        <v>2413</v>
      </c>
      <c r="C24" s="2939"/>
      <c r="D24" s="2940"/>
      <c r="E24" s="2941"/>
      <c r="F24" s="2942"/>
      <c r="G24" s="2936"/>
      <c r="H24" s="2847"/>
      <c r="I24" s="2848"/>
      <c r="J24" s="3803"/>
      <c r="K24" s="3806"/>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3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35" customHeight="1">
      <c r="A26" s="2930">
        <v>2</v>
      </c>
      <c r="B26" s="2931" t="s">
        <v>2415</v>
      </c>
      <c r="C26" s="2932">
        <f>D7</f>
        <v>0</v>
      </c>
      <c r="D26" s="2933">
        <f>D23*D27</f>
        <v>0</v>
      </c>
      <c r="E26" s="2934">
        <f>E23*E27</f>
        <v>0</v>
      </c>
      <c r="F26" s="2935"/>
      <c r="G26" s="2936"/>
      <c r="H26" s="2847"/>
      <c r="I26" s="2848"/>
      <c r="J26" s="380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35" customHeight="1">
      <c r="A27" s="2937"/>
      <c r="B27" s="2938" t="s">
        <v>2421</v>
      </c>
      <c r="C27" s="2956" t="e">
        <f>E7</f>
        <v>#DIV/0!</v>
      </c>
      <c r="D27" s="2940"/>
      <c r="E27" s="2941"/>
      <c r="F27" s="2942"/>
      <c r="G27" s="2936"/>
      <c r="H27" s="2957"/>
      <c r="I27" s="2948"/>
      <c r="J27" s="3808"/>
      <c r="K27" s="2958"/>
      <c r="L27" s="2959"/>
      <c r="M27" s="2960"/>
      <c r="N27" s="2961"/>
      <c r="O27" s="2961"/>
      <c r="P27" s="2961"/>
      <c r="Q27" s="2962"/>
      <c r="R27" s="2918">
        <f>ROUND(O27*N27*P27*(1-Q27)/10000,0)</f>
        <v>0</v>
      </c>
      <c r="S27" s="2840"/>
      <c r="T27" s="2840"/>
      <c r="U27" s="2840"/>
      <c r="V27" s="2848"/>
    </row>
    <row r="28" spans="1:22" s="2949" customFormat="1" ht="13.3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3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3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3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35" customHeight="1">
      <c r="A32" s="2930">
        <v>4</v>
      </c>
      <c r="B32" s="2931" t="s">
        <v>2429</v>
      </c>
      <c r="C32" s="2932">
        <f>C23-C26-C29</f>
        <v>0</v>
      </c>
      <c r="D32" s="2933">
        <f>D23-D26-D29</f>
        <v>0</v>
      </c>
      <c r="E32" s="2934">
        <f>E23-E26-E29</f>
        <v>0</v>
      </c>
      <c r="F32" s="2935"/>
      <c r="G32" s="2929"/>
      <c r="H32" s="2847"/>
      <c r="I32" s="2848"/>
      <c r="J32" s="3809" t="s">
        <v>2321</v>
      </c>
      <c r="K32" s="3810"/>
      <c r="L32" s="2849" t="s">
        <v>2322</v>
      </c>
      <c r="M32" s="2849" t="s">
        <v>2323</v>
      </c>
      <c r="N32" s="2849" t="s">
        <v>2324</v>
      </c>
      <c r="O32" s="2849" t="s">
        <v>2325</v>
      </c>
      <c r="P32" s="2849" t="s">
        <v>2326</v>
      </c>
      <c r="Q32" s="2850" t="s">
        <v>2327</v>
      </c>
      <c r="R32" s="2972" t="s">
        <v>2328</v>
      </c>
      <c r="S32" s="2921"/>
      <c r="T32" s="2840"/>
      <c r="U32" s="2840"/>
      <c r="V32" s="2948"/>
    </row>
    <row r="33" spans="1:23" s="2852" customFormat="1" ht="13.35" customHeight="1">
      <c r="A33" s="2930"/>
      <c r="B33" s="2931"/>
      <c r="C33" s="2932"/>
      <c r="D33" s="2973"/>
      <c r="E33" s="2974"/>
      <c r="F33" s="2935"/>
      <c r="G33" s="2929"/>
      <c r="H33" s="2957"/>
      <c r="I33" s="2948"/>
      <c r="J33" s="3811" t="s">
        <v>2331</v>
      </c>
      <c r="K33" s="3812"/>
      <c r="L33" s="2855"/>
      <c r="M33" s="2855"/>
      <c r="N33" s="2855"/>
      <c r="O33" s="2855"/>
      <c r="P33" s="2855"/>
      <c r="Q33" s="2856"/>
      <c r="R33" s="2975">
        <f>SUM(L33:Q33)</f>
        <v>0</v>
      </c>
      <c r="S33" s="2921"/>
      <c r="T33" s="2840"/>
      <c r="U33" s="2840"/>
      <c r="V33" s="2848"/>
    </row>
    <row r="34" spans="1:23" s="2852" customFormat="1" ht="13.35" customHeight="1">
      <c r="A34" s="2930">
        <v>5</v>
      </c>
      <c r="B34" s="2931" t="s">
        <v>2430</v>
      </c>
      <c r="C34" s="2976"/>
      <c r="D34" s="2977"/>
      <c r="E34" s="2978"/>
      <c r="F34" s="2935"/>
      <c r="G34" s="2929"/>
      <c r="H34" s="2957"/>
      <c r="I34" s="2948"/>
      <c r="J34" s="3811" t="s">
        <v>2333</v>
      </c>
      <c r="K34" s="3812"/>
      <c r="L34" s="2860"/>
      <c r="M34" s="2860"/>
      <c r="N34" s="2860"/>
      <c r="O34" s="2860"/>
      <c r="P34" s="2860"/>
      <c r="Q34" s="2861"/>
      <c r="R34" s="2979">
        <f>SUM(L34:Q34)</f>
        <v>0</v>
      </c>
      <c r="S34" s="2921"/>
      <c r="T34" s="2840"/>
      <c r="U34" s="2840" t="e">
        <f>ROUND(R35*10000/365/R33,1)</f>
        <v>#DIV/0!</v>
      </c>
      <c r="V34" s="2848"/>
    </row>
    <row r="35" spans="1:23" s="2852" customFormat="1" ht="13.3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35" customHeight="1" thickBot="1">
      <c r="A36" s="2930">
        <v>7</v>
      </c>
      <c r="B36" s="2985" t="s">
        <v>2432</v>
      </c>
      <c r="C36" s="2986"/>
      <c r="D36" s="2987"/>
      <c r="E36" s="2988"/>
      <c r="F36" s="2989">
        <f>C36+D36+E36</f>
        <v>0</v>
      </c>
      <c r="G36" s="2929"/>
      <c r="H36" s="2847"/>
      <c r="I36" s="2848"/>
      <c r="J36" s="3803">
        <v>1</v>
      </c>
      <c r="K36" s="3804" t="s">
        <v>2433</v>
      </c>
      <c r="L36" s="2873"/>
      <c r="M36" s="2874"/>
      <c r="N36" s="2874"/>
      <c r="O36" s="2874"/>
      <c r="P36" s="2874"/>
      <c r="Q36" s="2874"/>
      <c r="R36" s="2857" t="s">
        <v>2345</v>
      </c>
      <c r="S36" s="2921"/>
      <c r="T36" s="2840" t="s">
        <v>2346</v>
      </c>
      <c r="U36" s="2840"/>
      <c r="V36" s="2848"/>
    </row>
    <row r="37" spans="1:23" s="2852" customFormat="1" ht="13.35" customHeight="1">
      <c r="A37" s="2930"/>
      <c r="B37" s="2931"/>
      <c r="C37" s="2931"/>
      <c r="D37" s="2931"/>
      <c r="E37" s="2931"/>
      <c r="F37" s="2935"/>
      <c r="G37" s="2929"/>
      <c r="H37" s="2847"/>
      <c r="I37" s="2848"/>
      <c r="J37" s="3803"/>
      <c r="K37" s="3805"/>
      <c r="L37" s="2882"/>
      <c r="M37" s="2883"/>
      <c r="N37" s="2859"/>
      <c r="O37" s="2884"/>
      <c r="P37" s="2884"/>
      <c r="Q37" s="2885"/>
      <c r="R37" s="2886"/>
      <c r="S37" s="2921"/>
      <c r="T37" s="2840" t="s">
        <v>2349</v>
      </c>
      <c r="U37" s="2840"/>
      <c r="V37" s="2848"/>
    </row>
    <row r="38" spans="1:23" s="2852" customFormat="1" ht="13.35" customHeight="1">
      <c r="A38" s="2930">
        <v>8</v>
      </c>
      <c r="B38" s="2931"/>
      <c r="C38" s="2888" t="e">
        <f>ROUND(C32*(1-((1+C35)/(1+C34))^C36)/(C34-C35),0)</f>
        <v>#DIV/0!</v>
      </c>
      <c r="D38" s="2888">
        <f>IF(D23=0,0,ROUND(D32*(1-((1+D35)/(1+D34))^D36)/(D34-D35),0))</f>
        <v>0</v>
      </c>
      <c r="E38" s="2888">
        <f>IF(E23=0,0,ROUND(E32*(1-((1+E35)/(1+E34))^E36)/(E34-E35),0))</f>
        <v>0</v>
      </c>
      <c r="F38" s="2935"/>
      <c r="G38" s="2929"/>
      <c r="H38" s="2847"/>
      <c r="I38" s="2848"/>
      <c r="J38" s="3803"/>
      <c r="K38" s="3805"/>
      <c r="L38" s="2882"/>
      <c r="M38" s="2883"/>
      <c r="N38" s="2859"/>
      <c r="O38" s="2884"/>
      <c r="P38" s="2884"/>
      <c r="Q38" s="2885"/>
      <c r="R38" s="2886"/>
      <c r="S38" s="2921"/>
      <c r="T38" s="2840" t="s">
        <v>2356</v>
      </c>
      <c r="U38" s="2840"/>
      <c r="V38" s="2848"/>
    </row>
    <row r="39" spans="1:23" s="2852" customFormat="1" ht="13.35" customHeight="1">
      <c r="A39" s="2930">
        <v>9</v>
      </c>
      <c r="B39" s="2931" t="s">
        <v>2434</v>
      </c>
      <c r="C39" s="2896" t="e">
        <f>C38</f>
        <v>#DIV/0!</v>
      </c>
      <c r="D39" s="2931">
        <f>D38/(1+D34)^C36</f>
        <v>0</v>
      </c>
      <c r="E39" s="2931">
        <f>E38/(1+E34)^(C36+D36)</f>
        <v>0</v>
      </c>
      <c r="F39" s="2935"/>
      <c r="G39" s="2990"/>
      <c r="H39" s="2847"/>
      <c r="I39" s="2848"/>
      <c r="J39" s="3803"/>
      <c r="K39" s="3805"/>
      <c r="L39" s="2882"/>
      <c r="M39" s="2883"/>
      <c r="N39" s="2859"/>
      <c r="O39" s="2884"/>
      <c r="P39" s="2884"/>
      <c r="Q39" s="2885"/>
      <c r="R39" s="2886"/>
      <c r="S39" s="2921"/>
      <c r="T39" s="2840"/>
      <c r="U39" s="2840"/>
      <c r="V39" s="2848"/>
    </row>
    <row r="40" spans="1:23" s="2852" customFormat="1" ht="13.35" customHeight="1">
      <c r="A40" s="2991">
        <v>10</v>
      </c>
      <c r="B40" s="2931" t="s">
        <v>2435</v>
      </c>
      <c r="C40" s="2992" t="e">
        <f>C39+D39+E39</f>
        <v>#DIV/0!</v>
      </c>
      <c r="D40" s="2993"/>
      <c r="E40" s="2993"/>
      <c r="F40" s="2994"/>
      <c r="G40" s="2929"/>
      <c r="H40" s="2847"/>
      <c r="I40" s="2848"/>
      <c r="J40" s="3803"/>
      <c r="K40" s="3806"/>
      <c r="L40" s="2902" t="s">
        <v>2374</v>
      </c>
      <c r="M40" s="2903"/>
      <c r="N40" s="2903"/>
      <c r="O40" s="2904"/>
      <c r="P40" s="2904"/>
      <c r="Q40" s="2905"/>
      <c r="R40" s="2851">
        <f>SUM(R37:R39)</f>
        <v>0</v>
      </c>
      <c r="S40" s="2921"/>
      <c r="T40" s="2840"/>
      <c r="U40" s="2840"/>
      <c r="V40" s="2848"/>
    </row>
    <row r="41" spans="1:23" s="2852" customFormat="1" ht="13.3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35" customHeight="1">
      <c r="G42" s="2999"/>
      <c r="H42" s="2847"/>
      <c r="I42" s="2848"/>
      <c r="J42" s="3807">
        <v>3</v>
      </c>
      <c r="K42" s="2950" t="s">
        <v>2416</v>
      </c>
      <c r="L42" s="2951"/>
      <c r="M42" s="2952"/>
      <c r="N42" s="2953" t="s">
        <v>2417</v>
      </c>
      <c r="O42" s="2953" t="s">
        <v>2418</v>
      </c>
      <c r="P42" s="2954" t="s">
        <v>2419</v>
      </c>
      <c r="Q42" s="2954" t="s">
        <v>2420</v>
      </c>
      <c r="R42" s="2857" t="s">
        <v>2345</v>
      </c>
      <c r="S42" s="2955"/>
      <c r="T42" s="2955"/>
      <c r="U42" s="2840"/>
      <c r="V42" s="2848"/>
    </row>
    <row r="43" spans="1:23" ht="13.35" customHeight="1">
      <c r="A43" s="2852"/>
      <c r="B43" s="2852"/>
      <c r="C43" s="2852"/>
      <c r="D43" s="2852"/>
      <c r="E43" s="2852"/>
      <c r="F43" s="2852"/>
      <c r="I43" s="2835"/>
      <c r="J43" s="3808"/>
      <c r="K43" s="2958"/>
      <c r="L43" s="2959"/>
      <c r="M43" s="2960"/>
      <c r="N43" s="2883"/>
      <c r="O43" s="2883"/>
      <c r="P43" s="2883"/>
      <c r="Q43" s="2947"/>
      <c r="R43" s="2918">
        <f>ROUND(O43*N43*P43*(1-Q43)/10000,0)</f>
        <v>0</v>
      </c>
      <c r="S43" s="2921"/>
      <c r="T43" s="2840"/>
      <c r="V43" s="3001"/>
      <c r="W43" s="3002"/>
    </row>
    <row r="44" spans="1:23" ht="13.3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822" t="s">
        <v>1654</v>
      </c>
      <c r="C5" s="3823"/>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87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4.875" style="191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48955.32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842" t="s">
        <v>1667</v>
      </c>
      <c r="D4" s="3843"/>
      <c r="E4" s="3844" t="s">
        <v>1668</v>
      </c>
      <c r="F4" s="3845"/>
      <c r="G4" s="3842" t="s">
        <v>1669</v>
      </c>
      <c r="H4" s="3843"/>
      <c r="I4" s="3842" t="s">
        <v>1670</v>
      </c>
      <c r="J4" s="3843"/>
      <c r="K4" s="1888" t="s">
        <v>1671</v>
      </c>
      <c r="L4" s="2714"/>
      <c r="M4" s="2715"/>
      <c r="N4" s="2715"/>
      <c r="O4" s="2715"/>
      <c r="P4" s="3846" t="s">
        <v>1672</v>
      </c>
      <c r="Q4" s="3847"/>
      <c r="R4" s="3852" t="s">
        <v>1668</v>
      </c>
      <c r="S4" s="3853"/>
      <c r="T4" s="3852" t="s">
        <v>1669</v>
      </c>
      <c r="U4" s="3853"/>
      <c r="V4" s="3858" t="s">
        <v>1670</v>
      </c>
      <c r="W4" s="3858"/>
      <c r="X4" s="1354"/>
      <c r="Y4" s="3852" t="s">
        <v>1672</v>
      </c>
      <c r="Z4" s="3853"/>
      <c r="AA4" s="3839" t="s">
        <v>1668</v>
      </c>
      <c r="AB4" s="3839" t="s">
        <v>1669</v>
      </c>
      <c r="AC4" s="3839" t="s">
        <v>1670</v>
      </c>
    </row>
    <row r="5" spans="1:29" ht="15">
      <c r="A5" s="358"/>
      <c r="B5" s="359"/>
      <c r="C5" s="3861" t="s">
        <v>1673</v>
      </c>
      <c r="D5" s="3862"/>
      <c r="E5" s="3868" t="s">
        <v>1674</v>
      </c>
      <c r="F5" s="3869"/>
      <c r="G5" s="3861" t="s">
        <v>1675</v>
      </c>
      <c r="H5" s="3862"/>
      <c r="I5" s="3861" t="s">
        <v>1676</v>
      </c>
      <c r="J5" s="3862"/>
      <c r="K5" s="1889"/>
      <c r="L5" s="2714"/>
      <c r="M5" s="2715"/>
      <c r="N5" s="2715"/>
      <c r="O5" s="2715"/>
      <c r="P5" s="3848"/>
      <c r="Q5" s="3849"/>
      <c r="R5" s="3854"/>
      <c r="S5" s="3855"/>
      <c r="T5" s="3854"/>
      <c r="U5" s="3855"/>
      <c r="V5" s="3858"/>
      <c r="W5" s="3858"/>
      <c r="X5" s="1354"/>
      <c r="Y5" s="3854"/>
      <c r="Z5" s="3855"/>
      <c r="AA5" s="3840"/>
      <c r="AB5" s="3840"/>
      <c r="AC5" s="3840"/>
    </row>
    <row r="6" spans="1:29" ht="15.75" thickBot="1">
      <c r="A6" s="360"/>
      <c r="B6" s="361"/>
      <c r="C6" s="3859" t="s">
        <v>1677</v>
      </c>
      <c r="D6" s="3860"/>
      <c r="E6" s="3866" t="s">
        <v>1677</v>
      </c>
      <c r="F6" s="3867"/>
      <c r="G6" s="3859" t="s">
        <v>1677</v>
      </c>
      <c r="H6" s="3860"/>
      <c r="I6" s="3859" t="s">
        <v>1677</v>
      </c>
      <c r="J6" s="3860"/>
      <c r="K6" s="1889" t="s">
        <v>1678</v>
      </c>
      <c r="L6" s="2714"/>
      <c r="M6" s="2715"/>
      <c r="N6" s="2715"/>
      <c r="O6" s="2715"/>
      <c r="P6" s="3850"/>
      <c r="Q6" s="3851"/>
      <c r="R6" s="3854"/>
      <c r="S6" s="3855"/>
      <c r="T6" s="3856"/>
      <c r="U6" s="3857"/>
      <c r="V6" s="3858"/>
      <c r="W6" s="3858"/>
      <c r="X6" s="1354"/>
      <c r="Y6" s="3856"/>
      <c r="Z6" s="3857"/>
      <c r="AA6" s="3841"/>
      <c r="AB6" s="3841"/>
      <c r="AC6" s="3841"/>
    </row>
    <row r="7" spans="1:29" s="108" customFormat="1" ht="15.75" thickBot="1">
      <c r="A7" s="362" t="s">
        <v>1679</v>
      </c>
      <c r="B7" s="363"/>
      <c r="C7" s="364">
        <f>'数据-取费表'!B2</f>
        <v>45291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863" t="s">
        <v>1680</v>
      </c>
      <c r="Q7" s="3865"/>
      <c r="R7" s="700" t="s">
        <v>20</v>
      </c>
      <c r="S7" s="701">
        <f t="shared" ref="S7:S15" si="0">F7</f>
        <v>0</v>
      </c>
      <c r="T7" s="700" t="s">
        <v>20</v>
      </c>
      <c r="U7" s="701">
        <f t="shared" ref="U7:U15" si="1">H7</f>
        <v>0</v>
      </c>
      <c r="V7" s="700" t="s">
        <v>20</v>
      </c>
      <c r="W7" s="701">
        <f t="shared" ref="W7:W15" si="2">J7</f>
        <v>0</v>
      </c>
      <c r="X7" s="702"/>
      <c r="Y7" s="3863" t="s">
        <v>1680</v>
      </c>
      <c r="Z7" s="386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863" t="s">
        <v>1683</v>
      </c>
      <c r="Q8" s="3864"/>
      <c r="R8" s="700" t="s">
        <v>20</v>
      </c>
      <c r="S8" s="701">
        <f t="shared" si="0"/>
        <v>100</v>
      </c>
      <c r="T8" s="700" t="s">
        <v>20</v>
      </c>
      <c r="U8" s="701">
        <f t="shared" si="1"/>
        <v>100</v>
      </c>
      <c r="V8" s="700" t="s">
        <v>20</v>
      </c>
      <c r="W8" s="701">
        <f t="shared" si="2"/>
        <v>100</v>
      </c>
      <c r="X8" s="702"/>
      <c r="Y8" s="3863" t="s">
        <v>1683</v>
      </c>
      <c r="Z8" s="386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838" t="s">
        <v>1686</v>
      </c>
      <c r="Q9" s="1342" t="str">
        <f t="shared" ref="Q9:Q15" si="6">B9</f>
        <v>用途</v>
      </c>
      <c r="R9" s="700" t="s">
        <v>14</v>
      </c>
      <c r="S9" s="701">
        <f t="shared" si="0"/>
        <v>100</v>
      </c>
      <c r="T9" s="700" t="s">
        <v>14</v>
      </c>
      <c r="U9" s="701">
        <f t="shared" si="1"/>
        <v>100</v>
      </c>
      <c r="V9" s="700" t="s">
        <v>14</v>
      </c>
      <c r="W9" s="701">
        <f t="shared" si="2"/>
        <v>100</v>
      </c>
      <c r="X9" s="702"/>
      <c r="Y9" s="370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838"/>
      <c r="Q10" s="1342" t="str">
        <f t="shared" si="6"/>
        <v>土地使用年限（年）</v>
      </c>
      <c r="R10" s="700" t="s">
        <v>14</v>
      </c>
      <c r="S10" s="701">
        <f t="shared" si="0"/>
        <v>100</v>
      </c>
      <c r="T10" s="700" t="s">
        <v>14</v>
      </c>
      <c r="U10" s="701">
        <f t="shared" si="1"/>
        <v>100</v>
      </c>
      <c r="V10" s="700" t="s">
        <v>14</v>
      </c>
      <c r="W10" s="701">
        <f t="shared" si="2"/>
        <v>100</v>
      </c>
      <c r="X10" s="702"/>
      <c r="Y10" s="370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838"/>
      <c r="Q11" s="1342" t="str">
        <f t="shared" si="6"/>
        <v>容积率</v>
      </c>
      <c r="R11" s="700" t="s">
        <v>18</v>
      </c>
      <c r="S11" s="701" t="e">
        <f t="shared" si="0"/>
        <v>#N/A</v>
      </c>
      <c r="T11" s="700" t="s">
        <v>18</v>
      </c>
      <c r="U11" s="701" t="e">
        <f t="shared" si="1"/>
        <v>#N/A</v>
      </c>
      <c r="V11" s="700" t="s">
        <v>18</v>
      </c>
      <c r="W11" s="701" t="e">
        <f t="shared" si="2"/>
        <v>#N/A</v>
      </c>
      <c r="X11" s="702"/>
      <c r="Y11" s="370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838"/>
      <c r="Q12" s="1342">
        <f t="shared" si="6"/>
        <v>111</v>
      </c>
      <c r="R12" s="700" t="s">
        <v>18</v>
      </c>
      <c r="S12" s="701">
        <f t="shared" si="0"/>
        <v>100</v>
      </c>
      <c r="T12" s="700" t="s">
        <v>18</v>
      </c>
      <c r="U12" s="701">
        <f t="shared" si="1"/>
        <v>100</v>
      </c>
      <c r="V12" s="700" t="s">
        <v>18</v>
      </c>
      <c r="W12" s="701">
        <f t="shared" si="2"/>
        <v>100</v>
      </c>
      <c r="X12" s="702"/>
      <c r="Y12" s="370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838"/>
      <c r="Q13" s="1342">
        <f t="shared" si="6"/>
        <v>111</v>
      </c>
      <c r="R13" s="700" t="s">
        <v>18</v>
      </c>
      <c r="S13" s="701">
        <f t="shared" si="0"/>
        <v>100</v>
      </c>
      <c r="T13" s="700" t="s">
        <v>18</v>
      </c>
      <c r="U13" s="701">
        <f t="shared" si="1"/>
        <v>100</v>
      </c>
      <c r="V13" s="700" t="s">
        <v>18</v>
      </c>
      <c r="W13" s="701">
        <f t="shared" si="2"/>
        <v>100</v>
      </c>
      <c r="X13" s="702"/>
      <c r="Y13" s="370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838"/>
      <c r="Q14" s="1342">
        <f t="shared" si="6"/>
        <v>111</v>
      </c>
      <c r="R14" s="700" t="s">
        <v>18</v>
      </c>
      <c r="S14" s="701">
        <f t="shared" si="0"/>
        <v>100</v>
      </c>
      <c r="T14" s="700" t="s">
        <v>18</v>
      </c>
      <c r="U14" s="701">
        <f t="shared" si="1"/>
        <v>100</v>
      </c>
      <c r="V14" s="700" t="s">
        <v>18</v>
      </c>
      <c r="W14" s="701">
        <f t="shared" si="2"/>
        <v>100</v>
      </c>
      <c r="X14" s="702"/>
      <c r="Y14" s="370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36" t="s">
        <v>1691</v>
      </c>
      <c r="Q15" s="1351" t="str">
        <f t="shared" si="6"/>
        <v>居住社区成熟度</v>
      </c>
      <c r="R15" s="704" t="s">
        <v>18</v>
      </c>
      <c r="S15" s="705">
        <f t="shared" si="0"/>
        <v>100</v>
      </c>
      <c r="T15" s="704" t="s">
        <v>18</v>
      </c>
      <c r="U15" s="705">
        <f t="shared" si="1"/>
        <v>100</v>
      </c>
      <c r="V15" s="704" t="s">
        <v>18</v>
      </c>
      <c r="W15" s="705">
        <f t="shared" si="2"/>
        <v>100</v>
      </c>
      <c r="X15" s="1354"/>
      <c r="Y15" s="382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37"/>
      <c r="Q16" s="1351"/>
      <c r="R16" s="704"/>
      <c r="S16" s="705"/>
      <c r="T16" s="704"/>
      <c r="U16" s="705"/>
      <c r="V16" s="704"/>
      <c r="W16" s="705"/>
      <c r="X16" s="1354"/>
      <c r="Y16" s="383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37"/>
      <c r="Q17" s="1351" t="str">
        <f>B17</f>
        <v>交通便捷度</v>
      </c>
      <c r="R17" s="704" t="s">
        <v>18</v>
      </c>
      <c r="S17" s="705">
        <f>F17</f>
        <v>100</v>
      </c>
      <c r="T17" s="704" t="s">
        <v>18</v>
      </c>
      <c r="U17" s="705">
        <f>H17</f>
        <v>100</v>
      </c>
      <c r="V17" s="704" t="s">
        <v>18</v>
      </c>
      <c r="W17" s="705">
        <f>J17</f>
        <v>100</v>
      </c>
      <c r="X17" s="1354"/>
      <c r="Y17" s="383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37"/>
      <c r="Q18" s="1351"/>
      <c r="R18" s="704"/>
      <c r="S18" s="705"/>
      <c r="T18" s="704"/>
      <c r="U18" s="705"/>
      <c r="V18" s="704"/>
      <c r="W18" s="705"/>
      <c r="X18" s="1354"/>
      <c r="Y18" s="383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37"/>
      <c r="Q19" s="1351" t="str">
        <f>B19</f>
        <v>公共配套设施</v>
      </c>
      <c r="R19" s="704" t="s">
        <v>18</v>
      </c>
      <c r="S19" s="705">
        <f>F19</f>
        <v>100</v>
      </c>
      <c r="T19" s="704" t="s">
        <v>18</v>
      </c>
      <c r="U19" s="705">
        <f>H19</f>
        <v>100</v>
      </c>
      <c r="V19" s="704" t="s">
        <v>18</v>
      </c>
      <c r="W19" s="705">
        <f>J19</f>
        <v>100</v>
      </c>
      <c r="X19" s="1354"/>
      <c r="Y19" s="383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37"/>
      <c r="Q20" s="1351"/>
      <c r="R20" s="704"/>
      <c r="S20" s="705"/>
      <c r="T20" s="704"/>
      <c r="U20" s="705"/>
      <c r="V20" s="704"/>
      <c r="W20" s="705"/>
      <c r="X20" s="1354"/>
      <c r="Y20" s="383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37"/>
      <c r="Q21" s="1351" t="str">
        <f>B21</f>
        <v>基础设施水平</v>
      </c>
      <c r="R21" s="704" t="s">
        <v>14</v>
      </c>
      <c r="S21" s="705">
        <f>F21</f>
        <v>100</v>
      </c>
      <c r="T21" s="704" t="s">
        <v>14</v>
      </c>
      <c r="U21" s="705">
        <f>H21</f>
        <v>100</v>
      </c>
      <c r="V21" s="704" t="s">
        <v>14</v>
      </c>
      <c r="W21" s="705">
        <f>J21</f>
        <v>100</v>
      </c>
      <c r="X21" s="1354"/>
      <c r="Y21" s="383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37"/>
      <c r="Q22" s="1351"/>
      <c r="R22" s="704"/>
      <c r="S22" s="705"/>
      <c r="T22" s="704"/>
      <c r="U22" s="705"/>
      <c r="V22" s="704"/>
      <c r="W22" s="705"/>
      <c r="X22" s="1354"/>
      <c r="Y22" s="383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37"/>
      <c r="Q23" s="1351" t="str">
        <f>B23</f>
        <v>自然及人文环境</v>
      </c>
      <c r="R23" s="704" t="s">
        <v>18</v>
      </c>
      <c r="S23" s="705">
        <f>F23</f>
        <v>100</v>
      </c>
      <c r="T23" s="704" t="s">
        <v>18</v>
      </c>
      <c r="U23" s="705">
        <f>H23</f>
        <v>100</v>
      </c>
      <c r="V23" s="704" t="s">
        <v>18</v>
      </c>
      <c r="W23" s="705">
        <f>J23</f>
        <v>100</v>
      </c>
      <c r="X23" s="1354"/>
      <c r="Y23" s="383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37"/>
      <c r="Q24" s="1351"/>
      <c r="R24" s="704"/>
      <c r="S24" s="705"/>
      <c r="T24" s="704"/>
      <c r="U24" s="705"/>
      <c r="V24" s="704"/>
      <c r="W24" s="705"/>
      <c r="X24" s="1354"/>
      <c r="Y24" s="383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3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83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37"/>
      <c r="Q26" s="1351" t="str">
        <f t="shared" si="11"/>
        <v>朝向</v>
      </c>
      <c r="R26" s="704" t="s">
        <v>18</v>
      </c>
      <c r="S26" s="705">
        <f t="shared" si="12"/>
        <v>100</v>
      </c>
      <c r="T26" s="704" t="s">
        <v>18</v>
      </c>
      <c r="U26" s="705">
        <f t="shared" si="13"/>
        <v>100</v>
      </c>
      <c r="V26" s="704" t="s">
        <v>18</v>
      </c>
      <c r="W26" s="705">
        <f t="shared" si="14"/>
        <v>100</v>
      </c>
      <c r="X26" s="1354"/>
      <c r="Y26" s="383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37"/>
      <c r="Q27" s="1342">
        <f t="shared" si="11"/>
        <v>111</v>
      </c>
      <c r="R27" s="700" t="s">
        <v>18</v>
      </c>
      <c r="S27" s="701">
        <f t="shared" si="12"/>
        <v>100</v>
      </c>
      <c r="T27" s="700" t="s">
        <v>18</v>
      </c>
      <c r="U27" s="701">
        <f t="shared" si="13"/>
        <v>100</v>
      </c>
      <c r="V27" s="700" t="s">
        <v>18</v>
      </c>
      <c r="W27" s="701">
        <f t="shared" si="14"/>
        <v>100</v>
      </c>
      <c r="X27" s="702"/>
      <c r="Y27" s="383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37"/>
      <c r="Q28" s="1351">
        <f t="shared" si="11"/>
        <v>111</v>
      </c>
      <c r="R28" s="704" t="s">
        <v>18</v>
      </c>
      <c r="S28" s="705">
        <f t="shared" si="12"/>
        <v>100</v>
      </c>
      <c r="T28" s="704" t="s">
        <v>18</v>
      </c>
      <c r="U28" s="705">
        <f t="shared" si="13"/>
        <v>100</v>
      </c>
      <c r="V28" s="704" t="s">
        <v>18</v>
      </c>
      <c r="W28" s="705">
        <f t="shared" si="14"/>
        <v>100</v>
      </c>
      <c r="X28" s="1354"/>
      <c r="Y28" s="383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37"/>
      <c r="Q29" s="1351">
        <f t="shared" si="11"/>
        <v>111</v>
      </c>
      <c r="R29" s="704" t="s">
        <v>18</v>
      </c>
      <c r="S29" s="705">
        <f t="shared" si="12"/>
        <v>100</v>
      </c>
      <c r="T29" s="704" t="s">
        <v>18</v>
      </c>
      <c r="U29" s="705">
        <f t="shared" si="13"/>
        <v>100</v>
      </c>
      <c r="V29" s="704" t="s">
        <v>18</v>
      </c>
      <c r="W29" s="705">
        <f t="shared" si="14"/>
        <v>100</v>
      </c>
      <c r="X29" s="1354"/>
      <c r="Y29" s="383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37"/>
      <c r="Q30" s="1351">
        <f t="shared" si="11"/>
        <v>111</v>
      </c>
      <c r="R30" s="704" t="s">
        <v>18</v>
      </c>
      <c r="S30" s="705">
        <f t="shared" si="12"/>
        <v>100</v>
      </c>
      <c r="T30" s="704" t="s">
        <v>18</v>
      </c>
      <c r="U30" s="705">
        <f t="shared" si="13"/>
        <v>100</v>
      </c>
      <c r="V30" s="704" t="s">
        <v>18</v>
      </c>
      <c r="W30" s="705">
        <f t="shared" si="14"/>
        <v>100</v>
      </c>
      <c r="X30" s="1354"/>
      <c r="Y30" s="383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37"/>
      <c r="Q31" s="1351">
        <f t="shared" si="11"/>
        <v>111</v>
      </c>
      <c r="R31" s="704" t="s">
        <v>18</v>
      </c>
      <c r="S31" s="705">
        <f t="shared" si="12"/>
        <v>100</v>
      </c>
      <c r="T31" s="704" t="s">
        <v>18</v>
      </c>
      <c r="U31" s="705">
        <f t="shared" si="13"/>
        <v>100</v>
      </c>
      <c r="V31" s="704" t="s">
        <v>18</v>
      </c>
      <c r="W31" s="705">
        <f t="shared" si="14"/>
        <v>100</v>
      </c>
      <c r="X31" s="1354"/>
      <c r="Y31" s="383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31" t="s">
        <v>1696</v>
      </c>
      <c r="Q32" s="1351" t="str">
        <f t="shared" si="11"/>
        <v>建筑类型</v>
      </c>
      <c r="R32" s="704" t="s">
        <v>18</v>
      </c>
      <c r="S32" s="705">
        <f t="shared" si="12"/>
        <v>100</v>
      </c>
      <c r="T32" s="704" t="s">
        <v>18</v>
      </c>
      <c r="U32" s="705">
        <f t="shared" si="13"/>
        <v>100</v>
      </c>
      <c r="V32" s="704" t="s">
        <v>18</v>
      </c>
      <c r="W32" s="705">
        <f t="shared" si="14"/>
        <v>100</v>
      </c>
      <c r="X32" s="1354"/>
      <c r="Y32" s="383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32"/>
      <c r="Q33" s="706" t="str">
        <f t="shared" si="11"/>
        <v>项目建筑规模</v>
      </c>
      <c r="R33" s="707" t="s">
        <v>18</v>
      </c>
      <c r="S33" s="708" t="e">
        <f t="shared" si="12"/>
        <v>#N/A</v>
      </c>
      <c r="T33" s="707" t="s">
        <v>18</v>
      </c>
      <c r="U33" s="708" t="e">
        <f t="shared" si="13"/>
        <v>#N/A</v>
      </c>
      <c r="V33" s="707" t="s">
        <v>18</v>
      </c>
      <c r="W33" s="708" t="e">
        <f t="shared" si="14"/>
        <v>#N/A</v>
      </c>
      <c r="X33" s="709"/>
      <c r="Y33" s="383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32"/>
      <c r="Q34" s="1351" t="str">
        <f t="shared" si="11"/>
        <v>建筑结构</v>
      </c>
      <c r="R34" s="704" t="s">
        <v>18</v>
      </c>
      <c r="S34" s="705">
        <f t="shared" si="12"/>
        <v>100</v>
      </c>
      <c r="T34" s="704" t="s">
        <v>18</v>
      </c>
      <c r="U34" s="705">
        <f t="shared" si="13"/>
        <v>100</v>
      </c>
      <c r="V34" s="704" t="s">
        <v>18</v>
      </c>
      <c r="W34" s="705">
        <f t="shared" si="14"/>
        <v>100</v>
      </c>
      <c r="X34" s="1354"/>
      <c r="Y34" s="383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32"/>
      <c r="Q35" s="1351" t="str">
        <f t="shared" si="11"/>
        <v>建筑品质</v>
      </c>
      <c r="R35" s="704" t="s">
        <v>18</v>
      </c>
      <c r="S35" s="705">
        <f t="shared" si="12"/>
        <v>100</v>
      </c>
      <c r="T35" s="704" t="s">
        <v>18</v>
      </c>
      <c r="U35" s="705">
        <f t="shared" si="13"/>
        <v>100</v>
      </c>
      <c r="V35" s="704" t="s">
        <v>18</v>
      </c>
      <c r="W35" s="705">
        <f t="shared" si="14"/>
        <v>100</v>
      </c>
      <c r="X35" s="1354"/>
      <c r="Y35" s="383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32"/>
      <c r="Q36" s="1351" t="str">
        <f t="shared" si="11"/>
        <v>公共部分装修</v>
      </c>
      <c r="R36" s="704" t="s">
        <v>18</v>
      </c>
      <c r="S36" s="705">
        <f t="shared" si="12"/>
        <v>100</v>
      </c>
      <c r="T36" s="704" t="s">
        <v>18</v>
      </c>
      <c r="U36" s="705">
        <f t="shared" si="13"/>
        <v>100</v>
      </c>
      <c r="V36" s="704" t="s">
        <v>18</v>
      </c>
      <c r="W36" s="705">
        <f t="shared" si="14"/>
        <v>100</v>
      </c>
      <c r="X36" s="1354"/>
      <c r="Y36" s="383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32"/>
      <c r="Q37" s="1342" t="str">
        <f t="shared" si="11"/>
        <v>成新度</v>
      </c>
      <c r="R37" s="700" t="s">
        <v>18</v>
      </c>
      <c r="S37" s="701" t="e">
        <f t="shared" si="12"/>
        <v>#N/A</v>
      </c>
      <c r="T37" s="700" t="s">
        <v>18</v>
      </c>
      <c r="U37" s="701" t="e">
        <f t="shared" si="13"/>
        <v>#N/A</v>
      </c>
      <c r="V37" s="700" t="s">
        <v>18</v>
      </c>
      <c r="W37" s="701" t="e">
        <f t="shared" si="14"/>
        <v>#N/A</v>
      </c>
      <c r="X37" s="702"/>
      <c r="Y37" s="383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32" t="s">
        <v>1696</v>
      </c>
      <c r="Q38" s="1351" t="str">
        <f t="shared" si="11"/>
        <v>物业管理</v>
      </c>
      <c r="R38" s="704" t="s">
        <v>18</v>
      </c>
      <c r="S38" s="705">
        <f t="shared" si="12"/>
        <v>100</v>
      </c>
      <c r="T38" s="704" t="s">
        <v>18</v>
      </c>
      <c r="U38" s="705">
        <f t="shared" si="13"/>
        <v>100</v>
      </c>
      <c r="V38" s="704" t="s">
        <v>18</v>
      </c>
      <c r="W38" s="705">
        <f t="shared" si="14"/>
        <v>100</v>
      </c>
      <c r="X38" s="1354"/>
      <c r="Y38" s="383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32"/>
      <c r="Q39" s="1351" t="str">
        <f t="shared" si="11"/>
        <v>市政基础设施</v>
      </c>
      <c r="R39" s="704" t="s">
        <v>18</v>
      </c>
      <c r="S39" s="705">
        <f t="shared" si="12"/>
        <v>100</v>
      </c>
      <c r="T39" s="704" t="s">
        <v>18</v>
      </c>
      <c r="U39" s="705">
        <f t="shared" si="13"/>
        <v>100</v>
      </c>
      <c r="V39" s="704" t="s">
        <v>18</v>
      </c>
      <c r="W39" s="705">
        <f t="shared" si="14"/>
        <v>100</v>
      </c>
      <c r="X39" s="1354"/>
      <c r="Y39" s="383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32"/>
      <c r="Q40" s="1351" t="str">
        <f t="shared" si="11"/>
        <v>房型</v>
      </c>
      <c r="R40" s="704" t="s">
        <v>18</v>
      </c>
      <c r="S40" s="705">
        <f t="shared" si="12"/>
        <v>100</v>
      </c>
      <c r="T40" s="704" t="s">
        <v>18</v>
      </c>
      <c r="U40" s="705">
        <f t="shared" si="13"/>
        <v>100</v>
      </c>
      <c r="V40" s="704" t="s">
        <v>18</v>
      </c>
      <c r="W40" s="705">
        <f t="shared" si="14"/>
        <v>100</v>
      </c>
      <c r="X40" s="1354"/>
      <c r="Y40" s="383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32"/>
      <c r="Q41" s="706" t="str">
        <f t="shared" si="11"/>
        <v>单套/主力户型建筑面积</v>
      </c>
      <c r="R41" s="707" t="s">
        <v>18</v>
      </c>
      <c r="S41" s="708">
        <f t="shared" si="12"/>
        <v>100</v>
      </c>
      <c r="T41" s="707" t="s">
        <v>18</v>
      </c>
      <c r="U41" s="708">
        <f t="shared" si="13"/>
        <v>100</v>
      </c>
      <c r="V41" s="707" t="s">
        <v>18</v>
      </c>
      <c r="W41" s="708">
        <f t="shared" si="14"/>
        <v>100</v>
      </c>
      <c r="X41" s="709"/>
      <c r="Y41" s="383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32"/>
      <c r="Q42" s="1351" t="str">
        <f t="shared" si="11"/>
        <v>内部装修</v>
      </c>
      <c r="R42" s="704" t="s">
        <v>18</v>
      </c>
      <c r="S42" s="705">
        <f t="shared" si="12"/>
        <v>100</v>
      </c>
      <c r="T42" s="704" t="s">
        <v>18</v>
      </c>
      <c r="U42" s="705">
        <f t="shared" si="13"/>
        <v>100</v>
      </c>
      <c r="V42" s="704" t="s">
        <v>18</v>
      </c>
      <c r="W42" s="705">
        <f t="shared" si="14"/>
        <v>100</v>
      </c>
      <c r="X42" s="1354"/>
      <c r="Y42" s="383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32"/>
      <c r="Q43" s="1351" t="str">
        <f t="shared" si="11"/>
        <v>内部装修维护情况</v>
      </c>
      <c r="R43" s="704" t="s">
        <v>18</v>
      </c>
      <c r="S43" s="705">
        <f t="shared" si="12"/>
        <v>100</v>
      </c>
      <c r="T43" s="704" t="s">
        <v>18</v>
      </c>
      <c r="U43" s="705">
        <f t="shared" si="13"/>
        <v>100</v>
      </c>
      <c r="V43" s="704" t="s">
        <v>18</v>
      </c>
      <c r="W43" s="705">
        <f t="shared" si="14"/>
        <v>100</v>
      </c>
      <c r="X43" s="1354"/>
      <c r="Y43" s="383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32"/>
      <c r="Q44" s="1342">
        <f t="shared" si="11"/>
        <v>111</v>
      </c>
      <c r="R44" s="700" t="s">
        <v>18</v>
      </c>
      <c r="S44" s="701">
        <f t="shared" si="12"/>
        <v>100</v>
      </c>
      <c r="T44" s="700" t="s">
        <v>18</v>
      </c>
      <c r="U44" s="701">
        <f t="shared" si="13"/>
        <v>100</v>
      </c>
      <c r="V44" s="700" t="s">
        <v>18</v>
      </c>
      <c r="W44" s="701">
        <f t="shared" si="14"/>
        <v>100</v>
      </c>
      <c r="X44" s="702"/>
      <c r="Y44" s="383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32"/>
      <c r="Q45" s="1351">
        <f t="shared" si="11"/>
        <v>111</v>
      </c>
      <c r="R45" s="704" t="s">
        <v>18</v>
      </c>
      <c r="S45" s="705">
        <f t="shared" si="12"/>
        <v>100</v>
      </c>
      <c r="T45" s="704" t="s">
        <v>18</v>
      </c>
      <c r="U45" s="705">
        <f t="shared" si="13"/>
        <v>100</v>
      </c>
      <c r="V45" s="704" t="s">
        <v>18</v>
      </c>
      <c r="W45" s="705">
        <f t="shared" si="14"/>
        <v>100</v>
      </c>
      <c r="X45" s="1354"/>
      <c r="Y45" s="383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33"/>
      <c r="Q46" s="1351">
        <f t="shared" si="11"/>
        <v>111</v>
      </c>
      <c r="R46" s="704" t="s">
        <v>17</v>
      </c>
      <c r="S46" s="705">
        <f t="shared" si="12"/>
        <v>100</v>
      </c>
      <c r="T46" s="704" t="s">
        <v>17</v>
      </c>
      <c r="U46" s="705">
        <f t="shared" si="13"/>
        <v>100</v>
      </c>
      <c r="V46" s="704" t="s">
        <v>17</v>
      </c>
      <c r="W46" s="705">
        <f t="shared" si="14"/>
        <v>100</v>
      </c>
      <c r="X46" s="1354"/>
      <c r="Y46" s="383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827" t="str">
        <f>A47</f>
        <v>成交单价（元/平方米）</v>
      </c>
      <c r="Q47" s="3827"/>
      <c r="R47" s="3828">
        <f>E47</f>
        <v>0</v>
      </c>
      <c r="S47" s="3828"/>
      <c r="T47" s="3828">
        <f>G47</f>
        <v>0</v>
      </c>
      <c r="U47" s="3828"/>
      <c r="V47" s="3828">
        <f>I47</f>
        <v>0</v>
      </c>
      <c r="W47" s="382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827" t="str">
        <f>A48</f>
        <v>比较价值（元/平方米）</v>
      </c>
      <c r="Q48" s="3827"/>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2023-12</v>
      </c>
      <c r="D58" s="1184">
        <f>EDATE(C58,-1)</f>
        <v>45231</v>
      </c>
      <c r="E58" s="1184">
        <f>EDATE(D58,-1)</f>
        <v>45200</v>
      </c>
      <c r="F58" s="1184">
        <f t="shared" ref="F58:O58" si="19">EDATE(E58,-1)</f>
        <v>45170</v>
      </c>
      <c r="G58" s="1184">
        <f t="shared" si="19"/>
        <v>45139</v>
      </c>
      <c r="H58" s="1184">
        <f t="shared" si="19"/>
        <v>45108</v>
      </c>
      <c r="I58" s="1184">
        <f t="shared" si="19"/>
        <v>45078</v>
      </c>
      <c r="J58" s="1184">
        <f t="shared" si="19"/>
        <v>45047</v>
      </c>
      <c r="K58" s="1184">
        <f t="shared" si="19"/>
        <v>45017</v>
      </c>
      <c r="L58" s="1184">
        <f t="shared" si="19"/>
        <v>44986</v>
      </c>
      <c r="M58" s="1184">
        <f t="shared" si="19"/>
        <v>44958</v>
      </c>
      <c r="N58" s="1184">
        <f t="shared" si="19"/>
        <v>44927</v>
      </c>
      <c r="O58" s="1184">
        <f t="shared" si="19"/>
        <v>44896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87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191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48955.32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842" t="s">
        <v>1770</v>
      </c>
      <c r="D4" s="3843"/>
      <c r="E4" s="3844" t="s">
        <v>1771</v>
      </c>
      <c r="F4" s="3845"/>
      <c r="G4" s="3842" t="s">
        <v>1772</v>
      </c>
      <c r="H4" s="3843"/>
      <c r="I4" s="3842" t="s">
        <v>1773</v>
      </c>
      <c r="J4" s="3843"/>
      <c r="K4" s="559" t="s">
        <v>1774</v>
      </c>
      <c r="L4" s="2714"/>
      <c r="M4" s="2715"/>
      <c r="N4" s="2715"/>
      <c r="O4" s="2715"/>
      <c r="P4" s="3846" t="s">
        <v>1775</v>
      </c>
      <c r="Q4" s="3847"/>
      <c r="R4" s="3852" t="s">
        <v>1771</v>
      </c>
      <c r="S4" s="3853"/>
      <c r="T4" s="3852" t="s">
        <v>1772</v>
      </c>
      <c r="U4" s="3853"/>
      <c r="V4" s="3858" t="s">
        <v>1773</v>
      </c>
      <c r="W4" s="3858"/>
      <c r="X4" s="1354"/>
      <c r="Y4" s="3852" t="s">
        <v>1775</v>
      </c>
      <c r="Z4" s="3853"/>
      <c r="AA4" s="3839" t="s">
        <v>1771</v>
      </c>
      <c r="AB4" s="3858" t="s">
        <v>1772</v>
      </c>
      <c r="AC4" s="3839" t="s">
        <v>1773</v>
      </c>
    </row>
    <row r="5" spans="1:29" ht="15">
      <c r="A5" s="358"/>
      <c r="B5" s="359"/>
      <c r="C5" s="3861" t="s">
        <v>1673</v>
      </c>
      <c r="D5" s="3862"/>
      <c r="E5" s="3868" t="s">
        <v>1674</v>
      </c>
      <c r="F5" s="3869"/>
      <c r="G5" s="3861" t="s">
        <v>1675</v>
      </c>
      <c r="H5" s="3862"/>
      <c r="I5" s="3861" t="s">
        <v>1676</v>
      </c>
      <c r="J5" s="3862"/>
      <c r="K5" s="559"/>
      <c r="L5" s="2714"/>
      <c r="M5" s="2715"/>
      <c r="N5" s="2715"/>
      <c r="O5" s="2715"/>
      <c r="P5" s="3848"/>
      <c r="Q5" s="3849"/>
      <c r="R5" s="3854"/>
      <c r="S5" s="3855"/>
      <c r="T5" s="3854"/>
      <c r="U5" s="3855"/>
      <c r="V5" s="3858"/>
      <c r="W5" s="3858"/>
      <c r="X5" s="1354"/>
      <c r="Y5" s="3854"/>
      <c r="Z5" s="3855"/>
      <c r="AA5" s="3840"/>
      <c r="AB5" s="3858"/>
      <c r="AC5" s="3840"/>
    </row>
    <row r="6" spans="1:29" ht="15.75" thickBot="1">
      <c r="A6" s="360"/>
      <c r="B6" s="361"/>
      <c r="C6" s="3859" t="s">
        <v>1677</v>
      </c>
      <c r="D6" s="3860"/>
      <c r="E6" s="3866" t="s">
        <v>1677</v>
      </c>
      <c r="F6" s="3867"/>
      <c r="G6" s="3859" t="s">
        <v>1677</v>
      </c>
      <c r="H6" s="3860"/>
      <c r="I6" s="3859" t="s">
        <v>1677</v>
      </c>
      <c r="J6" s="3860"/>
      <c r="K6" s="559" t="s">
        <v>1678</v>
      </c>
      <c r="L6" s="2714"/>
      <c r="M6" s="2715"/>
      <c r="N6" s="2715"/>
      <c r="O6" s="2715"/>
      <c r="P6" s="3850"/>
      <c r="Q6" s="3851"/>
      <c r="R6" s="3854"/>
      <c r="S6" s="3855"/>
      <c r="T6" s="3856"/>
      <c r="U6" s="3857"/>
      <c r="V6" s="3858"/>
      <c r="W6" s="3858"/>
      <c r="X6" s="1354"/>
      <c r="Y6" s="3856"/>
      <c r="Z6" s="3857"/>
      <c r="AA6" s="3841"/>
      <c r="AB6" s="3858"/>
      <c r="AC6" s="3841"/>
    </row>
    <row r="7" spans="1:29" s="108" customFormat="1" ht="15.75" thickBot="1">
      <c r="A7" s="362" t="s">
        <v>1679</v>
      </c>
      <c r="B7" s="363"/>
      <c r="C7" s="364">
        <f>'数据-取费表'!B2</f>
        <v>45291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63" t="s">
        <v>1680</v>
      </c>
      <c r="Q7" s="3865"/>
      <c r="R7" s="700" t="s">
        <v>14</v>
      </c>
      <c r="S7" s="701">
        <f t="shared" ref="S7:S15" si="0">F7</f>
        <v>0</v>
      </c>
      <c r="T7" s="700" t="s">
        <v>14</v>
      </c>
      <c r="U7" s="701">
        <f t="shared" ref="U7:U15" si="1">H7</f>
        <v>0</v>
      </c>
      <c r="V7" s="700" t="s">
        <v>14</v>
      </c>
      <c r="W7" s="701">
        <f t="shared" ref="W7:W15" si="2">J7</f>
        <v>0</v>
      </c>
      <c r="X7" s="702"/>
      <c r="Y7" s="3863" t="s">
        <v>1680</v>
      </c>
      <c r="Z7" s="386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63" t="s">
        <v>1683</v>
      </c>
      <c r="Q8" s="3864"/>
      <c r="R8" s="700" t="s">
        <v>14</v>
      </c>
      <c r="S8" s="701">
        <f t="shared" si="0"/>
        <v>100</v>
      </c>
      <c r="T8" s="700" t="s">
        <v>14</v>
      </c>
      <c r="U8" s="701">
        <f t="shared" si="1"/>
        <v>100</v>
      </c>
      <c r="V8" s="700" t="s">
        <v>14</v>
      </c>
      <c r="W8" s="701">
        <f t="shared" si="2"/>
        <v>100</v>
      </c>
      <c r="X8" s="702"/>
      <c r="Y8" s="3863" t="s">
        <v>1683</v>
      </c>
      <c r="Z8" s="386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8" t="s">
        <v>1686</v>
      </c>
      <c r="Q9" s="1342" t="str">
        <f t="shared" ref="Q9:Q15" si="6">B9</f>
        <v>用途</v>
      </c>
      <c r="R9" s="700" t="s">
        <v>14</v>
      </c>
      <c r="S9" s="701">
        <f t="shared" si="0"/>
        <v>100</v>
      </c>
      <c r="T9" s="700" t="s">
        <v>14</v>
      </c>
      <c r="U9" s="701">
        <f t="shared" si="1"/>
        <v>100</v>
      </c>
      <c r="V9" s="700" t="s">
        <v>14</v>
      </c>
      <c r="W9" s="701">
        <f t="shared" si="2"/>
        <v>100</v>
      </c>
      <c r="X9" s="702"/>
      <c r="Y9" s="370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8"/>
      <c r="Q10" s="1342" t="str">
        <f t="shared" si="6"/>
        <v>土地使用年限（年）</v>
      </c>
      <c r="R10" s="700" t="s">
        <v>14</v>
      </c>
      <c r="S10" s="701">
        <f t="shared" si="0"/>
        <v>100</v>
      </c>
      <c r="T10" s="700" t="s">
        <v>14</v>
      </c>
      <c r="U10" s="701">
        <f t="shared" si="1"/>
        <v>100</v>
      </c>
      <c r="V10" s="700" t="s">
        <v>14</v>
      </c>
      <c r="W10" s="701">
        <f t="shared" si="2"/>
        <v>100</v>
      </c>
      <c r="X10" s="702"/>
      <c r="Y10" s="370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8"/>
      <c r="Q11" s="1342" t="str">
        <f t="shared" si="6"/>
        <v>容积率</v>
      </c>
      <c r="R11" s="700" t="s">
        <v>14</v>
      </c>
      <c r="S11" s="701" t="e">
        <f t="shared" si="0"/>
        <v>#N/A</v>
      </c>
      <c r="T11" s="700" t="s">
        <v>14</v>
      </c>
      <c r="U11" s="701" t="e">
        <f t="shared" si="1"/>
        <v>#N/A</v>
      </c>
      <c r="V11" s="700" t="s">
        <v>14</v>
      </c>
      <c r="W11" s="701" t="e">
        <f t="shared" si="2"/>
        <v>#N/A</v>
      </c>
      <c r="X11" s="702"/>
      <c r="Y11" s="3702"/>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8"/>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8"/>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8"/>
      <c r="Q14" s="1342">
        <f t="shared" si="6"/>
        <v>111</v>
      </c>
      <c r="R14" s="700" t="s">
        <v>14</v>
      </c>
      <c r="S14" s="701">
        <f t="shared" si="0"/>
        <v>100</v>
      </c>
      <c r="T14" s="700" t="s">
        <v>14</v>
      </c>
      <c r="U14" s="701">
        <f t="shared" si="1"/>
        <v>100</v>
      </c>
      <c r="V14" s="700" t="s">
        <v>14</v>
      </c>
      <c r="W14" s="701">
        <f t="shared" si="2"/>
        <v>100</v>
      </c>
      <c r="X14" s="702"/>
      <c r="Y14" s="370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36" t="s">
        <v>1691</v>
      </c>
      <c r="Q15" s="1351" t="str">
        <f t="shared" si="6"/>
        <v>商业繁华度</v>
      </c>
      <c r="R15" s="704" t="s">
        <v>14</v>
      </c>
      <c r="S15" s="705">
        <f t="shared" si="0"/>
        <v>100</v>
      </c>
      <c r="T15" s="704" t="s">
        <v>14</v>
      </c>
      <c r="U15" s="705">
        <f t="shared" si="1"/>
        <v>100</v>
      </c>
      <c r="V15" s="704" t="s">
        <v>14</v>
      </c>
      <c r="W15" s="705">
        <f t="shared" si="2"/>
        <v>100</v>
      </c>
      <c r="X15" s="1354"/>
      <c r="Y15" s="382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837"/>
      <c r="Q16" s="1351"/>
      <c r="R16" s="704"/>
      <c r="S16" s="705"/>
      <c r="T16" s="704"/>
      <c r="U16" s="705"/>
      <c r="V16" s="704"/>
      <c r="W16" s="705"/>
      <c r="X16" s="1354"/>
      <c r="Y16" s="383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37"/>
      <c r="Q17" s="1351" t="str">
        <f>B17</f>
        <v>交通便捷度</v>
      </c>
      <c r="R17" s="704" t="s">
        <v>14</v>
      </c>
      <c r="S17" s="705">
        <f>F17</f>
        <v>100</v>
      </c>
      <c r="T17" s="704" t="s">
        <v>14</v>
      </c>
      <c r="U17" s="705">
        <f>H17</f>
        <v>100</v>
      </c>
      <c r="V17" s="704" t="s">
        <v>14</v>
      </c>
      <c r="W17" s="705">
        <f>J17</f>
        <v>100</v>
      </c>
      <c r="X17" s="1354"/>
      <c r="Y17" s="383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837"/>
      <c r="Q18" s="1351"/>
      <c r="R18" s="704"/>
      <c r="S18" s="705"/>
      <c r="T18" s="704"/>
      <c r="U18" s="705"/>
      <c r="V18" s="704"/>
      <c r="W18" s="705"/>
      <c r="X18" s="1354"/>
      <c r="Y18" s="383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37"/>
      <c r="Q19" s="1351" t="str">
        <f>B19</f>
        <v>公共配套设施</v>
      </c>
      <c r="R19" s="704" t="s">
        <v>14</v>
      </c>
      <c r="S19" s="705">
        <f>F19</f>
        <v>100</v>
      </c>
      <c r="T19" s="704" t="s">
        <v>14</v>
      </c>
      <c r="U19" s="705">
        <f>H19</f>
        <v>100</v>
      </c>
      <c r="V19" s="704" t="s">
        <v>14</v>
      </c>
      <c r="W19" s="705">
        <f>J19</f>
        <v>100</v>
      </c>
      <c r="X19" s="1354"/>
      <c r="Y19" s="383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837"/>
      <c r="Q20" s="1351"/>
      <c r="R20" s="704"/>
      <c r="S20" s="705"/>
      <c r="T20" s="704"/>
      <c r="U20" s="705"/>
      <c r="V20" s="704"/>
      <c r="W20" s="705"/>
      <c r="X20" s="1354"/>
      <c r="Y20" s="383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37"/>
      <c r="Q21" s="1351" t="str">
        <f>B21</f>
        <v>基础设施水平</v>
      </c>
      <c r="R21" s="704" t="s">
        <v>14</v>
      </c>
      <c r="S21" s="705">
        <f>F21</f>
        <v>100</v>
      </c>
      <c r="T21" s="704" t="s">
        <v>14</v>
      </c>
      <c r="U21" s="705">
        <f>H21</f>
        <v>100</v>
      </c>
      <c r="V21" s="704" t="s">
        <v>14</v>
      </c>
      <c r="W21" s="705">
        <f>J21</f>
        <v>100</v>
      </c>
      <c r="X21" s="1354"/>
      <c r="Y21" s="383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837"/>
      <c r="Q22" s="1351"/>
      <c r="R22" s="704"/>
      <c r="S22" s="705"/>
      <c r="T22" s="704"/>
      <c r="U22" s="705"/>
      <c r="V22" s="704"/>
      <c r="W22" s="705"/>
      <c r="X22" s="1354"/>
      <c r="Y22" s="383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37"/>
      <c r="Q23" s="1351" t="str">
        <f>B23</f>
        <v>自然及人文环境</v>
      </c>
      <c r="R23" s="704" t="s">
        <v>14</v>
      </c>
      <c r="S23" s="705">
        <f>F23</f>
        <v>100</v>
      </c>
      <c r="T23" s="704" t="s">
        <v>14</v>
      </c>
      <c r="U23" s="705">
        <f>H23</f>
        <v>100</v>
      </c>
      <c r="V23" s="704" t="s">
        <v>14</v>
      </c>
      <c r="W23" s="705">
        <f>J23</f>
        <v>100</v>
      </c>
      <c r="X23" s="1354"/>
      <c r="Y23" s="383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837"/>
      <c r="Q24" s="1351"/>
      <c r="R24" s="704"/>
      <c r="S24" s="705"/>
      <c r="T24" s="704"/>
      <c r="U24" s="705"/>
      <c r="V24" s="704"/>
      <c r="W24" s="705"/>
      <c r="X24" s="1354"/>
      <c r="Y24" s="383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37"/>
      <c r="Q25" s="1351" t="str">
        <f t="shared" ref="Q25:Q46" si="11">B25</f>
        <v>临街状况</v>
      </c>
      <c r="R25" s="704" t="s">
        <v>14</v>
      </c>
      <c r="S25" s="705">
        <f>F25</f>
        <v>100</v>
      </c>
      <c r="T25" s="704" t="s">
        <v>14</v>
      </c>
      <c r="U25" s="705">
        <f>H25</f>
        <v>100</v>
      </c>
      <c r="V25" s="704" t="s">
        <v>14</v>
      </c>
      <c r="W25" s="705">
        <f>J25</f>
        <v>100</v>
      </c>
      <c r="X25" s="1354"/>
      <c r="Y25" s="383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37"/>
      <c r="Q26" s="1351" t="str">
        <f t="shared" si="11"/>
        <v>平面位置/可视性</v>
      </c>
      <c r="R26" s="704" t="s">
        <v>14</v>
      </c>
      <c r="S26" s="705">
        <f>F26</f>
        <v>100</v>
      </c>
      <c r="T26" s="704" t="s">
        <v>14</v>
      </c>
      <c r="U26" s="705">
        <f>H26</f>
        <v>100</v>
      </c>
      <c r="V26" s="704" t="s">
        <v>14</v>
      </c>
      <c r="W26" s="705">
        <f>J26</f>
        <v>100</v>
      </c>
      <c r="X26" s="1354"/>
      <c r="Y26" s="383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37"/>
      <c r="Q27" s="1342" t="str">
        <f t="shared" si="11"/>
        <v>人流量</v>
      </c>
      <c r="R27" s="700" t="s">
        <v>14</v>
      </c>
      <c r="S27" s="701">
        <f>F27</f>
        <v>100</v>
      </c>
      <c r="T27" s="700" t="s">
        <v>14</v>
      </c>
      <c r="U27" s="701">
        <f>H27</f>
        <v>100</v>
      </c>
      <c r="V27" s="700" t="s">
        <v>14</v>
      </c>
      <c r="W27" s="701">
        <f>J27</f>
        <v>100</v>
      </c>
      <c r="X27" s="702"/>
      <c r="Y27" s="383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3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83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37"/>
      <c r="Q29" s="1351">
        <f t="shared" si="11"/>
        <v>111</v>
      </c>
      <c r="R29" s="704" t="s">
        <v>14</v>
      </c>
      <c r="S29" s="705">
        <f t="shared" si="12"/>
        <v>100</v>
      </c>
      <c r="T29" s="704" t="s">
        <v>14</v>
      </c>
      <c r="U29" s="705">
        <f t="shared" si="13"/>
        <v>100</v>
      </c>
      <c r="V29" s="704" t="s">
        <v>14</v>
      </c>
      <c r="W29" s="705">
        <f t="shared" si="14"/>
        <v>100</v>
      </c>
      <c r="X29" s="1354"/>
      <c r="Y29" s="383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37"/>
      <c r="Q30" s="1351">
        <f t="shared" si="11"/>
        <v>111</v>
      </c>
      <c r="R30" s="704" t="s">
        <v>14</v>
      </c>
      <c r="S30" s="705">
        <f t="shared" si="12"/>
        <v>100</v>
      </c>
      <c r="T30" s="704" t="s">
        <v>14</v>
      </c>
      <c r="U30" s="705">
        <f t="shared" si="13"/>
        <v>100</v>
      </c>
      <c r="V30" s="704" t="s">
        <v>14</v>
      </c>
      <c r="W30" s="705">
        <f t="shared" si="14"/>
        <v>100</v>
      </c>
      <c r="X30" s="1354"/>
      <c r="Y30" s="383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37"/>
      <c r="Q31" s="1351">
        <f t="shared" si="11"/>
        <v>111</v>
      </c>
      <c r="R31" s="704" t="s">
        <v>14</v>
      </c>
      <c r="S31" s="705">
        <f t="shared" si="12"/>
        <v>100</v>
      </c>
      <c r="T31" s="704" t="s">
        <v>14</v>
      </c>
      <c r="U31" s="705">
        <f t="shared" si="13"/>
        <v>100</v>
      </c>
      <c r="V31" s="704" t="s">
        <v>14</v>
      </c>
      <c r="W31" s="705">
        <f t="shared" si="14"/>
        <v>100</v>
      </c>
      <c r="X31" s="1354"/>
      <c r="Y31" s="383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831" t="s">
        <v>1696</v>
      </c>
      <c r="Q32" s="1351" t="str">
        <f t="shared" si="11"/>
        <v>商业类型</v>
      </c>
      <c r="R32" s="704" t="s">
        <v>14</v>
      </c>
      <c r="S32" s="705">
        <f t="shared" si="12"/>
        <v>100</v>
      </c>
      <c r="T32" s="704" t="s">
        <v>14</v>
      </c>
      <c r="U32" s="705">
        <f t="shared" si="13"/>
        <v>100</v>
      </c>
      <c r="V32" s="704" t="s">
        <v>14</v>
      </c>
      <c r="W32" s="705">
        <f t="shared" si="14"/>
        <v>100</v>
      </c>
      <c r="X32" s="1354"/>
      <c r="Y32" s="383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32"/>
      <c r="Q33" s="706" t="str">
        <f t="shared" si="11"/>
        <v>项目建筑规模</v>
      </c>
      <c r="R33" s="707" t="s">
        <v>14</v>
      </c>
      <c r="S33" s="708" t="e">
        <f t="shared" si="12"/>
        <v>#N/A</v>
      </c>
      <c r="T33" s="707" t="s">
        <v>14</v>
      </c>
      <c r="U33" s="708" t="e">
        <f t="shared" si="13"/>
        <v>#N/A</v>
      </c>
      <c r="V33" s="707" t="s">
        <v>14</v>
      </c>
      <c r="W33" s="708" t="e">
        <f t="shared" si="14"/>
        <v>#N/A</v>
      </c>
      <c r="X33" s="709"/>
      <c r="Y33" s="3834"/>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832"/>
      <c r="Q34" s="1351" t="str">
        <f t="shared" si="11"/>
        <v>建筑结构</v>
      </c>
      <c r="R34" s="704" t="s">
        <v>14</v>
      </c>
      <c r="S34" s="705">
        <f t="shared" si="12"/>
        <v>100</v>
      </c>
      <c r="T34" s="704" t="s">
        <v>14</v>
      </c>
      <c r="U34" s="705">
        <f t="shared" si="13"/>
        <v>100</v>
      </c>
      <c r="V34" s="704" t="s">
        <v>14</v>
      </c>
      <c r="W34" s="705">
        <f t="shared" si="14"/>
        <v>100</v>
      </c>
      <c r="X34" s="1354"/>
      <c r="Y34" s="383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832"/>
      <c r="Q35" s="1351" t="str">
        <f t="shared" si="11"/>
        <v>公共部分装修</v>
      </c>
      <c r="R35" s="704" t="s">
        <v>14</v>
      </c>
      <c r="S35" s="705">
        <f t="shared" si="12"/>
        <v>100</v>
      </c>
      <c r="T35" s="704" t="s">
        <v>14</v>
      </c>
      <c r="U35" s="705">
        <f t="shared" si="13"/>
        <v>100</v>
      </c>
      <c r="V35" s="704" t="s">
        <v>14</v>
      </c>
      <c r="W35" s="705">
        <f t="shared" si="14"/>
        <v>100</v>
      </c>
      <c r="X35" s="1354"/>
      <c r="Y35" s="383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32"/>
      <c r="Q36" s="1351" t="str">
        <f t="shared" si="11"/>
        <v>成新度</v>
      </c>
      <c r="R36" s="704" t="s">
        <v>14</v>
      </c>
      <c r="S36" s="705" t="e">
        <f t="shared" si="12"/>
        <v>#N/A</v>
      </c>
      <c r="T36" s="704" t="s">
        <v>14</v>
      </c>
      <c r="U36" s="705" t="e">
        <f t="shared" si="13"/>
        <v>#N/A</v>
      </c>
      <c r="V36" s="704" t="s">
        <v>14</v>
      </c>
      <c r="W36" s="705" t="e">
        <f t="shared" si="14"/>
        <v>#N/A</v>
      </c>
      <c r="X36" s="1354"/>
      <c r="Y36" s="383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832"/>
      <c r="Q37" s="1342" t="str">
        <f t="shared" si="11"/>
        <v>市政基础设施</v>
      </c>
      <c r="R37" s="700" t="s">
        <v>14</v>
      </c>
      <c r="S37" s="701">
        <f t="shared" si="12"/>
        <v>100</v>
      </c>
      <c r="T37" s="700" t="s">
        <v>14</v>
      </c>
      <c r="U37" s="701">
        <f t="shared" si="13"/>
        <v>100</v>
      </c>
      <c r="V37" s="700" t="s">
        <v>14</v>
      </c>
      <c r="W37" s="701">
        <f t="shared" si="14"/>
        <v>100</v>
      </c>
      <c r="X37" s="702"/>
      <c r="Y37" s="383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832" t="s">
        <v>1696</v>
      </c>
      <c r="Q38" s="1351" t="str">
        <f t="shared" si="11"/>
        <v>业态</v>
      </c>
      <c r="R38" s="704" t="s">
        <v>14</v>
      </c>
      <c r="S38" s="705">
        <f t="shared" si="12"/>
        <v>100</v>
      </c>
      <c r="T38" s="704" t="s">
        <v>14</v>
      </c>
      <c r="U38" s="705">
        <f t="shared" si="13"/>
        <v>100</v>
      </c>
      <c r="V38" s="704" t="s">
        <v>14</v>
      </c>
      <c r="W38" s="705">
        <f t="shared" si="14"/>
        <v>100</v>
      </c>
      <c r="X38" s="1354"/>
      <c r="Y38" s="383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832"/>
      <c r="Q39" s="1351" t="str">
        <f t="shared" si="11"/>
        <v>层高</v>
      </c>
      <c r="R39" s="704" t="s">
        <v>14</v>
      </c>
      <c r="S39" s="705">
        <f t="shared" si="12"/>
        <v>100</v>
      </c>
      <c r="T39" s="704" t="s">
        <v>14</v>
      </c>
      <c r="U39" s="705">
        <f t="shared" si="13"/>
        <v>100</v>
      </c>
      <c r="V39" s="704" t="s">
        <v>14</v>
      </c>
      <c r="W39" s="705">
        <f t="shared" si="14"/>
        <v>100</v>
      </c>
      <c r="X39" s="1354"/>
      <c r="Y39" s="383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32"/>
      <c r="Q40" s="1351" t="str">
        <f t="shared" si="11"/>
        <v>单套建筑面积</v>
      </c>
      <c r="R40" s="704" t="s">
        <v>14</v>
      </c>
      <c r="S40" s="705">
        <f t="shared" si="12"/>
        <v>100</v>
      </c>
      <c r="T40" s="704" t="s">
        <v>14</v>
      </c>
      <c r="U40" s="705">
        <f t="shared" si="13"/>
        <v>100</v>
      </c>
      <c r="V40" s="704" t="s">
        <v>14</v>
      </c>
      <c r="W40" s="705">
        <f t="shared" si="14"/>
        <v>100</v>
      </c>
      <c r="X40" s="1354"/>
      <c r="Y40" s="383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32"/>
      <c r="Q41" s="706" t="str">
        <f t="shared" si="11"/>
        <v>进深比</v>
      </c>
      <c r="R41" s="707" t="s">
        <v>14</v>
      </c>
      <c r="S41" s="708">
        <f t="shared" si="12"/>
        <v>100</v>
      </c>
      <c r="T41" s="707" t="s">
        <v>14</v>
      </c>
      <c r="U41" s="708">
        <f t="shared" si="13"/>
        <v>100</v>
      </c>
      <c r="V41" s="707" t="s">
        <v>14</v>
      </c>
      <c r="W41" s="708">
        <f t="shared" si="14"/>
        <v>100</v>
      </c>
      <c r="X41" s="709"/>
      <c r="Y41" s="383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832"/>
      <c r="Q42" s="1351" t="str">
        <f t="shared" si="11"/>
        <v>内部装修</v>
      </c>
      <c r="R42" s="704" t="s">
        <v>14</v>
      </c>
      <c r="S42" s="705">
        <f t="shared" si="12"/>
        <v>100</v>
      </c>
      <c r="T42" s="704" t="s">
        <v>14</v>
      </c>
      <c r="U42" s="705">
        <f t="shared" si="13"/>
        <v>100</v>
      </c>
      <c r="V42" s="704" t="s">
        <v>14</v>
      </c>
      <c r="W42" s="705">
        <f t="shared" si="14"/>
        <v>100</v>
      </c>
      <c r="X42" s="1354"/>
      <c r="Y42" s="383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832"/>
      <c r="Q43" s="1351" t="str">
        <f t="shared" si="11"/>
        <v>内部装修维护情况</v>
      </c>
      <c r="R43" s="704" t="s">
        <v>14</v>
      </c>
      <c r="S43" s="705">
        <f t="shared" si="12"/>
        <v>100</v>
      </c>
      <c r="T43" s="704" t="s">
        <v>14</v>
      </c>
      <c r="U43" s="705">
        <f t="shared" si="13"/>
        <v>100</v>
      </c>
      <c r="V43" s="704" t="s">
        <v>14</v>
      </c>
      <c r="W43" s="705">
        <f t="shared" si="14"/>
        <v>100</v>
      </c>
      <c r="X43" s="1354"/>
      <c r="Y43" s="383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32"/>
      <c r="Q44" s="1342">
        <f t="shared" si="11"/>
        <v>111</v>
      </c>
      <c r="R44" s="700" t="s">
        <v>14</v>
      </c>
      <c r="S44" s="701">
        <f t="shared" si="12"/>
        <v>100</v>
      </c>
      <c r="T44" s="700" t="s">
        <v>14</v>
      </c>
      <c r="U44" s="701">
        <f t="shared" si="13"/>
        <v>100</v>
      </c>
      <c r="V44" s="700" t="s">
        <v>14</v>
      </c>
      <c r="W44" s="701">
        <f t="shared" si="14"/>
        <v>100</v>
      </c>
      <c r="X44" s="702"/>
      <c r="Y44" s="383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32"/>
      <c r="Q45" s="1351">
        <f t="shared" si="11"/>
        <v>111</v>
      </c>
      <c r="R45" s="704" t="s">
        <v>14</v>
      </c>
      <c r="S45" s="705">
        <f t="shared" si="12"/>
        <v>100</v>
      </c>
      <c r="T45" s="704" t="s">
        <v>14</v>
      </c>
      <c r="U45" s="705">
        <f t="shared" si="13"/>
        <v>100</v>
      </c>
      <c r="V45" s="704" t="s">
        <v>14</v>
      </c>
      <c r="W45" s="705">
        <f t="shared" si="14"/>
        <v>100</v>
      </c>
      <c r="X45" s="1354"/>
      <c r="Y45" s="383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33"/>
      <c r="Q46" s="1351">
        <f t="shared" si="11"/>
        <v>111</v>
      </c>
      <c r="R46" s="704" t="s">
        <v>14</v>
      </c>
      <c r="S46" s="705">
        <f t="shared" si="12"/>
        <v>100</v>
      </c>
      <c r="T46" s="704" t="s">
        <v>14</v>
      </c>
      <c r="U46" s="705">
        <f t="shared" si="13"/>
        <v>100</v>
      </c>
      <c r="V46" s="704" t="s">
        <v>14</v>
      </c>
      <c r="W46" s="705">
        <f t="shared" si="14"/>
        <v>100</v>
      </c>
      <c r="X46" s="1354"/>
      <c r="Y46" s="383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827" t="str">
        <f>A47</f>
        <v>成交单价（元/平方米）</v>
      </c>
      <c r="Q47" s="3827"/>
      <c r="R47" s="3858">
        <f>E47</f>
        <v>0</v>
      </c>
      <c r="S47" s="3858"/>
      <c r="T47" s="3858">
        <f>G47</f>
        <v>0</v>
      </c>
      <c r="U47" s="3858"/>
      <c r="V47" s="3858">
        <f>I47</f>
        <v>0</v>
      </c>
      <c r="W47" s="3858"/>
      <c r="X47" s="689"/>
      <c r="Y47" s="711"/>
      <c r="Z47" s="689"/>
      <c r="AA47" s="689"/>
      <c r="AB47" s="689"/>
      <c r="AC47" s="689"/>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827" t="str">
        <f>A48</f>
        <v>比较价值（元/平方米）</v>
      </c>
      <c r="Q48" s="3827"/>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2023-12</v>
      </c>
      <c r="D58" s="1184">
        <f>EDATE(C58,-1)</f>
        <v>45231</v>
      </c>
      <c r="E58" s="1184">
        <f t="shared" ref="E58:N58" si="16">EDATE(D58,-1)</f>
        <v>45200</v>
      </c>
      <c r="F58" s="1184">
        <f t="shared" si="16"/>
        <v>45170</v>
      </c>
      <c r="G58" s="1184">
        <f t="shared" si="16"/>
        <v>45139</v>
      </c>
      <c r="H58" s="1184">
        <f t="shared" si="16"/>
        <v>45108</v>
      </c>
      <c r="I58" s="1184">
        <f t="shared" si="16"/>
        <v>45078</v>
      </c>
      <c r="J58" s="1184">
        <f t="shared" si="16"/>
        <v>45047</v>
      </c>
      <c r="K58" s="1184">
        <f t="shared" si="16"/>
        <v>45017</v>
      </c>
      <c r="L58" s="1184">
        <f t="shared" si="16"/>
        <v>44986</v>
      </c>
      <c r="M58" s="1184">
        <f t="shared" si="16"/>
        <v>44958</v>
      </c>
      <c r="N58" s="1184">
        <f t="shared" si="16"/>
        <v>44927</v>
      </c>
      <c r="O58" s="1184">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0" zoomScale="60" zoomScaleNormal="70" workbookViewId="0">
      <selection activeCell="N21" sqref="N21"/>
    </sheetView>
  </sheetViews>
  <sheetFormatPr defaultColWidth="9" defaultRowHeight="14.25"/>
  <cols>
    <col min="1" max="1" width="10.5" style="357" customWidth="1"/>
    <col min="2" max="2" width="15.875" style="357" customWidth="1"/>
    <col min="3"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12.5" style="905" bestFit="1" customWidth="1"/>
    <col min="17" max="17" width="19.5" style="357" customWidth="1"/>
    <col min="18" max="22" width="11.375" style="357" bestFit="1"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t="s">
        <v>3570</v>
      </c>
      <c r="F1" s="1878" t="s">
        <v>3571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196805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40201</v>
      </c>
      <c r="C3" s="354" t="s">
        <v>1768</v>
      </c>
      <c r="D3" s="353">
        <f>IF(D1="",'数据-汇总表'!E3,SUMIF('数据-汇总表'!$C19:$C33,D1,'数据-汇总表'!$E19:$E33))</f>
        <v>48955.32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842" t="s">
        <v>1770</v>
      </c>
      <c r="D4" s="3843"/>
      <c r="E4" s="3844" t="s">
        <v>1771</v>
      </c>
      <c r="F4" s="3845"/>
      <c r="G4" s="3842" t="s">
        <v>1772</v>
      </c>
      <c r="H4" s="3843"/>
      <c r="I4" s="3842" t="s">
        <v>1773</v>
      </c>
      <c r="J4" s="3843"/>
      <c r="K4" s="559" t="s">
        <v>1774</v>
      </c>
      <c r="L4" s="2714"/>
      <c r="M4" s="2715"/>
      <c r="N4" s="2715"/>
      <c r="O4" s="2715"/>
      <c r="P4" s="3876" t="s">
        <v>1775</v>
      </c>
      <c r="Q4" s="3877"/>
      <c r="R4" s="3880" t="s">
        <v>1771</v>
      </c>
      <c r="S4" s="3881"/>
      <c r="T4" s="3880" t="s">
        <v>1772</v>
      </c>
      <c r="U4" s="3881"/>
      <c r="V4" s="3882" t="s">
        <v>1773</v>
      </c>
      <c r="W4" s="3882"/>
      <c r="X4" s="1957"/>
      <c r="Y4" s="3880" t="s">
        <v>1775</v>
      </c>
      <c r="Z4" s="3881"/>
      <c r="AA4" s="3890" t="s">
        <v>1771</v>
      </c>
      <c r="AB4" s="3890" t="s">
        <v>1772</v>
      </c>
      <c r="AC4" s="3873" t="s">
        <v>1773</v>
      </c>
    </row>
    <row r="5" spans="1:29" ht="14.1" customHeight="1">
      <c r="A5" s="358"/>
      <c r="B5" s="359"/>
      <c r="C5" s="3861" t="s">
        <v>1673</v>
      </c>
      <c r="D5" s="3862"/>
      <c r="E5" s="3885" t="str">
        <f>[2]大宗案例!$A$6</f>
        <v>中国金融出版社中心</v>
      </c>
      <c r="F5" s="3886"/>
      <c r="G5" s="3885" t="str">
        <f>[2]大宗案例!$A$7</f>
        <v>通用时代中心B、C座</v>
      </c>
      <c r="H5" s="3886"/>
      <c r="I5" s="3888" t="str">
        <f>[2]大宗案例!$A$8</f>
        <v>北京远洋锐中心</v>
      </c>
      <c r="J5" s="3889"/>
      <c r="K5" s="559"/>
      <c r="L5" s="2714"/>
      <c r="M5" s="2715"/>
      <c r="N5" s="2715"/>
      <c r="O5" s="2715"/>
      <c r="P5" s="3878"/>
      <c r="Q5" s="3849"/>
      <c r="R5" s="3854"/>
      <c r="S5" s="3855"/>
      <c r="T5" s="3854"/>
      <c r="U5" s="3855"/>
      <c r="V5" s="3858"/>
      <c r="W5" s="3858"/>
      <c r="X5" s="1354"/>
      <c r="Y5" s="3854"/>
      <c r="Z5" s="3855"/>
      <c r="AA5" s="3840"/>
      <c r="AB5" s="3840"/>
      <c r="AC5" s="3874"/>
    </row>
    <row r="6" spans="1:29" ht="15.75" thickBot="1">
      <c r="A6" s="360"/>
      <c r="B6" s="361"/>
      <c r="C6" s="3859" t="s">
        <v>1677</v>
      </c>
      <c r="D6" s="3860"/>
      <c r="E6" s="3883" t="s">
        <v>3602</v>
      </c>
      <c r="F6" s="3884"/>
      <c r="G6" s="3883" t="s">
        <v>3603</v>
      </c>
      <c r="H6" s="3884"/>
      <c r="I6" s="3883" t="s">
        <v>3604</v>
      </c>
      <c r="J6" s="3884"/>
      <c r="K6" s="559" t="s">
        <v>1678</v>
      </c>
      <c r="L6" s="2714"/>
      <c r="M6" s="2715"/>
      <c r="N6" s="2715"/>
      <c r="O6" s="2715"/>
      <c r="P6" s="3879"/>
      <c r="Q6" s="3851"/>
      <c r="R6" s="3854"/>
      <c r="S6" s="3855"/>
      <c r="T6" s="3856"/>
      <c r="U6" s="3857"/>
      <c r="V6" s="3858"/>
      <c r="W6" s="3858"/>
      <c r="X6" s="1354"/>
      <c r="Y6" s="3856"/>
      <c r="Z6" s="3857"/>
      <c r="AA6" s="3841"/>
      <c r="AB6" s="3841"/>
      <c r="AC6" s="3875"/>
    </row>
    <row r="7" spans="1:29" s="108" customFormat="1" ht="15.75" thickBot="1">
      <c r="A7" s="362" t="s">
        <v>1679</v>
      </c>
      <c r="B7" s="363"/>
      <c r="C7" s="364">
        <f>'数据-取费表'!B2</f>
        <v>45291</v>
      </c>
      <c r="D7" s="365">
        <v>100</v>
      </c>
      <c r="E7" s="366">
        <v>44835</v>
      </c>
      <c r="F7" s="367">
        <f>SUMIF(59:59,YEAR(E7)&amp;"-"&amp;MONTH(E7),60:60)</f>
        <v>99</v>
      </c>
      <c r="G7" s="366">
        <v>44835</v>
      </c>
      <c r="H7" s="365">
        <f>SUMIF(59:59,YEAR(G7)&amp;"-"&amp;MONTH(G7),60:60)</f>
        <v>99</v>
      </c>
      <c r="I7" s="366">
        <v>44713</v>
      </c>
      <c r="J7" s="365">
        <f>SUMIF(59:59,YEAR(I7)&amp;"-"&amp;MONTH(I7),60:60)</f>
        <v>99</v>
      </c>
      <c r="K7" s="560"/>
      <c r="L7" s="2716"/>
      <c r="M7" s="2717"/>
      <c r="N7" s="2717"/>
      <c r="O7" s="2717"/>
      <c r="P7" s="3887" t="s">
        <v>1680</v>
      </c>
      <c r="Q7" s="3865"/>
      <c r="R7" s="700" t="s">
        <v>14</v>
      </c>
      <c r="S7" s="701">
        <f t="shared" ref="S7:S15" si="0">F7</f>
        <v>99</v>
      </c>
      <c r="T7" s="700" t="s">
        <v>14</v>
      </c>
      <c r="U7" s="701">
        <f t="shared" ref="U7:U15" si="1">H7</f>
        <v>99</v>
      </c>
      <c r="V7" s="700" t="s">
        <v>14</v>
      </c>
      <c r="W7" s="701">
        <f t="shared" ref="W7:W15" si="2">J7</f>
        <v>99</v>
      </c>
      <c r="X7" s="702"/>
      <c r="Y7" s="3863" t="s">
        <v>1680</v>
      </c>
      <c r="Z7" s="3864"/>
      <c r="AA7" s="703">
        <f>D7/F7</f>
        <v>1.0101010101010102</v>
      </c>
      <c r="AB7" s="703">
        <f>D7/H7</f>
        <v>1.0101010101010102</v>
      </c>
      <c r="AC7" s="1958">
        <f>D7/J7</f>
        <v>1.0101010101010102</v>
      </c>
    </row>
    <row r="8" spans="1:29" s="108" customFormat="1" ht="15.75" thickBot="1">
      <c r="A8" s="362" t="s">
        <v>1681</v>
      </c>
      <c r="B8" s="363"/>
      <c r="C8" s="368" t="s">
        <v>3572</v>
      </c>
      <c r="D8" s="365">
        <v>100</v>
      </c>
      <c r="E8" s="368" t="s">
        <v>3572</v>
      </c>
      <c r="F8" s="367">
        <f>SUMIF(62:62,E8,63:63)-SUMIF(62:62,C8,63:63)+100</f>
        <v>100</v>
      </c>
      <c r="G8" s="368" t="s">
        <v>3572</v>
      </c>
      <c r="H8" s="365">
        <f>SUMIF(62:62,G8,63:63)-SUMIF(62:62,C8,63:63)+100</f>
        <v>100</v>
      </c>
      <c r="I8" s="368" t="s">
        <v>3572</v>
      </c>
      <c r="J8" s="365">
        <f>SUMIF(62:62,I8,63:63)-SUMIF(62:62,C8,63:63)+100</f>
        <v>100</v>
      </c>
      <c r="K8" s="560"/>
      <c r="L8" s="2716"/>
      <c r="M8" s="2717"/>
      <c r="N8" s="2717"/>
      <c r="O8" s="2717"/>
      <c r="P8" s="3887" t="s">
        <v>1683</v>
      </c>
      <c r="Q8" s="3864"/>
      <c r="R8" s="700" t="s">
        <v>14</v>
      </c>
      <c r="S8" s="701">
        <f t="shared" si="0"/>
        <v>100</v>
      </c>
      <c r="T8" s="700" t="s">
        <v>14</v>
      </c>
      <c r="U8" s="701">
        <f t="shared" si="1"/>
        <v>100</v>
      </c>
      <c r="V8" s="700" t="s">
        <v>14</v>
      </c>
      <c r="W8" s="701">
        <f t="shared" si="2"/>
        <v>100</v>
      </c>
      <c r="X8" s="702"/>
      <c r="Y8" s="3863" t="s">
        <v>1683</v>
      </c>
      <c r="Z8" s="3864"/>
      <c r="AA8" s="703">
        <f t="shared" ref="AA8:AA47" si="3">D8/F8</f>
        <v>1</v>
      </c>
      <c r="AB8" s="703">
        <f t="shared" ref="AB8:AB47" si="4">D8/H8</f>
        <v>1</v>
      </c>
      <c r="AC8" s="1958">
        <f t="shared" ref="AC8:AC47" si="5">D8/J8</f>
        <v>1</v>
      </c>
    </row>
    <row r="9" spans="1:29" s="108" customFormat="1" ht="15">
      <c r="A9" s="369" t="s">
        <v>1684</v>
      </c>
      <c r="B9" s="3977" t="s">
        <v>1685</v>
      </c>
      <c r="C9" s="3978" t="s">
        <v>3573</v>
      </c>
      <c r="D9" s="3979">
        <v>100</v>
      </c>
      <c r="E9" s="3980" t="s">
        <v>21</v>
      </c>
      <c r="F9" s="3979">
        <f>SUMIF(64:64,E9,65:65)-SUMIF(64:64,C9,65:65)+100</f>
        <v>97</v>
      </c>
      <c r="G9" s="3980" t="s">
        <v>21</v>
      </c>
      <c r="H9" s="3979">
        <f>SUMIF(64:64,G9,65:65)-SUMIF(64:64,C9,65:65)+100</f>
        <v>97</v>
      </c>
      <c r="I9" s="3980" t="s">
        <v>21</v>
      </c>
      <c r="J9" s="3979">
        <f>SUMIF(64:64,I9,65:65)-SUMIF(64:64,C9,65:65)+100</f>
        <v>97</v>
      </c>
      <c r="K9" s="560"/>
      <c r="L9" s="2716"/>
      <c r="M9" s="2717"/>
      <c r="N9" s="2717"/>
      <c r="O9" s="2717"/>
      <c r="P9" s="3838" t="s">
        <v>1686</v>
      </c>
      <c r="Q9" s="1342" t="str">
        <f t="shared" ref="Q9:Q15" si="6">B9</f>
        <v>用途</v>
      </c>
      <c r="R9" s="700" t="s">
        <v>14</v>
      </c>
      <c r="S9" s="701">
        <f t="shared" si="0"/>
        <v>97</v>
      </c>
      <c r="T9" s="700" t="s">
        <v>14</v>
      </c>
      <c r="U9" s="701">
        <f t="shared" si="1"/>
        <v>97</v>
      </c>
      <c r="V9" s="700" t="s">
        <v>14</v>
      </c>
      <c r="W9" s="701">
        <f t="shared" si="2"/>
        <v>97</v>
      </c>
      <c r="X9" s="702"/>
      <c r="Y9" s="3702" t="s">
        <v>1687</v>
      </c>
      <c r="Z9" s="52" t="str">
        <f t="shared" ref="Z9:Z15" si="7">Q9</f>
        <v>用途</v>
      </c>
      <c r="AA9" s="703">
        <f t="shared" si="3"/>
        <v>1.0309278350515463</v>
      </c>
      <c r="AB9" s="703">
        <f t="shared" si="4"/>
        <v>1.0309278350515463</v>
      </c>
      <c r="AC9" s="1958">
        <f t="shared" si="5"/>
        <v>1.0309278350515463</v>
      </c>
    </row>
    <row r="10" spans="1:29" s="378" customFormat="1" ht="27">
      <c r="A10" s="374"/>
      <c r="B10" s="3981" t="s">
        <v>1688</v>
      </c>
      <c r="C10" s="3982" t="s">
        <v>3621</v>
      </c>
      <c r="D10" s="3983">
        <v>100</v>
      </c>
      <c r="E10" s="3982" t="s">
        <v>3627</v>
      </c>
      <c r="F10" s="3983">
        <f>SUMIF(66:66,E10,67:67)-SUMIF(66:66,C10,67:67)+100</f>
        <v>105</v>
      </c>
      <c r="G10" s="3982" t="str">
        <f>E10</f>
        <v>40-50（年）</v>
      </c>
      <c r="H10" s="3983">
        <f>SUMIF(66:66,G10,67:67)-SUMIF(66:66,C10,67:67)+100</f>
        <v>105</v>
      </c>
      <c r="I10" s="3982" t="str">
        <f>E10</f>
        <v>40-50（年）</v>
      </c>
      <c r="J10" s="3983">
        <f>SUMIF(66:66,I10,67:67)-SUMIF(66:66,C10,67:67)+100</f>
        <v>105</v>
      </c>
      <c r="K10" s="560"/>
      <c r="L10" s="2718"/>
      <c r="M10" s="2719"/>
      <c r="N10" s="2719"/>
      <c r="O10" s="2719"/>
      <c r="P10" s="3838"/>
      <c r="Q10" s="1342" t="str">
        <f t="shared" si="6"/>
        <v>土地使用年限（年）</v>
      </c>
      <c r="R10" s="700" t="s">
        <v>14</v>
      </c>
      <c r="S10" s="701">
        <f t="shared" si="0"/>
        <v>105</v>
      </c>
      <c r="T10" s="700" t="s">
        <v>14</v>
      </c>
      <c r="U10" s="701">
        <f t="shared" si="1"/>
        <v>105</v>
      </c>
      <c r="V10" s="700" t="s">
        <v>14</v>
      </c>
      <c r="W10" s="701">
        <f t="shared" si="2"/>
        <v>105</v>
      </c>
      <c r="X10" s="702"/>
      <c r="Y10" s="3702"/>
      <c r="Z10" s="52" t="str">
        <f t="shared" si="7"/>
        <v>土地使用年限（年）</v>
      </c>
      <c r="AA10" s="703">
        <f t="shared" si="3"/>
        <v>0.95238095238095233</v>
      </c>
      <c r="AB10" s="703">
        <f t="shared" si="4"/>
        <v>0.95238095238095233</v>
      </c>
      <c r="AC10" s="1958">
        <f t="shared" si="5"/>
        <v>0.95238095238095233</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8"/>
      <c r="Q11" s="1342" t="str">
        <f t="shared" si="6"/>
        <v>容积率</v>
      </c>
      <c r="R11" s="700" t="s">
        <v>14</v>
      </c>
      <c r="S11" s="701">
        <f t="shared" si="0"/>
        <v>100</v>
      </c>
      <c r="T11" s="700" t="s">
        <v>14</v>
      </c>
      <c r="U11" s="701">
        <f t="shared" si="1"/>
        <v>100</v>
      </c>
      <c r="V11" s="700" t="s">
        <v>14</v>
      </c>
      <c r="W11" s="701">
        <f t="shared" si="2"/>
        <v>100</v>
      </c>
      <c r="X11" s="702"/>
      <c r="Y11" s="370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8"/>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8"/>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8"/>
      <c r="Q14" s="1342">
        <f t="shared" si="6"/>
        <v>111</v>
      </c>
      <c r="R14" s="700" t="s">
        <v>14</v>
      </c>
      <c r="S14" s="701">
        <f t="shared" si="0"/>
        <v>100</v>
      </c>
      <c r="T14" s="700" t="s">
        <v>14</v>
      </c>
      <c r="U14" s="701">
        <f t="shared" si="1"/>
        <v>100</v>
      </c>
      <c r="V14" s="700" t="s">
        <v>14</v>
      </c>
      <c r="W14" s="701">
        <f t="shared" si="2"/>
        <v>100</v>
      </c>
      <c r="X14" s="702"/>
      <c r="Y14" s="370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3"/>
      <c r="F15" s="392">
        <f>SUMIF(77:77,E16,78:78)-SUMIF(77:77,C16,78:78)+100</f>
        <v>97</v>
      </c>
      <c r="G15" s="393"/>
      <c r="H15" s="392">
        <f>SUMIF(77:77,G16,78:78)-SUMIF(77:77,C16,78:78)+100</f>
        <v>97</v>
      </c>
      <c r="I15" s="393"/>
      <c r="J15" s="392">
        <f>SUMIF(77:77,I16,78:78)-SUMIF(77:77,C16,78:78)+100</f>
        <v>97</v>
      </c>
      <c r="K15" s="563">
        <v>3</v>
      </c>
      <c r="L15" s="2721"/>
      <c r="M15" s="2715"/>
      <c r="N15" s="2715"/>
      <c r="O15" s="2715"/>
      <c r="P15" s="3836" t="s">
        <v>1691</v>
      </c>
      <c r="Q15" s="1351" t="str">
        <f t="shared" si="6"/>
        <v>办公集聚程度</v>
      </c>
      <c r="R15" s="704" t="s">
        <v>14</v>
      </c>
      <c r="S15" s="705">
        <f t="shared" si="0"/>
        <v>97</v>
      </c>
      <c r="T15" s="704" t="s">
        <v>14</v>
      </c>
      <c r="U15" s="705">
        <f t="shared" si="1"/>
        <v>97</v>
      </c>
      <c r="V15" s="704" t="s">
        <v>14</v>
      </c>
      <c r="W15" s="705">
        <f t="shared" si="2"/>
        <v>97</v>
      </c>
      <c r="X15" s="1354"/>
      <c r="Y15" s="3829" t="s">
        <v>1691</v>
      </c>
      <c r="Z15" s="1355" t="str">
        <f t="shared" si="7"/>
        <v>办公集聚程度</v>
      </c>
      <c r="AA15" s="1352">
        <f t="shared" si="3"/>
        <v>1.0309278350515463</v>
      </c>
      <c r="AB15" s="1352">
        <f t="shared" si="4"/>
        <v>1.0309278350515463</v>
      </c>
      <c r="AC15" s="1961">
        <f t="shared" si="5"/>
        <v>1.0309278350515463</v>
      </c>
    </row>
    <row r="16" spans="1:29" ht="15">
      <c r="A16" s="379"/>
      <c r="B16" s="578"/>
      <c r="C16" s="1903" t="s">
        <v>3574</v>
      </c>
      <c r="D16" s="399"/>
      <c r="E16" s="398" t="s">
        <v>3605</v>
      </c>
      <c r="F16" s="399"/>
      <c r="G16" s="398" t="s">
        <v>3605</v>
      </c>
      <c r="H16" s="401"/>
      <c r="I16" s="398" t="s">
        <v>3605</v>
      </c>
      <c r="J16" s="399"/>
      <c r="K16" s="564"/>
      <c r="L16" s="2721"/>
      <c r="M16" s="2715"/>
      <c r="N16" s="2715"/>
      <c r="O16" s="2715"/>
      <c r="P16" s="3837"/>
      <c r="Q16" s="1351"/>
      <c r="R16" s="704"/>
      <c r="S16" s="705"/>
      <c r="T16" s="704"/>
      <c r="U16" s="705"/>
      <c r="V16" s="704"/>
      <c r="W16" s="705"/>
      <c r="X16" s="1354"/>
      <c r="Y16" s="383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3"/>
      <c r="F17" s="401">
        <f>SUMIF(79:79,E18,80:80)-SUMIF(79:79,C18,80:80)+100</f>
        <v>100</v>
      </c>
      <c r="G17" s="403"/>
      <c r="H17" s="406">
        <f>SUMIF(79:79,G18,80:80)-SUMIF(79:79,C18,80:80)+100</f>
        <v>100</v>
      </c>
      <c r="I17" s="403"/>
      <c r="J17" s="406">
        <f>SUMIF(79:79,I18,80:80)-SUMIF(79:79,C18,80:80)+100</f>
        <v>100</v>
      </c>
      <c r="K17" s="563">
        <v>2</v>
      </c>
      <c r="L17" s="2721"/>
      <c r="M17" s="2715"/>
      <c r="N17" s="2715"/>
      <c r="O17" s="2715"/>
      <c r="P17" s="3837"/>
      <c r="Q17" s="1351" t="str">
        <f>B17</f>
        <v>交通便捷度</v>
      </c>
      <c r="R17" s="704" t="s">
        <v>14</v>
      </c>
      <c r="S17" s="705">
        <f>F17</f>
        <v>100</v>
      </c>
      <c r="T17" s="704" t="s">
        <v>14</v>
      </c>
      <c r="U17" s="705">
        <f>H17</f>
        <v>100</v>
      </c>
      <c r="V17" s="704" t="s">
        <v>14</v>
      </c>
      <c r="W17" s="705">
        <f>J17</f>
        <v>100</v>
      </c>
      <c r="X17" s="1354"/>
      <c r="Y17" s="3830"/>
      <c r="Z17" s="1355" t="str">
        <f>Q17</f>
        <v>交通便捷度</v>
      </c>
      <c r="AA17" s="1352">
        <f t="shared" si="3"/>
        <v>1</v>
      </c>
      <c r="AB17" s="1352">
        <f t="shared" si="4"/>
        <v>1</v>
      </c>
      <c r="AC17" s="1961">
        <f t="shared" si="5"/>
        <v>1</v>
      </c>
    </row>
    <row r="18" spans="1:29" ht="15">
      <c r="A18" s="379"/>
      <c r="B18" s="580"/>
      <c r="C18" s="1903" t="s">
        <v>3574</v>
      </c>
      <c r="D18" s="401"/>
      <c r="E18" s="1902" t="s">
        <v>3574</v>
      </c>
      <c r="F18" s="401"/>
      <c r="G18" s="1902" t="s">
        <v>3574</v>
      </c>
      <c r="H18" s="399"/>
      <c r="I18" s="1902" t="s">
        <v>3574</v>
      </c>
      <c r="J18" s="399"/>
      <c r="K18" s="564"/>
      <c r="L18" s="2721"/>
      <c r="M18" s="2715"/>
      <c r="N18" s="2715"/>
      <c r="O18" s="2715"/>
      <c r="P18" s="3837"/>
      <c r="Q18" s="1351"/>
      <c r="R18" s="704"/>
      <c r="S18" s="705"/>
      <c r="T18" s="704"/>
      <c r="U18" s="705"/>
      <c r="V18" s="704"/>
      <c r="W18" s="705"/>
      <c r="X18" s="1354"/>
      <c r="Y18" s="3830"/>
      <c r="Z18" s="1355"/>
      <c r="AA18" s="1352">
        <v>1</v>
      </c>
      <c r="AB18" s="1352">
        <v>1</v>
      </c>
      <c r="AC18" s="1961">
        <v>1</v>
      </c>
    </row>
    <row r="19" spans="1:29" ht="42.75">
      <c r="A19" s="379"/>
      <c r="B19" s="579" t="s">
        <v>1812</v>
      </c>
      <c r="C19" s="1962" t="str">
        <f>估价对象房地状况!C7</f>
        <v>估价对象所在区域公共配套设施齐备情况</v>
      </c>
      <c r="D19" s="406">
        <v>100</v>
      </c>
      <c r="E19" s="408"/>
      <c r="F19" s="406">
        <f>SUMIF(81:81,E20,82:82)-SUMIF(81:81,C20,82:82)+100</f>
        <v>100</v>
      </c>
      <c r="G19" s="408"/>
      <c r="H19" s="401">
        <f>SUMIF(81:81,G20,82:82)-SUMIF(81:81,C20,82:82)+100</f>
        <v>100</v>
      </c>
      <c r="I19" s="408"/>
      <c r="J19" s="401">
        <f>SUMIF(81:81,I20,82:82)-SUMIF(81:81,C20,82:82)+100</f>
        <v>100</v>
      </c>
      <c r="K19" s="563">
        <v>2</v>
      </c>
      <c r="L19" s="2721"/>
      <c r="M19" s="2715"/>
      <c r="N19" s="2715"/>
      <c r="O19" s="2715"/>
      <c r="P19" s="3837"/>
      <c r="Q19" s="1351" t="str">
        <f>B19</f>
        <v>公共配套设施</v>
      </c>
      <c r="R19" s="704" t="s">
        <v>14</v>
      </c>
      <c r="S19" s="705">
        <f>F19</f>
        <v>100</v>
      </c>
      <c r="T19" s="704" t="s">
        <v>14</v>
      </c>
      <c r="U19" s="705">
        <f>H19</f>
        <v>100</v>
      </c>
      <c r="V19" s="704" t="s">
        <v>14</v>
      </c>
      <c r="W19" s="705">
        <f>J19</f>
        <v>100</v>
      </c>
      <c r="X19" s="1354"/>
      <c r="Y19" s="3830"/>
      <c r="Z19" s="1355" t="str">
        <f>Q19</f>
        <v>公共配套设施</v>
      </c>
      <c r="AA19" s="1352">
        <f t="shared" si="3"/>
        <v>1</v>
      </c>
      <c r="AB19" s="1352">
        <f t="shared" si="4"/>
        <v>1</v>
      </c>
      <c r="AC19" s="1961">
        <f t="shared" si="5"/>
        <v>1</v>
      </c>
    </row>
    <row r="20" spans="1:29" ht="15">
      <c r="A20" s="379"/>
      <c r="B20" s="580"/>
      <c r="C20" s="1903" t="s">
        <v>3574</v>
      </c>
      <c r="D20" s="399"/>
      <c r="E20" s="1897" t="s">
        <v>3574</v>
      </c>
      <c r="F20" s="399"/>
      <c r="G20" s="1897" t="s">
        <v>3574</v>
      </c>
      <c r="H20" s="399"/>
      <c r="I20" s="1897" t="s">
        <v>3574</v>
      </c>
      <c r="J20" s="399"/>
      <c r="K20" s="564"/>
      <c r="L20" s="2721"/>
      <c r="M20" s="2715"/>
      <c r="N20" s="2715"/>
      <c r="O20" s="2715"/>
      <c r="P20" s="3837"/>
      <c r="Q20" s="1351"/>
      <c r="R20" s="704"/>
      <c r="S20" s="705"/>
      <c r="T20" s="704"/>
      <c r="U20" s="705"/>
      <c r="V20" s="704"/>
      <c r="W20" s="705"/>
      <c r="X20" s="1354"/>
      <c r="Y20" s="3830"/>
      <c r="Z20" s="1355"/>
      <c r="AA20" s="1352">
        <v>1</v>
      </c>
      <c r="AB20" s="1352">
        <v>1</v>
      </c>
      <c r="AC20" s="1961">
        <v>1</v>
      </c>
    </row>
    <row r="21" spans="1:29" ht="28.5">
      <c r="A21" s="379"/>
      <c r="B21" s="581" t="s">
        <v>1813</v>
      </c>
      <c r="C21" s="1962" t="str">
        <f>估价对象房地状况!C8</f>
        <v>估价对象所在区域基础设施水平</v>
      </c>
      <c r="D21" s="401">
        <v>100</v>
      </c>
      <c r="E21" s="408"/>
      <c r="F21" s="406">
        <f>SUMIF(83:83,E22,84:84)-SUMIF(83:83,C22,84:84)+100</f>
        <v>100</v>
      </c>
      <c r="G21" s="408"/>
      <c r="H21" s="401">
        <f>SUMIF(83:83,G22,84:84)-SUMIF(83:83,C22,84:84)+100</f>
        <v>100</v>
      </c>
      <c r="I21" s="408"/>
      <c r="J21" s="401">
        <f>SUMIF(83:83,I22,84:84)-SUMIF(83:83,C22,84:84)+100</f>
        <v>100</v>
      </c>
      <c r="K21" s="563">
        <v>2</v>
      </c>
      <c r="L21" s="2721"/>
      <c r="M21" s="2715"/>
      <c r="N21" s="2715"/>
      <c r="O21" s="2715"/>
      <c r="P21" s="3837"/>
      <c r="Q21" s="1351" t="str">
        <f>B21</f>
        <v>基础设施水平</v>
      </c>
      <c r="R21" s="704" t="s">
        <v>14</v>
      </c>
      <c r="S21" s="705">
        <f>F21</f>
        <v>100</v>
      </c>
      <c r="T21" s="704" t="s">
        <v>14</v>
      </c>
      <c r="U21" s="705">
        <f>H21</f>
        <v>100</v>
      </c>
      <c r="V21" s="704" t="s">
        <v>14</v>
      </c>
      <c r="W21" s="705">
        <f>J21</f>
        <v>100</v>
      </c>
      <c r="X21" s="1354"/>
      <c r="Y21" s="3830"/>
      <c r="Z21" s="1355" t="str">
        <f>Q21</f>
        <v>基础设施水平</v>
      </c>
      <c r="AA21" s="1352">
        <f t="shared" ref="AA21" si="8">D21/F21</f>
        <v>1</v>
      </c>
      <c r="AB21" s="1352">
        <f t="shared" ref="AB21" si="9">D21/H21</f>
        <v>1</v>
      </c>
      <c r="AC21" s="1961">
        <f t="shared" ref="AC21" si="10">D21/J21</f>
        <v>1</v>
      </c>
    </row>
    <row r="22" spans="1:29" ht="15">
      <c r="A22" s="379"/>
      <c r="B22" s="581"/>
      <c r="C22" s="1963" t="s">
        <v>3575</v>
      </c>
      <c r="D22" s="399"/>
      <c r="E22" s="1903" t="s">
        <v>3575</v>
      </c>
      <c r="F22" s="399"/>
      <c r="G22" s="1903" t="s">
        <v>3575</v>
      </c>
      <c r="H22" s="399"/>
      <c r="I22" s="1903" t="s">
        <v>3575</v>
      </c>
      <c r="J22" s="399"/>
      <c r="K22" s="1129"/>
      <c r="L22" s="2721"/>
      <c r="M22" s="2715"/>
      <c r="N22" s="2715"/>
      <c r="O22" s="2715"/>
      <c r="P22" s="3837"/>
      <c r="Q22" s="1351"/>
      <c r="R22" s="704"/>
      <c r="S22" s="705"/>
      <c r="T22" s="704"/>
      <c r="U22" s="705"/>
      <c r="V22" s="704"/>
      <c r="W22" s="705"/>
      <c r="X22" s="1354"/>
      <c r="Y22" s="383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3"/>
      <c r="F23" s="401">
        <f>SUMIF(85:85,E24,86:86)-SUMIF(85:85,C24,86:86)+100</f>
        <v>100</v>
      </c>
      <c r="G23" s="403"/>
      <c r="H23" s="401">
        <f>SUMIF(85:85,G24,86:86)-SUMIF(85:85,C24,86:86)+100</f>
        <v>100</v>
      </c>
      <c r="I23" s="403"/>
      <c r="J23" s="401">
        <f>SUMIF(85:85,I24,86:86)-SUMIF(85:85,C24,86:86)+100</f>
        <v>100</v>
      </c>
      <c r="K23" s="563">
        <v>2</v>
      </c>
      <c r="L23" s="2721"/>
      <c r="M23" s="2715"/>
      <c r="N23" s="2715"/>
      <c r="O23" s="2715"/>
      <c r="P23" s="3837"/>
      <c r="Q23" s="1351" t="str">
        <f>B23</f>
        <v>环境质量</v>
      </c>
      <c r="R23" s="704" t="s">
        <v>14</v>
      </c>
      <c r="S23" s="705">
        <f>F23</f>
        <v>100</v>
      </c>
      <c r="T23" s="704" t="s">
        <v>14</v>
      </c>
      <c r="U23" s="705">
        <f>H23</f>
        <v>100</v>
      </c>
      <c r="V23" s="704" t="s">
        <v>14</v>
      </c>
      <c r="W23" s="705">
        <f>J23</f>
        <v>100</v>
      </c>
      <c r="X23" s="1354"/>
      <c r="Y23" s="3830"/>
      <c r="Z23" s="1355" t="str">
        <f>Q23</f>
        <v>环境质量</v>
      </c>
      <c r="AA23" s="1352">
        <f t="shared" si="3"/>
        <v>1</v>
      </c>
      <c r="AB23" s="1352">
        <f t="shared" si="4"/>
        <v>1</v>
      </c>
      <c r="AC23" s="1961">
        <f t="shared" si="5"/>
        <v>1</v>
      </c>
    </row>
    <row r="24" spans="1:29" ht="15">
      <c r="A24" s="379"/>
      <c r="B24" s="581"/>
      <c r="C24" s="1903" t="s">
        <v>3574</v>
      </c>
      <c r="D24" s="399"/>
      <c r="E24" s="1897" t="s">
        <v>3574</v>
      </c>
      <c r="F24" s="399"/>
      <c r="G24" s="1897" t="s">
        <v>3574</v>
      </c>
      <c r="H24" s="399"/>
      <c r="I24" s="1897" t="s">
        <v>3574</v>
      </c>
      <c r="J24" s="399"/>
      <c r="K24" s="564"/>
      <c r="L24" s="2721"/>
      <c r="M24" s="2715"/>
      <c r="N24" s="2715"/>
      <c r="O24" s="2715"/>
      <c r="P24" s="3837"/>
      <c r="Q24" s="1351"/>
      <c r="R24" s="704"/>
      <c r="S24" s="705"/>
      <c r="T24" s="704"/>
      <c r="U24" s="705"/>
      <c r="V24" s="704"/>
      <c r="W24" s="705"/>
      <c r="X24" s="1354"/>
      <c r="Y24" s="3830"/>
      <c r="Z24" s="1355"/>
      <c r="AA24" s="1352">
        <v>1</v>
      </c>
      <c r="AB24" s="1352">
        <v>1</v>
      </c>
      <c r="AC24" s="1961">
        <v>1</v>
      </c>
    </row>
    <row r="25" spans="1:29" ht="28.5">
      <c r="A25" s="358"/>
      <c r="B25" s="579" t="s">
        <v>1815</v>
      </c>
      <c r="C25" s="1907" t="s">
        <v>3576</v>
      </c>
      <c r="D25" s="386">
        <v>100</v>
      </c>
      <c r="E25" s="3606" t="s">
        <v>3626</v>
      </c>
      <c r="F25" s="386">
        <f>SUMIF(87:87,E26,88:88)-SUMIF(87:87,C26,88:88)+100</f>
        <v>101</v>
      </c>
      <c r="G25" s="1907" t="s">
        <v>3606</v>
      </c>
      <c r="H25" s="386">
        <f>SUMIF(87:87,G26,88:88)-SUMIF(87:87,C26,88:88)+100</f>
        <v>100</v>
      </c>
      <c r="I25" s="385" t="s">
        <v>3606</v>
      </c>
      <c r="J25" s="386">
        <f>SUMIF(87:87,I26,88:88)-SUMIF(87:87,C26,88:88)+100</f>
        <v>100</v>
      </c>
      <c r="K25" s="563">
        <v>1</v>
      </c>
      <c r="L25" s="2721"/>
      <c r="M25" s="2715"/>
      <c r="N25" s="2715"/>
      <c r="O25" s="2715"/>
      <c r="P25" s="3837"/>
      <c r="Q25" s="1351" t="str">
        <f>B25</f>
        <v>毗邻道路的类型与等级</v>
      </c>
      <c r="R25" s="704" t="s">
        <v>14</v>
      </c>
      <c r="S25" s="705">
        <f>F25</f>
        <v>101</v>
      </c>
      <c r="T25" s="704" t="s">
        <v>14</v>
      </c>
      <c r="U25" s="705">
        <f>H25</f>
        <v>100</v>
      </c>
      <c r="V25" s="704" t="s">
        <v>14</v>
      </c>
      <c r="W25" s="705">
        <f>J25</f>
        <v>100</v>
      </c>
      <c r="X25" s="1354"/>
      <c r="Y25" s="3830"/>
      <c r="Z25" s="1355" t="str">
        <f>Q25</f>
        <v>毗邻道路的类型与等级</v>
      </c>
      <c r="AA25" s="1352">
        <f t="shared" si="3"/>
        <v>0.99009900990099009</v>
      </c>
      <c r="AB25" s="1352">
        <f t="shared" si="4"/>
        <v>1</v>
      </c>
      <c r="AC25" s="1961">
        <f t="shared" si="5"/>
        <v>1</v>
      </c>
    </row>
    <row r="26" spans="1:29" ht="15">
      <c r="A26" s="358"/>
      <c r="B26" s="580"/>
      <c r="C26" s="582" t="s">
        <v>3580</v>
      </c>
      <c r="D26" s="386"/>
      <c r="E26" s="565" t="s">
        <v>3579</v>
      </c>
      <c r="F26" s="386"/>
      <c r="G26" s="582" t="s">
        <v>3580</v>
      </c>
      <c r="H26" s="386"/>
      <c r="I26" s="565" t="s">
        <v>3580</v>
      </c>
      <c r="J26" s="386"/>
      <c r="K26" s="564"/>
      <c r="L26" s="2721"/>
      <c r="M26" s="2715"/>
      <c r="N26" s="2715"/>
      <c r="O26" s="2715"/>
      <c r="P26" s="3837"/>
      <c r="Q26" s="1351"/>
      <c r="R26" s="704"/>
      <c r="S26" s="705"/>
      <c r="T26" s="704"/>
      <c r="U26" s="705"/>
      <c r="V26" s="704"/>
      <c r="W26" s="705"/>
      <c r="X26" s="1354"/>
      <c r="Y26" s="383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37"/>
      <c r="Q27" s="1351" t="str">
        <f t="shared" ref="Q27:Q47" si="11">B27</f>
        <v>楼层</v>
      </c>
      <c r="R27" s="704" t="s">
        <v>14</v>
      </c>
      <c r="S27" s="705">
        <f>F27</f>
        <v>100</v>
      </c>
      <c r="T27" s="704" t="s">
        <v>14</v>
      </c>
      <c r="U27" s="705">
        <f>H27</f>
        <v>100</v>
      </c>
      <c r="V27" s="704" t="s">
        <v>14</v>
      </c>
      <c r="W27" s="705">
        <f>J27</f>
        <v>100</v>
      </c>
      <c r="X27" s="1354"/>
      <c r="Y27" s="383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37"/>
      <c r="Q28" s="1342" t="str">
        <f t="shared" si="11"/>
        <v>朝向</v>
      </c>
      <c r="R28" s="700" t="s">
        <v>14</v>
      </c>
      <c r="S28" s="701">
        <f>F28</f>
        <v>100</v>
      </c>
      <c r="T28" s="700" t="s">
        <v>14</v>
      </c>
      <c r="U28" s="701">
        <f>H28</f>
        <v>100</v>
      </c>
      <c r="V28" s="700" t="s">
        <v>14</v>
      </c>
      <c r="W28" s="701">
        <f>J28</f>
        <v>100</v>
      </c>
      <c r="X28" s="702"/>
      <c r="Y28" s="383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37"/>
      <c r="Q29" s="1351">
        <f t="shared" si="11"/>
        <v>111</v>
      </c>
      <c r="R29" s="704" t="s">
        <v>14</v>
      </c>
      <c r="S29" s="705">
        <f t="shared" ref="S29:S47" si="12">F29</f>
        <v>100</v>
      </c>
      <c r="T29" s="704" t="s">
        <v>14</v>
      </c>
      <c r="U29" s="705">
        <f t="shared" ref="U29:U47" si="13">H29</f>
        <v>100</v>
      </c>
      <c r="V29" s="704" t="s">
        <v>14</v>
      </c>
      <c r="W29" s="705">
        <f t="shared" ref="W29:W47" si="14">J29</f>
        <v>100</v>
      </c>
      <c r="X29" s="1354"/>
      <c r="Y29" s="383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37"/>
      <c r="Q30" s="1351">
        <f t="shared" si="11"/>
        <v>111</v>
      </c>
      <c r="R30" s="704" t="s">
        <v>14</v>
      </c>
      <c r="S30" s="705">
        <f t="shared" si="12"/>
        <v>100</v>
      </c>
      <c r="T30" s="704" t="s">
        <v>14</v>
      </c>
      <c r="U30" s="705">
        <f t="shared" si="13"/>
        <v>100</v>
      </c>
      <c r="V30" s="704" t="s">
        <v>14</v>
      </c>
      <c r="W30" s="705">
        <f t="shared" si="14"/>
        <v>100</v>
      </c>
      <c r="X30" s="1354"/>
      <c r="Y30" s="383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37"/>
      <c r="Q31" s="1351">
        <f t="shared" si="11"/>
        <v>111</v>
      </c>
      <c r="R31" s="704" t="s">
        <v>14</v>
      </c>
      <c r="S31" s="705">
        <f t="shared" si="12"/>
        <v>100</v>
      </c>
      <c r="T31" s="704" t="s">
        <v>14</v>
      </c>
      <c r="U31" s="705">
        <f t="shared" si="13"/>
        <v>100</v>
      </c>
      <c r="V31" s="704" t="s">
        <v>14</v>
      </c>
      <c r="W31" s="705">
        <f t="shared" si="14"/>
        <v>100</v>
      </c>
      <c r="X31" s="1354"/>
      <c r="Y31" s="383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37"/>
      <c r="Q32" s="1351">
        <f t="shared" si="11"/>
        <v>111</v>
      </c>
      <c r="R32" s="704" t="s">
        <v>14</v>
      </c>
      <c r="S32" s="705">
        <f t="shared" si="12"/>
        <v>100</v>
      </c>
      <c r="T32" s="704" t="s">
        <v>14</v>
      </c>
      <c r="U32" s="705">
        <f t="shared" si="13"/>
        <v>100</v>
      </c>
      <c r="V32" s="704" t="s">
        <v>14</v>
      </c>
      <c r="W32" s="705">
        <f t="shared" si="14"/>
        <v>100</v>
      </c>
      <c r="X32" s="1354"/>
      <c r="Y32" s="3830"/>
      <c r="Z32" s="1355">
        <f t="shared" si="15"/>
        <v>111</v>
      </c>
      <c r="AA32" s="1352">
        <f t="shared" si="3"/>
        <v>1</v>
      </c>
      <c r="AB32" s="1352">
        <f t="shared" si="4"/>
        <v>1</v>
      </c>
      <c r="AC32" s="1961">
        <f t="shared" si="5"/>
        <v>1</v>
      </c>
    </row>
    <row r="33" spans="1:29" ht="15">
      <c r="A33" s="391" t="s">
        <v>1694</v>
      </c>
      <c r="B33" s="63" t="s">
        <v>1817</v>
      </c>
      <c r="C33" s="1909" t="s">
        <v>3601</v>
      </c>
      <c r="D33" s="418">
        <v>100</v>
      </c>
      <c r="E33" s="1966" t="s">
        <v>3625</v>
      </c>
      <c r="F33" s="412">
        <f>SUMIF(101:101,E33,102:102)-SUMIF(101:101,C33,102:102)+100</f>
        <v>101</v>
      </c>
      <c r="G33" s="1966" t="s">
        <v>3607</v>
      </c>
      <c r="H33" s="386">
        <f>SUMIF(101:101,G33,102:102)-SUMIF(101:101,C33,102:102)+100</f>
        <v>102</v>
      </c>
      <c r="I33" s="1966" t="s">
        <v>3607</v>
      </c>
      <c r="J33" s="418">
        <f>SUMIF(101:101,I33,102:102)-SUMIF(101:101,C33,102:102)+100</f>
        <v>102</v>
      </c>
      <c r="K33" s="561">
        <v>1</v>
      </c>
      <c r="L33" s="2721"/>
      <c r="M33" s="2715"/>
      <c r="N33" s="2715"/>
      <c r="O33" s="2715"/>
      <c r="P33" s="3831" t="s">
        <v>1696</v>
      </c>
      <c r="Q33" s="1351" t="str">
        <f t="shared" si="11"/>
        <v>建筑类型</v>
      </c>
      <c r="R33" s="704" t="s">
        <v>14</v>
      </c>
      <c r="S33" s="705">
        <f t="shared" si="12"/>
        <v>101</v>
      </c>
      <c r="T33" s="704" t="s">
        <v>14</v>
      </c>
      <c r="U33" s="705">
        <f t="shared" si="13"/>
        <v>102</v>
      </c>
      <c r="V33" s="704" t="s">
        <v>14</v>
      </c>
      <c r="W33" s="705">
        <f t="shared" si="14"/>
        <v>102</v>
      </c>
      <c r="X33" s="1354"/>
      <c r="Y33" s="3834" t="s">
        <v>1696</v>
      </c>
      <c r="Z33" s="1355" t="str">
        <f t="shared" si="15"/>
        <v>建筑类型</v>
      </c>
      <c r="AA33" s="1352">
        <f t="shared" si="3"/>
        <v>0.99009900990099009</v>
      </c>
      <c r="AB33" s="1352">
        <f t="shared" si="4"/>
        <v>0.98039215686274506</v>
      </c>
      <c r="AC33" s="1961">
        <f t="shared" si="5"/>
        <v>0.98039215686274506</v>
      </c>
    </row>
    <row r="34" spans="1:29" s="422" customFormat="1" ht="15">
      <c r="A34" s="419"/>
      <c r="B34" s="375" t="s">
        <v>1697</v>
      </c>
      <c r="C34" s="3594">
        <f>'数据-汇总表'!E3</f>
        <v>48955.32</v>
      </c>
      <c r="D34" s="127">
        <v>100</v>
      </c>
      <c r="E34" s="381">
        <f>大宗交易案例2022!G55</f>
        <v>34999</v>
      </c>
      <c r="F34" s="376">
        <f>LOOKUP(E34,104:104,105:105)-LOOKUP(C34,104:104,105:105)+100</f>
        <v>100</v>
      </c>
      <c r="G34" s="380">
        <f>大宗交易案例2022!G56</f>
        <v>184914</v>
      </c>
      <c r="H34" s="127">
        <f>LOOKUP(G34,104:104,105:105)-LOOKUP(C34,104:104,105:105)+100</f>
        <v>95</v>
      </c>
      <c r="I34" s="380">
        <v>119000</v>
      </c>
      <c r="J34" s="127">
        <f>LOOKUP(I34,104:104,105:105)-LOOKUP(C34,104:104,105:105)+100</f>
        <v>98</v>
      </c>
      <c r="K34" s="562"/>
      <c r="L34" s="2720"/>
      <c r="M34" s="2722"/>
      <c r="N34" s="2722"/>
      <c r="O34" s="2722"/>
      <c r="P34" s="3832"/>
      <c r="Q34" s="706" t="str">
        <f t="shared" si="11"/>
        <v>项目建筑规模</v>
      </c>
      <c r="R34" s="707" t="s">
        <v>14</v>
      </c>
      <c r="S34" s="708">
        <f t="shared" si="12"/>
        <v>100</v>
      </c>
      <c r="T34" s="707" t="s">
        <v>14</v>
      </c>
      <c r="U34" s="708">
        <f t="shared" si="13"/>
        <v>95</v>
      </c>
      <c r="V34" s="707" t="s">
        <v>14</v>
      </c>
      <c r="W34" s="708">
        <f t="shared" si="14"/>
        <v>98</v>
      </c>
      <c r="X34" s="709"/>
      <c r="Y34" s="3834"/>
      <c r="Z34" s="710" t="str">
        <f t="shared" si="15"/>
        <v>项目建筑规模</v>
      </c>
      <c r="AA34" s="1352">
        <f t="shared" si="3"/>
        <v>1</v>
      </c>
      <c r="AB34" s="1352">
        <f t="shared" si="4"/>
        <v>1.0526315789473684</v>
      </c>
      <c r="AC34" s="1961">
        <f t="shared" si="5"/>
        <v>1.0204081632653061</v>
      </c>
    </row>
    <row r="35" spans="1:29" ht="15">
      <c r="A35" s="423"/>
      <c r="B35" s="375" t="s">
        <v>1698</v>
      </c>
      <c r="C35" s="1911" t="s">
        <v>3587</v>
      </c>
      <c r="D35" s="386">
        <v>100</v>
      </c>
      <c r="E35" s="411" t="s">
        <v>3587</v>
      </c>
      <c r="F35" s="412">
        <f>SUMIF(106:106,E35,107:107)-SUMIF(106:106,C35,107:107)+100</f>
        <v>100</v>
      </c>
      <c r="G35" s="411" t="s">
        <v>3587</v>
      </c>
      <c r="H35" s="386">
        <f>SUMIF(106:106,G35,107:107)-SUMIF(106:106,C35,107:107)+100</f>
        <v>100</v>
      </c>
      <c r="I35" s="411" t="s">
        <v>3587</v>
      </c>
      <c r="J35" s="386">
        <f>SUMIF(106:106,I35,107:107)-SUMIF(106:106,C35,107:107)+100</f>
        <v>100</v>
      </c>
      <c r="K35" s="561"/>
      <c r="L35" s="2721"/>
      <c r="M35" s="2715"/>
      <c r="N35" s="2715"/>
      <c r="O35" s="2715"/>
      <c r="P35" s="3832"/>
      <c r="Q35" s="1351" t="str">
        <f t="shared" si="11"/>
        <v>建筑结构</v>
      </c>
      <c r="R35" s="704" t="s">
        <v>14</v>
      </c>
      <c r="S35" s="705">
        <f t="shared" si="12"/>
        <v>100</v>
      </c>
      <c r="T35" s="704" t="s">
        <v>14</v>
      </c>
      <c r="U35" s="705">
        <f t="shared" si="13"/>
        <v>100</v>
      </c>
      <c r="V35" s="704" t="s">
        <v>14</v>
      </c>
      <c r="W35" s="705">
        <f t="shared" si="14"/>
        <v>100</v>
      </c>
      <c r="X35" s="1354"/>
      <c r="Y35" s="3834"/>
      <c r="Z35" s="1355" t="str">
        <f t="shared" si="15"/>
        <v>建筑结构</v>
      </c>
      <c r="AA35" s="1352">
        <f t="shared" si="3"/>
        <v>1</v>
      </c>
      <c r="AB35" s="1352">
        <f t="shared" si="4"/>
        <v>1</v>
      </c>
      <c r="AC35" s="1961">
        <f t="shared" si="5"/>
        <v>1</v>
      </c>
    </row>
    <row r="36" spans="1:29" ht="15">
      <c r="A36" s="423"/>
      <c r="B36" s="375" t="s">
        <v>1785</v>
      </c>
      <c r="C36" s="1911" t="s">
        <v>3589</v>
      </c>
      <c r="D36" s="386">
        <v>100</v>
      </c>
      <c r="E36" s="411" t="s">
        <v>3589</v>
      </c>
      <c r="F36" s="412">
        <f>SUMIF(108:108,E36,109:109)-SUMIF(108:108,C36,109:109)+100</f>
        <v>100</v>
      </c>
      <c r="G36" s="411" t="s">
        <v>3589</v>
      </c>
      <c r="H36" s="386">
        <f>SUMIF(108:108,G36,109:109)-SUMIF(108:108,C36,109:109)+100</f>
        <v>100</v>
      </c>
      <c r="I36" s="411" t="s">
        <v>3589</v>
      </c>
      <c r="J36" s="386">
        <f>SUMIF(108:108,I36,109:109)-SUMIF(108:108,C36,109:109)+100</f>
        <v>100</v>
      </c>
      <c r="K36" s="561"/>
      <c r="L36" s="2721"/>
      <c r="M36" s="2715"/>
      <c r="N36" s="2715"/>
      <c r="O36" s="2715"/>
      <c r="P36" s="3832"/>
      <c r="Q36" s="1351" t="str">
        <f t="shared" si="11"/>
        <v>公共部分装修</v>
      </c>
      <c r="R36" s="704" t="s">
        <v>14</v>
      </c>
      <c r="S36" s="705">
        <f t="shared" si="12"/>
        <v>100</v>
      </c>
      <c r="T36" s="704" t="s">
        <v>14</v>
      </c>
      <c r="U36" s="705">
        <f t="shared" si="13"/>
        <v>100</v>
      </c>
      <c r="V36" s="704" t="s">
        <v>14</v>
      </c>
      <c r="W36" s="705">
        <f t="shared" si="14"/>
        <v>100</v>
      </c>
      <c r="X36" s="1354"/>
      <c r="Y36" s="3834"/>
      <c r="Z36" s="1355" t="str">
        <f t="shared" si="15"/>
        <v>公共部分装修</v>
      </c>
      <c r="AA36" s="1352">
        <f t="shared" si="3"/>
        <v>1</v>
      </c>
      <c r="AB36" s="1352">
        <f t="shared" si="4"/>
        <v>1</v>
      </c>
      <c r="AC36" s="1961">
        <f t="shared" si="5"/>
        <v>1</v>
      </c>
    </row>
    <row r="37" spans="1:29" ht="15">
      <c r="A37" s="423"/>
      <c r="B37" s="375" t="s">
        <v>1786</v>
      </c>
      <c r="C37" s="3595">
        <f>'收益预测(整体) '!D39</f>
        <v>0.86</v>
      </c>
      <c r="D37" s="386">
        <v>100</v>
      </c>
      <c r="E37" s="425">
        <v>1</v>
      </c>
      <c r="F37" s="412">
        <f>LOOKUP(E37,111:111,112:112)-LOOKUP(C37,111:111,112:112)+100</f>
        <v>102</v>
      </c>
      <c r="G37" s="425">
        <f>(1-(2024-2020)/60)*0.5+0.95*0.5</f>
        <v>0.94166666666666665</v>
      </c>
      <c r="H37" s="412">
        <f>LOOKUP(G37,111:111,112:112)-LOOKUP(C37,111:111,112:112)+100</f>
        <v>102</v>
      </c>
      <c r="I37" s="425">
        <f>(1-(2024-2020)/60)*0.5+0.95*0.5</f>
        <v>0.94166666666666665</v>
      </c>
      <c r="J37" s="386">
        <f>LOOKUP(I37,111:111,112:112)-LOOKUP(C37,111:111,112:112)+100</f>
        <v>102</v>
      </c>
      <c r="K37" s="561">
        <v>2</v>
      </c>
      <c r="L37" s="2721"/>
      <c r="M37" s="2715"/>
      <c r="N37" s="2715"/>
      <c r="O37" s="2715"/>
      <c r="P37" s="3832"/>
      <c r="Q37" s="1351" t="str">
        <f t="shared" si="11"/>
        <v>成新度</v>
      </c>
      <c r="R37" s="704" t="s">
        <v>14</v>
      </c>
      <c r="S37" s="705">
        <f t="shared" si="12"/>
        <v>102</v>
      </c>
      <c r="T37" s="704" t="s">
        <v>14</v>
      </c>
      <c r="U37" s="705">
        <f t="shared" si="13"/>
        <v>102</v>
      </c>
      <c r="V37" s="704" t="s">
        <v>14</v>
      </c>
      <c r="W37" s="705">
        <f t="shared" si="14"/>
        <v>102</v>
      </c>
      <c r="X37" s="1354"/>
      <c r="Y37" s="3834"/>
      <c r="Z37" s="1355" t="str">
        <f t="shared" si="15"/>
        <v>成新度</v>
      </c>
      <c r="AA37" s="1352">
        <f t="shared" si="3"/>
        <v>0.98039215686274506</v>
      </c>
      <c r="AB37" s="1352">
        <f t="shared" si="4"/>
        <v>0.98039215686274506</v>
      </c>
      <c r="AC37" s="1961">
        <f t="shared" si="5"/>
        <v>0.98039215686274506</v>
      </c>
    </row>
    <row r="38" spans="1:29" s="108" customFormat="1" ht="15">
      <c r="A38" s="424"/>
      <c r="B38" s="375" t="s">
        <v>1818</v>
      </c>
      <c r="C38" s="1911" t="s">
        <v>3591</v>
      </c>
      <c r="D38" s="127">
        <v>100</v>
      </c>
      <c r="E38" s="411" t="s">
        <v>3591</v>
      </c>
      <c r="F38" s="412">
        <f>SUMIF(113:113,E38,114:114)-SUMIF(113:113,C38,114:114)+100</f>
        <v>100</v>
      </c>
      <c r="G38" s="411" t="s">
        <v>3591</v>
      </c>
      <c r="H38" s="386">
        <f>SUMIF(113:113,G38,114:114)-SUMIF(113:113,C38,114:114)+100</f>
        <v>100</v>
      </c>
      <c r="I38" s="411" t="s">
        <v>3591</v>
      </c>
      <c r="J38" s="386">
        <f>SUMIF(113:113,I38,114:114)-SUMIF(113:113,C38,114:114)+100</f>
        <v>100</v>
      </c>
      <c r="K38" s="561">
        <v>1</v>
      </c>
      <c r="L38" s="2716"/>
      <c r="M38" s="2717"/>
      <c r="N38" s="2717"/>
      <c r="O38" s="2717"/>
      <c r="P38" s="3832"/>
      <c r="Q38" s="1342" t="str">
        <f t="shared" si="11"/>
        <v>写字楼等级</v>
      </c>
      <c r="R38" s="700" t="s">
        <v>14</v>
      </c>
      <c r="S38" s="701">
        <f t="shared" si="12"/>
        <v>100</v>
      </c>
      <c r="T38" s="700" t="s">
        <v>14</v>
      </c>
      <c r="U38" s="701">
        <f t="shared" si="13"/>
        <v>100</v>
      </c>
      <c r="V38" s="700" t="s">
        <v>14</v>
      </c>
      <c r="W38" s="701">
        <f t="shared" si="14"/>
        <v>100</v>
      </c>
      <c r="X38" s="702"/>
      <c r="Y38" s="3834"/>
      <c r="Z38" s="52" t="str">
        <f t="shared" si="15"/>
        <v>写字楼等级</v>
      </c>
      <c r="AA38" s="703">
        <f t="shared" si="3"/>
        <v>1</v>
      </c>
      <c r="AB38" s="703">
        <f t="shared" si="4"/>
        <v>1</v>
      </c>
      <c r="AC38" s="1958">
        <f t="shared" si="5"/>
        <v>1</v>
      </c>
    </row>
    <row r="39" spans="1:29" ht="15">
      <c r="A39" s="423"/>
      <c r="B39" s="375" t="s">
        <v>1819</v>
      </c>
      <c r="C39" s="1911" t="s">
        <v>3594</v>
      </c>
      <c r="D39" s="386">
        <v>100</v>
      </c>
      <c r="E39" s="1911" t="s">
        <v>3594</v>
      </c>
      <c r="F39" s="412">
        <f>SUMIF(115:115,E39,116:116)-SUMIF(115:115,C39,116:116)+100</f>
        <v>100</v>
      </c>
      <c r="G39" s="1911" t="s">
        <v>3594</v>
      </c>
      <c r="H39" s="386">
        <f>SUMIF(115:115,G39,116:116)-SUMIF(115:115,C39,116:116)+100</f>
        <v>100</v>
      </c>
      <c r="I39" s="1911" t="s">
        <v>3594</v>
      </c>
      <c r="J39" s="386">
        <f>SUMIF(115:115,I39,116:116)-SUMIF(115:115,C39,116:116)+100</f>
        <v>100</v>
      </c>
      <c r="K39" s="561">
        <v>1</v>
      </c>
      <c r="L39" s="2721"/>
      <c r="M39" s="2715"/>
      <c r="N39" s="2715"/>
      <c r="O39" s="2715"/>
      <c r="P39" s="3832" t="s">
        <v>1696</v>
      </c>
      <c r="Q39" s="1351" t="str">
        <f t="shared" si="11"/>
        <v>物业管理</v>
      </c>
      <c r="R39" s="704" t="s">
        <v>14</v>
      </c>
      <c r="S39" s="705">
        <f t="shared" si="12"/>
        <v>100</v>
      </c>
      <c r="T39" s="704" t="s">
        <v>14</v>
      </c>
      <c r="U39" s="705">
        <f t="shared" si="13"/>
        <v>100</v>
      </c>
      <c r="V39" s="704" t="s">
        <v>14</v>
      </c>
      <c r="W39" s="705">
        <f t="shared" si="14"/>
        <v>100</v>
      </c>
      <c r="X39" s="1354"/>
      <c r="Y39" s="3834" t="s">
        <v>1696</v>
      </c>
      <c r="Z39" s="1355" t="str">
        <f t="shared" si="15"/>
        <v>物业管理</v>
      </c>
      <c r="AA39" s="1352">
        <f t="shared" si="3"/>
        <v>1</v>
      </c>
      <c r="AB39" s="1352">
        <f t="shared" si="4"/>
        <v>1</v>
      </c>
      <c r="AC39" s="1961">
        <f t="shared" si="5"/>
        <v>1</v>
      </c>
    </row>
    <row r="40" spans="1:29" ht="15">
      <c r="A40" s="423"/>
      <c r="B40" s="375" t="s">
        <v>1787</v>
      </c>
      <c r="C40" s="1911" t="s">
        <v>3575</v>
      </c>
      <c r="D40" s="386">
        <v>100</v>
      </c>
      <c r="E40" s="1911" t="s">
        <v>3575</v>
      </c>
      <c r="F40" s="412">
        <f>SUMIF(117:117,E40,118:118)-SUMIF(117:117,C40,118:118)+100</f>
        <v>100</v>
      </c>
      <c r="G40" s="1911" t="s">
        <v>3575</v>
      </c>
      <c r="H40" s="386">
        <f>SUMIF(117:117,G40,118:118)-SUMIF(117:117,C40,118:118)+100</f>
        <v>100</v>
      </c>
      <c r="I40" s="1911" t="s">
        <v>3575</v>
      </c>
      <c r="J40" s="386">
        <f>SUMIF(117:117,I40,118:118)-SUMIF(117:117,C40,118:118)+100</f>
        <v>100</v>
      </c>
      <c r="K40" s="561">
        <v>1</v>
      </c>
      <c r="L40" s="2721"/>
      <c r="M40" s="2715"/>
      <c r="N40" s="2715"/>
      <c r="O40" s="2715"/>
      <c r="P40" s="3832"/>
      <c r="Q40" s="1351" t="str">
        <f t="shared" si="11"/>
        <v>市政基础设施</v>
      </c>
      <c r="R40" s="704" t="s">
        <v>14</v>
      </c>
      <c r="S40" s="705">
        <f t="shared" si="12"/>
        <v>100</v>
      </c>
      <c r="T40" s="704" t="s">
        <v>14</v>
      </c>
      <c r="U40" s="705">
        <f t="shared" si="13"/>
        <v>100</v>
      </c>
      <c r="V40" s="704" t="s">
        <v>14</v>
      </c>
      <c r="W40" s="705">
        <f t="shared" si="14"/>
        <v>100</v>
      </c>
      <c r="X40" s="1354"/>
      <c r="Y40" s="3834"/>
      <c r="Z40" s="1355" t="str">
        <f t="shared" si="15"/>
        <v>市政基础设施</v>
      </c>
      <c r="AA40" s="1352">
        <f t="shared" si="3"/>
        <v>1</v>
      </c>
      <c r="AB40" s="1352">
        <f t="shared" si="4"/>
        <v>1</v>
      </c>
      <c r="AC40" s="1961">
        <f t="shared" si="5"/>
        <v>1</v>
      </c>
    </row>
    <row r="41" spans="1:29" ht="15">
      <c r="A41" s="423"/>
      <c r="B41" s="375" t="s">
        <v>1789</v>
      </c>
      <c r="C41" s="3596"/>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2"/>
      <c r="Q41" s="1351" t="str">
        <f t="shared" si="11"/>
        <v>层高</v>
      </c>
      <c r="R41" s="704" t="s">
        <v>14</v>
      </c>
      <c r="S41" s="705">
        <f t="shared" si="12"/>
        <v>100</v>
      </c>
      <c r="T41" s="704" t="s">
        <v>14</v>
      </c>
      <c r="U41" s="705">
        <f t="shared" si="13"/>
        <v>100</v>
      </c>
      <c r="V41" s="704" t="s">
        <v>14</v>
      </c>
      <c r="W41" s="705">
        <f t="shared" si="14"/>
        <v>100</v>
      </c>
      <c r="X41" s="1354"/>
      <c r="Y41" s="3834"/>
      <c r="Z41" s="1355" t="str">
        <f t="shared" si="15"/>
        <v>层高</v>
      </c>
      <c r="AA41" s="1352">
        <f t="shared" si="3"/>
        <v>1</v>
      </c>
      <c r="AB41" s="1352">
        <f t="shared" si="4"/>
        <v>1</v>
      </c>
      <c r="AC41" s="1961">
        <f t="shared" si="5"/>
        <v>1</v>
      </c>
    </row>
    <row r="42" spans="1:29" s="422" customFormat="1" ht="15">
      <c r="A42" s="419"/>
      <c r="B42" s="1353" t="s">
        <v>1820</v>
      </c>
      <c r="C42" s="3597"/>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2"/>
      <c r="Q42" s="706" t="str">
        <f t="shared" si="11"/>
        <v>单套建筑面积</v>
      </c>
      <c r="R42" s="707" t="s">
        <v>14</v>
      </c>
      <c r="S42" s="708">
        <f t="shared" si="12"/>
        <v>100</v>
      </c>
      <c r="T42" s="707" t="s">
        <v>14</v>
      </c>
      <c r="U42" s="708">
        <f t="shared" si="13"/>
        <v>100</v>
      </c>
      <c r="V42" s="707" t="s">
        <v>14</v>
      </c>
      <c r="W42" s="708">
        <f t="shared" si="14"/>
        <v>100</v>
      </c>
      <c r="X42" s="709"/>
      <c r="Y42" s="3834"/>
      <c r="Z42" s="710" t="str">
        <f t="shared" si="15"/>
        <v>单套建筑面积</v>
      </c>
      <c r="AA42" s="1352">
        <f t="shared" si="3"/>
        <v>1</v>
      </c>
      <c r="AB42" s="1352">
        <f t="shared" si="4"/>
        <v>1</v>
      </c>
      <c r="AC42" s="1961">
        <f t="shared" si="5"/>
        <v>1</v>
      </c>
    </row>
    <row r="43" spans="1:29" ht="15">
      <c r="A43" s="423"/>
      <c r="B43" s="375" t="s">
        <v>1792</v>
      </c>
      <c r="C43" s="1911" t="s">
        <v>3589</v>
      </c>
      <c r="D43" s="386">
        <v>100</v>
      </c>
      <c r="E43" s="1911" t="s">
        <v>3589</v>
      </c>
      <c r="F43" s="412">
        <f>SUMIF(123:123,E43,124:124)-SUMIF(123:123,C43,124:124)+100</f>
        <v>100</v>
      </c>
      <c r="G43" s="1911" t="s">
        <v>3589</v>
      </c>
      <c r="H43" s="386">
        <f>SUMIF(123:123,G43,124:124)-SUMIF(123:123,C43,124:124)+100</f>
        <v>100</v>
      </c>
      <c r="I43" s="1911" t="s">
        <v>3589</v>
      </c>
      <c r="J43" s="386">
        <f>SUMIF(123:123,I43,124:124)-SUMIF(123:123,C43,124:124)+100</f>
        <v>100</v>
      </c>
      <c r="K43" s="561">
        <v>1</v>
      </c>
      <c r="L43" s="2721"/>
      <c r="M43" s="2715"/>
      <c r="N43" s="2715"/>
      <c r="O43" s="2715"/>
      <c r="P43" s="3832"/>
      <c r="Q43" s="1351" t="str">
        <f t="shared" si="11"/>
        <v>内部装修</v>
      </c>
      <c r="R43" s="704" t="s">
        <v>14</v>
      </c>
      <c r="S43" s="705">
        <f t="shared" si="12"/>
        <v>100</v>
      </c>
      <c r="T43" s="704" t="s">
        <v>14</v>
      </c>
      <c r="U43" s="705">
        <f t="shared" si="13"/>
        <v>100</v>
      </c>
      <c r="V43" s="704" t="s">
        <v>14</v>
      </c>
      <c r="W43" s="705">
        <f t="shared" si="14"/>
        <v>100</v>
      </c>
      <c r="X43" s="1354"/>
      <c r="Y43" s="3834"/>
      <c r="Z43" s="1355" t="str">
        <f t="shared" si="15"/>
        <v>内部装修</v>
      </c>
      <c r="AA43" s="1352">
        <f t="shared" si="3"/>
        <v>1</v>
      </c>
      <c r="AB43" s="1352">
        <f t="shared" si="4"/>
        <v>1</v>
      </c>
      <c r="AC43" s="1961">
        <f t="shared" si="5"/>
        <v>1</v>
      </c>
    </row>
    <row r="44" spans="1:29" ht="15">
      <c r="A44" s="423"/>
      <c r="B44" s="375" t="s">
        <v>1707</v>
      </c>
      <c r="C44" s="1911" t="s">
        <v>3574</v>
      </c>
      <c r="D44" s="386">
        <v>100</v>
      </c>
      <c r="E44" s="1911" t="s">
        <v>3574</v>
      </c>
      <c r="F44" s="412">
        <f>SUMIF(125:125,E44,126:126)-SUMIF(125:125,C44,126:126)+100</f>
        <v>100</v>
      </c>
      <c r="G44" s="1911" t="s">
        <v>3574</v>
      </c>
      <c r="H44" s="386">
        <f>SUMIF(125:125,G44,126:126)-SUMIF(125:125,C44,126:126)+100</f>
        <v>100</v>
      </c>
      <c r="I44" s="1911" t="s">
        <v>3574</v>
      </c>
      <c r="J44" s="386">
        <f>SUMIF(125:125,I44,126:126)-SUMIF(125:125,C44,126:126)+100</f>
        <v>100</v>
      </c>
      <c r="K44" s="561">
        <v>1</v>
      </c>
      <c r="L44" s="2721"/>
      <c r="M44" s="2715"/>
      <c r="N44" s="2715"/>
      <c r="O44" s="2715"/>
      <c r="P44" s="3832"/>
      <c r="Q44" s="1351" t="str">
        <f t="shared" si="11"/>
        <v>内部装修维护情况</v>
      </c>
      <c r="R44" s="704" t="s">
        <v>14</v>
      </c>
      <c r="S44" s="705">
        <f t="shared" si="12"/>
        <v>100</v>
      </c>
      <c r="T44" s="704" t="s">
        <v>14</v>
      </c>
      <c r="U44" s="705">
        <f t="shared" si="13"/>
        <v>100</v>
      </c>
      <c r="V44" s="704" t="s">
        <v>14</v>
      </c>
      <c r="W44" s="705">
        <f t="shared" si="14"/>
        <v>100</v>
      </c>
      <c r="X44" s="1354"/>
      <c r="Y44" s="3834"/>
      <c r="Z44" s="1355" t="str">
        <f t="shared" si="15"/>
        <v>内部装修维护情况</v>
      </c>
      <c r="AA44" s="1352">
        <f t="shared" si="3"/>
        <v>1</v>
      </c>
      <c r="AB44" s="1352">
        <f t="shared" si="4"/>
        <v>1</v>
      </c>
      <c r="AC44" s="1961">
        <f t="shared" si="5"/>
        <v>1</v>
      </c>
    </row>
    <row r="45" spans="1:29" s="108" customFormat="1" ht="15">
      <c r="A45" s="424"/>
      <c r="B45" s="3592" t="s">
        <v>3622</v>
      </c>
      <c r="C45" s="3598" t="s">
        <v>3623</v>
      </c>
      <c r="D45" s="127">
        <v>100</v>
      </c>
      <c r="E45" s="383" t="s">
        <v>3624</v>
      </c>
      <c r="F45" s="376">
        <f>SUMIF(127:127,E45,128:128)-SUMIF(127:127,C45,128:128)+100</f>
        <v>99</v>
      </c>
      <c r="G45" s="3598" t="s">
        <v>3623</v>
      </c>
      <c r="H45" s="127">
        <f>SUMIF(127:127,G45,128:128)-SUMIF(127:127,C45,128:128)+100</f>
        <v>100</v>
      </c>
      <c r="I45" s="3598" t="s">
        <v>3623</v>
      </c>
      <c r="J45" s="127">
        <f>SUMIF(127:127,I45,128:128)-SUMIF(127:127,C45,128:128)+100</f>
        <v>100</v>
      </c>
      <c r="K45" s="562"/>
      <c r="L45" s="2716"/>
      <c r="M45" s="2717"/>
      <c r="N45" s="2717"/>
      <c r="O45" s="2717"/>
      <c r="P45" s="3832"/>
      <c r="Q45" s="1342" t="str">
        <f t="shared" si="11"/>
        <v>房屋状态</v>
      </c>
      <c r="R45" s="700" t="s">
        <v>14</v>
      </c>
      <c r="S45" s="701">
        <f t="shared" si="12"/>
        <v>99</v>
      </c>
      <c r="T45" s="700" t="s">
        <v>14</v>
      </c>
      <c r="U45" s="701">
        <f t="shared" si="13"/>
        <v>100</v>
      </c>
      <c r="V45" s="700" t="s">
        <v>14</v>
      </c>
      <c r="W45" s="701">
        <f t="shared" si="14"/>
        <v>100</v>
      </c>
      <c r="X45" s="702"/>
      <c r="Y45" s="3834"/>
      <c r="Z45" s="52" t="str">
        <f t="shared" si="15"/>
        <v>房屋状态</v>
      </c>
      <c r="AA45" s="703">
        <f t="shared" si="3"/>
        <v>1.0101010101010102</v>
      </c>
      <c r="AB45" s="703">
        <f t="shared" si="4"/>
        <v>1</v>
      </c>
      <c r="AC45" s="1958">
        <f t="shared" si="5"/>
        <v>1</v>
      </c>
    </row>
    <row r="46" spans="1:29" ht="15">
      <c r="A46" s="423"/>
      <c r="B46" s="3592"/>
      <c r="C46" s="3597"/>
      <c r="D46" s="386">
        <v>100</v>
      </c>
      <c r="E46" s="383"/>
      <c r="F46" s="412">
        <f>SUMIF(129:129,E46,130:130)-SUMIF(129:129,C46,130:130)+100</f>
        <v>100</v>
      </c>
      <c r="G46" s="383"/>
      <c r="H46" s="386">
        <f>SUMIF(129:129,G46,130:130)-SUMIF(129:129,C46,130:130)+100</f>
        <v>100</v>
      </c>
      <c r="I46" s="3600"/>
      <c r="J46" s="386">
        <f>SUMIF(129:129,I46,130:130)-SUMIF(129:129,C46,130:130)+100</f>
        <v>100</v>
      </c>
      <c r="K46" s="562"/>
      <c r="L46" s="2721"/>
      <c r="M46" s="2715"/>
      <c r="N46" s="2715"/>
      <c r="O46" s="2715"/>
      <c r="P46" s="3832"/>
      <c r="Q46" s="1351">
        <f t="shared" si="11"/>
        <v>0</v>
      </c>
      <c r="R46" s="704" t="s">
        <v>14</v>
      </c>
      <c r="S46" s="705">
        <f t="shared" si="12"/>
        <v>100</v>
      </c>
      <c r="T46" s="704" t="s">
        <v>14</v>
      </c>
      <c r="U46" s="705">
        <f t="shared" si="13"/>
        <v>100</v>
      </c>
      <c r="V46" s="704" t="s">
        <v>14</v>
      </c>
      <c r="W46" s="705">
        <f t="shared" si="14"/>
        <v>100</v>
      </c>
      <c r="X46" s="1354"/>
      <c r="Y46" s="3834"/>
      <c r="Z46" s="1355">
        <f t="shared" si="15"/>
        <v>0</v>
      </c>
      <c r="AA46" s="1352">
        <f t="shared" si="3"/>
        <v>1</v>
      </c>
      <c r="AB46" s="1352">
        <f t="shared" si="4"/>
        <v>1</v>
      </c>
      <c r="AC46" s="1961">
        <f t="shared" si="5"/>
        <v>1</v>
      </c>
    </row>
    <row r="47" spans="1:29" ht="15.75" thickBot="1">
      <c r="A47" s="429"/>
      <c r="B47" s="3593"/>
      <c r="C47" s="3599"/>
      <c r="D47" s="389">
        <v>100</v>
      </c>
      <c r="E47" s="383"/>
      <c r="F47" s="390">
        <f>SUMIF(131:131,E47,132:132)-SUMIF(131:131,C47,132:132)+100</f>
        <v>100</v>
      </c>
      <c r="G47" s="383"/>
      <c r="H47" s="389">
        <f>SUMIF(131:131,G47,132:132)-SUMIF(131:131,C47,132:132)+100</f>
        <v>100</v>
      </c>
      <c r="I47" s="3601"/>
      <c r="J47" s="389">
        <f>SUMIF(131:131,I47,132:132)-SUMIF(131:131,C47,132:132)+100</f>
        <v>100</v>
      </c>
      <c r="K47" s="562"/>
      <c r="L47" s="2721"/>
      <c r="M47" s="2715"/>
      <c r="N47" s="2715"/>
      <c r="O47" s="2715"/>
      <c r="P47" s="3833"/>
      <c r="Q47" s="1351">
        <f t="shared" si="11"/>
        <v>0</v>
      </c>
      <c r="R47" s="704" t="s">
        <v>14</v>
      </c>
      <c r="S47" s="705">
        <f t="shared" si="12"/>
        <v>100</v>
      </c>
      <c r="T47" s="704" t="s">
        <v>14</v>
      </c>
      <c r="U47" s="705">
        <f t="shared" si="13"/>
        <v>100</v>
      </c>
      <c r="V47" s="704" t="s">
        <v>14</v>
      </c>
      <c r="W47" s="705">
        <f t="shared" si="14"/>
        <v>100</v>
      </c>
      <c r="X47" s="1354"/>
      <c r="Y47" s="3835"/>
      <c r="Z47" s="1355">
        <f t="shared" si="15"/>
        <v>0</v>
      </c>
      <c r="AA47" s="1352">
        <f t="shared" si="3"/>
        <v>1</v>
      </c>
      <c r="AB47" s="1352">
        <f t="shared" si="4"/>
        <v>1</v>
      </c>
      <c r="AC47" s="1961">
        <f t="shared" si="5"/>
        <v>1</v>
      </c>
    </row>
    <row r="48" spans="1:29" ht="15">
      <c r="A48" s="430" t="s">
        <v>1708</v>
      </c>
      <c r="B48" s="431"/>
      <c r="C48" s="1153" t="s">
        <v>0</v>
      </c>
      <c r="D48" s="1154"/>
      <c r="E48" s="1155">
        <f>大宗交易案例2022!I55</f>
        <v>42858</v>
      </c>
      <c r="F48" s="1156"/>
      <c r="G48" s="1157">
        <f>大宗交易案例2022!I56</f>
        <v>34611</v>
      </c>
      <c r="H48" s="1158"/>
      <c r="I48" s="1155">
        <f>大宗交易案例2022!C52</f>
        <v>42143</v>
      </c>
      <c r="J48" s="436"/>
      <c r="K48" s="713"/>
      <c r="L48" s="2723"/>
      <c r="M48" s="2715"/>
      <c r="N48" s="2715"/>
      <c r="O48" s="2715"/>
      <c r="P48" s="3838" t="str">
        <f>A48</f>
        <v>成交单价（元/平方米）</v>
      </c>
      <c r="Q48" s="3827"/>
      <c r="R48" s="3828">
        <f>E48</f>
        <v>42858</v>
      </c>
      <c r="S48" s="3828"/>
      <c r="T48" s="3828">
        <f>G48</f>
        <v>34611</v>
      </c>
      <c r="U48" s="3828"/>
      <c r="V48" s="3828">
        <f>I48</f>
        <v>42143</v>
      </c>
      <c r="W48" s="3828"/>
      <c r="X48" s="397"/>
      <c r="Y48" s="711"/>
      <c r="Z48" s="397"/>
      <c r="AA48" s="397"/>
      <c r="AB48" s="397"/>
      <c r="AC48" s="578"/>
    </row>
    <row r="49" spans="1:29" ht="15.75" thickBot="1">
      <c r="A49" s="437" t="s">
        <v>1793</v>
      </c>
      <c r="B49" s="438"/>
      <c r="C49" s="1159">
        <f>R50</f>
        <v>40201</v>
      </c>
      <c r="D49" s="2316" t="s">
        <v>2138</v>
      </c>
      <c r="E49" s="1160">
        <f>R49</f>
        <v>42539</v>
      </c>
      <c r="F49" s="2317"/>
      <c r="G49" s="1159">
        <f>T49</f>
        <v>35803</v>
      </c>
      <c r="H49" s="2317"/>
      <c r="I49" s="1160">
        <f>V49</f>
        <v>42260</v>
      </c>
      <c r="J49" s="2317"/>
      <c r="K49" s="2319">
        <f>F49+H49+J49</f>
        <v>0</v>
      </c>
      <c r="L49" s="2723"/>
      <c r="M49" s="2715"/>
      <c r="N49" s="2715"/>
      <c r="O49" s="2715"/>
      <c r="P49" s="3838" t="str">
        <f>A49</f>
        <v>比较价值（元/平方米）</v>
      </c>
      <c r="Q49" s="3827"/>
      <c r="R49" s="3828">
        <f>IF(F1="售价",ROUND(PRODUCT(R48,AA7:AA47),0),ROUND(PRODUCT(R48,AA7:AA47),1))</f>
        <v>42539</v>
      </c>
      <c r="S49" s="3828"/>
      <c r="T49" s="3828">
        <f>IF(F1="售价",ROUND(PRODUCT(T48,AB7:AB47),0),ROUND(PRODUCT(T48,AB7:AB47),1))</f>
        <v>35803</v>
      </c>
      <c r="U49" s="3828"/>
      <c r="V49" s="3828">
        <f>IF(F1="售价",ROUND(PRODUCT(V48,AC7:AC47),0),ROUND(PRODUCT(V48,AC7:AC47),1))</f>
        <v>42260</v>
      </c>
      <c r="W49" s="3828"/>
      <c r="X49" s="397"/>
      <c r="Y49" s="397"/>
      <c r="Z49" s="397"/>
      <c r="AA49" s="397"/>
      <c r="AB49" s="397"/>
      <c r="AC49" s="578"/>
    </row>
    <row r="50" spans="1:29" ht="15.75" thickBot="1">
      <c r="A50" s="441" t="s">
        <v>1794</v>
      </c>
      <c r="B50" s="442"/>
      <c r="C50" s="1162">
        <f>R50</f>
        <v>40201</v>
      </c>
      <c r="D50" s="1162"/>
      <c r="E50" s="1162"/>
      <c r="F50" s="1162"/>
      <c r="G50" s="1162"/>
      <c r="H50" s="1162"/>
      <c r="I50" s="1162"/>
      <c r="J50" s="443"/>
      <c r="K50" s="714"/>
      <c r="L50" s="2723"/>
      <c r="M50" s="2715"/>
      <c r="N50" s="2715"/>
      <c r="O50" s="2715"/>
      <c r="P50" s="3870" t="str">
        <f>A50</f>
        <v>估价对象XX用房的比较价值（楼面单价，元/平方米）</v>
      </c>
      <c r="Q50" s="3871"/>
      <c r="R50" s="3872">
        <f>IF(F1="售价",ROUND(IF(D49="简单平均",AVERAGE(R49:V49),R49*F49+T49*H49+V49*J49),0),ROUND(IF(D49="简单平均",AVERAGE(R49:V49),R49*F49+T49*H49+V49*J49),1))</f>
        <v>40201</v>
      </c>
      <c r="S50" s="3872"/>
      <c r="T50" s="3872"/>
      <c r="U50" s="3872"/>
      <c r="V50" s="3872"/>
      <c r="W50" s="387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7.4990009168056648E-3</v>
      </c>
      <c r="F53" s="449" t="str">
        <f>IF(OR(E53&gt;=0.3,E53&lt;=-0.3),"超过30%","")</f>
        <v/>
      </c>
      <c r="G53" s="448">
        <f>IF(G48&lt;G49,G49/G48-1,G48/G49-1)</f>
        <v>3.4439917945161991E-2</v>
      </c>
      <c r="H53" s="449" t="str">
        <f>IF(OR(G53&gt;=0.3,G53&lt;=-0.3),"超过30%","")</f>
        <v/>
      </c>
      <c r="I53" s="448">
        <f>IF(I48&lt;I49,I49/I48-1,I48/I49-1)</f>
        <v>2.7762617753837038E-3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0.18814065860402751</v>
      </c>
      <c r="F54" s="449" t="str">
        <f>IF(OR(E54&gt;=0.2,E54&lt;=-0.2),"超过20%","")</f>
        <v/>
      </c>
      <c r="G54" s="448">
        <f>IF(G49&lt;I49,I49/G49-1,G49/I49-1)</f>
        <v>0.18034801552942481</v>
      </c>
      <c r="H54" s="449" t="str">
        <f>IF(OR(G54&gt;=0.2,G54&lt;=-0.2),"超过20%","")</f>
        <v/>
      </c>
      <c r="I54" s="448">
        <f>IF(I49&lt;E49,E49/I49-1,I49/E49-1)</f>
        <v>6.6019876952201351E-3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0.23827684840079733</v>
      </c>
      <c r="F55" s="449" t="str">
        <f>IF(OR(E55&gt;=0.3,E55&lt;=-0.3),"超过30%","")</f>
        <v/>
      </c>
      <c r="G55" s="448">
        <f>IF(G48&lt;I48,I48/G48-1,G48/I48-1)</f>
        <v>0.21761867614342267</v>
      </c>
      <c r="H55" s="449" t="str">
        <f>IF(OR(G55&gt;=0.3,G55&lt;=-0.3),"超过30%","")</f>
        <v/>
      </c>
      <c r="I55" s="448">
        <f>IF(I48&lt;E48,E48/I48-1,I48/E48-1)</f>
        <v>1.6966044182901152E-2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2023-12</v>
      </c>
      <c r="D59" s="1184">
        <f>EDATE(C59,-1)</f>
        <v>45231</v>
      </c>
      <c r="E59" s="1184">
        <f>EDATE(D59,-1)</f>
        <v>45200</v>
      </c>
      <c r="F59" s="1184">
        <f t="shared" ref="F59:O59" si="16">EDATE(E59,-1)</f>
        <v>45170</v>
      </c>
      <c r="G59" s="1184">
        <f t="shared" si="16"/>
        <v>45139</v>
      </c>
      <c r="H59" s="1184">
        <f t="shared" si="16"/>
        <v>45108</v>
      </c>
      <c r="I59" s="1184">
        <f t="shared" si="16"/>
        <v>45078</v>
      </c>
      <c r="J59" s="1184">
        <f t="shared" si="16"/>
        <v>45047</v>
      </c>
      <c r="K59" s="1184">
        <f t="shared" si="16"/>
        <v>45017</v>
      </c>
      <c r="L59" s="1184">
        <f t="shared" si="16"/>
        <v>44986</v>
      </c>
      <c r="M59" s="1184">
        <f t="shared" si="16"/>
        <v>44958</v>
      </c>
      <c r="N59" s="1184">
        <f t="shared" si="16"/>
        <v>44927</v>
      </c>
      <c r="O59" s="1184">
        <f t="shared" si="16"/>
        <v>44896</v>
      </c>
      <c r="P59" s="3605">
        <f t="shared" ref="P59" si="17">EDATE(O59,-1)</f>
        <v>44866</v>
      </c>
      <c r="Q59" s="3605">
        <f t="shared" ref="Q59" si="18">EDATE(P59,-1)</f>
        <v>44835</v>
      </c>
      <c r="R59" s="3605">
        <f t="shared" ref="R59" si="19">EDATE(Q59,-1)</f>
        <v>44805</v>
      </c>
      <c r="S59" s="3605">
        <f t="shared" ref="S59" si="20">EDATE(R59,-1)</f>
        <v>44774</v>
      </c>
      <c r="T59" s="3605">
        <f t="shared" ref="T59" si="21">EDATE(S59,-1)</f>
        <v>44743</v>
      </c>
      <c r="U59" s="3605">
        <f t="shared" ref="U59" si="22">EDATE(T59,-1)</f>
        <v>44713</v>
      </c>
      <c r="V59" s="3605">
        <f t="shared" ref="V59" si="23">EDATE(U59,-1)</f>
        <v>44682</v>
      </c>
      <c r="W59" s="2740"/>
      <c r="X59" s="2740"/>
      <c r="Y59" s="2740"/>
      <c r="Z59" s="2740"/>
      <c r="AA59" s="2740"/>
      <c r="AB59" s="2740"/>
      <c r="AC59" s="2740"/>
    </row>
    <row r="60" spans="1:29" s="108" customFormat="1" ht="15">
      <c r="A60" s="458"/>
      <c r="B60" s="459"/>
      <c r="C60" s="1182">
        <v>100</v>
      </c>
      <c r="D60" s="3558">
        <v>100</v>
      </c>
      <c r="E60" s="3558">
        <v>100</v>
      </c>
      <c r="F60" s="3558">
        <v>100</v>
      </c>
      <c r="G60" s="3558">
        <v>100</v>
      </c>
      <c r="H60" s="3558">
        <v>100</v>
      </c>
      <c r="I60" s="3558">
        <v>100</v>
      </c>
      <c r="J60" s="3558">
        <v>100</v>
      </c>
      <c r="K60" s="3558">
        <v>100</v>
      </c>
      <c r="L60" s="3558">
        <v>100</v>
      </c>
      <c r="M60" s="3558">
        <v>100</v>
      </c>
      <c r="N60" s="461">
        <v>99</v>
      </c>
      <c r="O60" s="462">
        <v>99</v>
      </c>
      <c r="P60" s="462">
        <v>99</v>
      </c>
      <c r="Q60" s="462">
        <v>99</v>
      </c>
      <c r="R60" s="462">
        <v>99</v>
      </c>
      <c r="S60" s="462">
        <v>99</v>
      </c>
      <c r="T60" s="462">
        <v>99</v>
      </c>
      <c r="U60" s="462">
        <v>99</v>
      </c>
      <c r="V60" s="462">
        <v>99</v>
      </c>
      <c r="W60" s="2660"/>
      <c r="X60" s="2660"/>
      <c r="Y60" s="2660"/>
      <c r="Z60" s="2660"/>
      <c r="AA60" s="2660"/>
      <c r="AB60" s="2660"/>
      <c r="AC60" s="2660"/>
    </row>
    <row r="61" spans="1:29" s="108" customFormat="1" ht="15.75" thickBot="1">
      <c r="A61" s="464" t="s">
        <v>1716</v>
      </c>
      <c r="B61" s="465"/>
      <c r="C61" s="466"/>
      <c r="D61" s="3559"/>
      <c r="E61" s="3559"/>
      <c r="F61" s="3559"/>
      <c r="G61" s="3559"/>
      <c r="H61" s="3559"/>
      <c r="I61" s="3559"/>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560"/>
      <c r="E62" s="31"/>
      <c r="F62" s="31"/>
      <c r="G62" s="31"/>
      <c r="H62" s="31"/>
      <c r="I62" s="31"/>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3558"/>
      <c r="E63" s="3558"/>
      <c r="F63" s="3558"/>
      <c r="G63" s="3558"/>
      <c r="H63" s="3558"/>
      <c r="I63" s="3558"/>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3561" t="s">
        <v>21</v>
      </c>
      <c r="E64" s="3562"/>
      <c r="F64" s="3562"/>
      <c r="G64" s="3562"/>
      <c r="H64" s="3562"/>
      <c r="I64" s="3562"/>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3563">
        <v>97</v>
      </c>
      <c r="E65" s="3563"/>
      <c r="F65" s="3563"/>
      <c r="G65" s="3563"/>
      <c r="H65" s="3563"/>
      <c r="I65" s="3563"/>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564" t="str">
        <f>C10</f>
        <v>20-30（年）</v>
      </c>
      <c r="D66" s="3564" t="str">
        <f>E10</f>
        <v>40-50（年）</v>
      </c>
      <c r="E66" s="3564"/>
      <c r="F66" s="3564"/>
      <c r="G66" s="3565"/>
      <c r="H66" s="3565"/>
      <c r="I66" s="3565"/>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563">
        <v>100</v>
      </c>
      <c r="D67" s="3563">
        <v>105</v>
      </c>
      <c r="E67" s="3563"/>
      <c r="F67" s="3563"/>
      <c r="G67" s="3563"/>
      <c r="H67" s="3563"/>
      <c r="I67" s="3563"/>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24">D69&amp;"（含）"&amp;"-"&amp;E69</f>
        <v>3（含）-</v>
      </c>
      <c r="E68" s="496" t="str">
        <f t="shared" si="24"/>
        <v>（含）-</v>
      </c>
      <c r="F68" s="496" t="str">
        <f t="shared" si="24"/>
        <v>（含）-</v>
      </c>
      <c r="G68" s="496" t="str">
        <f t="shared" si="24"/>
        <v>（含）-</v>
      </c>
      <c r="H68" s="496" t="str">
        <f t="shared" si="24"/>
        <v>（含）-</v>
      </c>
      <c r="I68" s="496" t="str">
        <f t="shared" si="24"/>
        <v>（含）-</v>
      </c>
      <c r="J68" s="496" t="str">
        <f t="shared" si="24"/>
        <v>（含）-</v>
      </c>
      <c r="K68" s="496" t="str">
        <f t="shared" si="24"/>
        <v>（含）-</v>
      </c>
      <c r="L68" s="496" t="str">
        <f t="shared" si="24"/>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25">C70-$K11</f>
        <v>100</v>
      </c>
      <c r="E70" s="493">
        <f t="shared" si="25"/>
        <v>100</v>
      </c>
      <c r="F70" s="493">
        <f t="shared" si="25"/>
        <v>100</v>
      </c>
      <c r="G70" s="493">
        <f t="shared" si="25"/>
        <v>100</v>
      </c>
      <c r="H70" s="493">
        <f t="shared" si="25"/>
        <v>100</v>
      </c>
      <c r="I70" s="493">
        <f t="shared" si="25"/>
        <v>100</v>
      </c>
      <c r="J70" s="493">
        <f t="shared" si="25"/>
        <v>100</v>
      </c>
      <c r="K70" s="493">
        <f t="shared" si="25"/>
        <v>100</v>
      </c>
      <c r="L70" s="493">
        <f t="shared" si="25"/>
        <v>100</v>
      </c>
      <c r="M70" s="494">
        <f t="shared" si="25"/>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566" t="s">
        <v>3577</v>
      </c>
      <c r="D87" s="3566" t="s">
        <v>3578</v>
      </c>
      <c r="E87" s="3566" t="s">
        <v>3579</v>
      </c>
      <c r="F87" s="3567" t="s">
        <v>3580</v>
      </c>
      <c r="G87" s="3567" t="s">
        <v>3581</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6">C88-$K25</f>
        <v>99</v>
      </c>
      <c r="E88" s="493">
        <f t="shared" si="26"/>
        <v>98</v>
      </c>
      <c r="F88" s="493">
        <f t="shared" si="26"/>
        <v>97</v>
      </c>
      <c r="G88" s="493">
        <f t="shared" si="26"/>
        <v>96</v>
      </c>
      <c r="H88" s="493">
        <f t="shared" si="26"/>
        <v>95</v>
      </c>
      <c r="I88" s="493">
        <f t="shared" si="26"/>
        <v>94</v>
      </c>
      <c r="J88" s="493">
        <f t="shared" si="26"/>
        <v>93</v>
      </c>
      <c r="K88" s="493">
        <f t="shared" si="26"/>
        <v>92</v>
      </c>
      <c r="L88" s="493">
        <f t="shared" si="26"/>
        <v>91</v>
      </c>
      <c r="M88" s="493">
        <f t="shared" si="26"/>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7">D90-$K27</f>
        <v>100</v>
      </c>
      <c r="F90" s="493">
        <f t="shared" si="27"/>
        <v>100</v>
      </c>
      <c r="G90" s="493">
        <f t="shared" si="27"/>
        <v>100</v>
      </c>
      <c r="H90" s="493">
        <f t="shared" si="27"/>
        <v>100</v>
      </c>
      <c r="I90" s="493">
        <f t="shared" si="27"/>
        <v>100</v>
      </c>
      <c r="J90" s="493">
        <f t="shared" si="27"/>
        <v>100</v>
      </c>
      <c r="K90" s="493">
        <f t="shared" si="27"/>
        <v>100</v>
      </c>
      <c r="L90" s="493">
        <f t="shared" si="27"/>
        <v>100</v>
      </c>
      <c r="M90" s="493">
        <f t="shared" si="27"/>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8">C92-$K28</f>
        <v>100</v>
      </c>
      <c r="E92" s="493">
        <f t="shared" si="28"/>
        <v>100</v>
      </c>
      <c r="F92" s="493">
        <f t="shared" si="28"/>
        <v>100</v>
      </c>
      <c r="G92" s="493">
        <f t="shared" si="28"/>
        <v>100</v>
      </c>
      <c r="H92" s="493">
        <f t="shared" si="28"/>
        <v>100</v>
      </c>
      <c r="I92" s="493">
        <f t="shared" si="28"/>
        <v>100</v>
      </c>
      <c r="J92" s="493">
        <f t="shared" si="28"/>
        <v>100</v>
      </c>
      <c r="K92" s="493">
        <f t="shared" si="28"/>
        <v>100</v>
      </c>
      <c r="L92" s="493">
        <f t="shared" si="28"/>
        <v>100</v>
      </c>
      <c r="M92" s="493">
        <f t="shared" si="28"/>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3567" t="s">
        <v>3582</v>
      </c>
      <c r="D93" s="3567" t="s">
        <v>3583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568">
        <v>100</v>
      </c>
      <c r="D94" s="3568">
        <v>95</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3567"/>
      <c r="D95" s="3567"/>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3568"/>
      <c r="D96" s="3568"/>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61" t="s">
        <v>3584</v>
      </c>
      <c r="D101" s="3561" t="s">
        <v>3585</v>
      </c>
      <c r="E101" s="3561" t="s">
        <v>3586</v>
      </c>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9">C102-$K33</f>
        <v>99</v>
      </c>
      <c r="E102" s="493">
        <f t="shared" si="29"/>
        <v>98</v>
      </c>
      <c r="F102" s="493">
        <f t="shared" si="29"/>
        <v>97</v>
      </c>
      <c r="G102" s="493">
        <f t="shared" si="29"/>
        <v>96</v>
      </c>
      <c r="H102" s="493">
        <f t="shared" si="29"/>
        <v>95</v>
      </c>
      <c r="I102" s="493">
        <f t="shared" si="29"/>
        <v>94</v>
      </c>
      <c r="J102" s="493">
        <f t="shared" si="29"/>
        <v>93</v>
      </c>
      <c r="K102" s="493">
        <f t="shared" si="29"/>
        <v>92</v>
      </c>
      <c r="L102" s="493">
        <f t="shared" si="29"/>
        <v>91</v>
      </c>
      <c r="M102" s="494">
        <f t="shared" si="29"/>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0(含)-30000</v>
      </c>
      <c r="D103" s="527" t="str">
        <f t="shared" ref="D103:L103" si="30">D104&amp;"(含)"&amp;"-"&amp;E104</f>
        <v>30000(含)-60000</v>
      </c>
      <c r="E103" s="527" t="str">
        <f t="shared" si="30"/>
        <v>60000(含)-90000</v>
      </c>
      <c r="F103" s="527" t="str">
        <f t="shared" si="30"/>
        <v>90000(含)-120000</v>
      </c>
      <c r="G103" s="527" t="str">
        <f t="shared" si="30"/>
        <v>120000(含)-150000</v>
      </c>
      <c r="H103" s="527" t="str">
        <f t="shared" si="30"/>
        <v>150000(含)-180000</v>
      </c>
      <c r="I103" s="527" t="str">
        <f t="shared" si="30"/>
        <v>180000(含)-210000</v>
      </c>
      <c r="J103" s="527" t="str">
        <f t="shared" si="30"/>
        <v>210000(含)-</v>
      </c>
      <c r="K103" s="527" t="str">
        <f t="shared" si="30"/>
        <v>(含)-</v>
      </c>
      <c r="L103" s="527" t="str">
        <f t="shared" si="30"/>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f>C104+30000</f>
        <v>30000</v>
      </c>
      <c r="E104" s="6">
        <f t="shared" ref="E104:J104" si="31">D104+30000</f>
        <v>60000</v>
      </c>
      <c r="F104" s="6">
        <f t="shared" si="31"/>
        <v>90000</v>
      </c>
      <c r="G104" s="6">
        <f t="shared" si="31"/>
        <v>120000</v>
      </c>
      <c r="H104" s="6">
        <f t="shared" si="31"/>
        <v>150000</v>
      </c>
      <c r="I104" s="6">
        <f t="shared" si="31"/>
        <v>180000</v>
      </c>
      <c r="J104" s="6">
        <f t="shared" si="31"/>
        <v>210000</v>
      </c>
      <c r="K104" s="3569"/>
      <c r="L104" s="3570"/>
      <c r="M104" s="3571"/>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568">
        <v>100</v>
      </c>
      <c r="D105" s="3563">
        <f>C105-1</f>
        <v>99</v>
      </c>
      <c r="E105" s="3563">
        <f t="shared" ref="E105:J105" si="32">D105-1</f>
        <v>98</v>
      </c>
      <c r="F105" s="3563">
        <f t="shared" si="32"/>
        <v>97</v>
      </c>
      <c r="G105" s="3563">
        <f t="shared" si="32"/>
        <v>96</v>
      </c>
      <c r="H105" s="3563">
        <f t="shared" si="32"/>
        <v>95</v>
      </c>
      <c r="I105" s="3563">
        <f t="shared" si="32"/>
        <v>94</v>
      </c>
      <c r="J105" s="3563">
        <f t="shared" si="32"/>
        <v>93</v>
      </c>
      <c r="K105" s="3563"/>
      <c r="L105" s="3563"/>
      <c r="M105" s="3572"/>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t="s">
        <v>3588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33">C107-$K35</f>
        <v>100</v>
      </c>
      <c r="E107" s="493">
        <f t="shared" si="33"/>
        <v>100</v>
      </c>
      <c r="F107" s="493">
        <f t="shared" si="33"/>
        <v>100</v>
      </c>
      <c r="G107" s="493">
        <f t="shared" si="33"/>
        <v>100</v>
      </c>
      <c r="H107" s="493">
        <f t="shared" si="33"/>
        <v>100</v>
      </c>
      <c r="I107" s="493">
        <f t="shared" si="33"/>
        <v>100</v>
      </c>
      <c r="J107" s="493">
        <f t="shared" si="33"/>
        <v>100</v>
      </c>
      <c r="K107" s="493">
        <f t="shared" si="33"/>
        <v>100</v>
      </c>
      <c r="L107" s="493">
        <f t="shared" si="33"/>
        <v>100</v>
      </c>
      <c r="M107" s="494">
        <f t="shared" si="33"/>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t="s">
        <v>3590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34">C109-$K36</f>
        <v>100</v>
      </c>
      <c r="E109" s="493">
        <f t="shared" si="34"/>
        <v>100</v>
      </c>
      <c r="F109" s="493">
        <f t="shared" si="34"/>
        <v>100</v>
      </c>
      <c r="G109" s="493">
        <f t="shared" si="34"/>
        <v>100</v>
      </c>
      <c r="H109" s="493">
        <f t="shared" si="34"/>
        <v>100</v>
      </c>
      <c r="I109" s="493">
        <f t="shared" si="34"/>
        <v>100</v>
      </c>
      <c r="J109" s="493">
        <f t="shared" si="34"/>
        <v>100</v>
      </c>
      <c r="K109" s="493">
        <f t="shared" si="34"/>
        <v>100</v>
      </c>
      <c r="L109" s="493">
        <f t="shared" si="34"/>
        <v>100</v>
      </c>
      <c r="M109" s="494">
        <f t="shared" si="34"/>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35">D112+$K37</f>
        <v>104</v>
      </c>
      <c r="F112" s="493">
        <f t="shared" si="35"/>
        <v>106</v>
      </c>
      <c r="G112" s="493">
        <f t="shared" si="35"/>
        <v>108</v>
      </c>
      <c r="H112" s="493">
        <f t="shared" si="35"/>
        <v>110</v>
      </c>
      <c r="I112" s="493">
        <f t="shared" si="35"/>
        <v>112</v>
      </c>
      <c r="J112" s="493">
        <f t="shared" si="35"/>
        <v>114</v>
      </c>
      <c r="K112" s="493">
        <f t="shared" si="35"/>
        <v>116</v>
      </c>
      <c r="L112" s="493">
        <f t="shared" si="35"/>
        <v>118</v>
      </c>
      <c r="M112" s="493">
        <f t="shared" si="35"/>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t="s">
        <v>3592</v>
      </c>
      <c r="D113" s="503" t="s">
        <v>3593</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36">D114-$K38</f>
        <v>98</v>
      </c>
      <c r="F114" s="493">
        <f t="shared" si="36"/>
        <v>97</v>
      </c>
      <c r="G114" s="493">
        <f t="shared" si="36"/>
        <v>96</v>
      </c>
      <c r="H114" s="493">
        <f t="shared" si="36"/>
        <v>95</v>
      </c>
      <c r="I114" s="493">
        <f t="shared" si="36"/>
        <v>94</v>
      </c>
      <c r="J114" s="493">
        <f t="shared" si="36"/>
        <v>93</v>
      </c>
      <c r="K114" s="493">
        <f t="shared" si="36"/>
        <v>92</v>
      </c>
      <c r="L114" s="493">
        <f t="shared" si="36"/>
        <v>91</v>
      </c>
      <c r="M114" s="493">
        <f t="shared" si="36"/>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t="s">
        <v>3595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7">C116-$K39</f>
        <v>99</v>
      </c>
      <c r="E116" s="493">
        <f t="shared" si="37"/>
        <v>98</v>
      </c>
      <c r="F116" s="493">
        <f t="shared" si="37"/>
        <v>97</v>
      </c>
      <c r="G116" s="493">
        <f t="shared" si="37"/>
        <v>96</v>
      </c>
      <c r="H116" s="493">
        <f t="shared" si="37"/>
        <v>95</v>
      </c>
      <c r="I116" s="493">
        <f t="shared" si="37"/>
        <v>94</v>
      </c>
      <c r="J116" s="493">
        <f t="shared" si="37"/>
        <v>93</v>
      </c>
      <c r="K116" s="493">
        <f t="shared" si="37"/>
        <v>92</v>
      </c>
      <c r="L116" s="493">
        <f t="shared" si="37"/>
        <v>91</v>
      </c>
      <c r="M116" s="494">
        <f t="shared" si="37"/>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66" t="s">
        <v>3575</v>
      </c>
      <c r="D117" s="3566" t="s">
        <v>3596</v>
      </c>
      <c r="E117" s="3566" t="s">
        <v>3597</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8">D120-$K41</f>
        <v>100</v>
      </c>
      <c r="F120" s="493">
        <f t="shared" si="38"/>
        <v>100</v>
      </c>
      <c r="G120" s="493">
        <f t="shared" si="38"/>
        <v>100</v>
      </c>
      <c r="H120" s="493">
        <f t="shared" si="38"/>
        <v>100</v>
      </c>
      <c r="I120" s="493">
        <f t="shared" si="38"/>
        <v>100</v>
      </c>
      <c r="J120" s="493">
        <f t="shared" si="38"/>
        <v>100</v>
      </c>
      <c r="K120" s="493">
        <f t="shared" si="38"/>
        <v>100</v>
      </c>
      <c r="L120" s="493">
        <f t="shared" si="38"/>
        <v>100</v>
      </c>
      <c r="M120" s="493">
        <f t="shared" si="38"/>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66" t="s">
        <v>3589</v>
      </c>
      <c r="D123" s="3566" t="s">
        <v>3598</v>
      </c>
      <c r="E123" s="3566" t="s">
        <v>3599</v>
      </c>
      <c r="F123" s="3573" t="s">
        <v>3600</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9">C124-$K43</f>
        <v>99</v>
      </c>
      <c r="E124" s="493">
        <f t="shared" si="39"/>
        <v>98</v>
      </c>
      <c r="F124" s="493">
        <f t="shared" si="39"/>
        <v>97</v>
      </c>
      <c r="G124" s="493">
        <f t="shared" si="39"/>
        <v>96</v>
      </c>
      <c r="H124" s="493">
        <f t="shared" si="39"/>
        <v>95</v>
      </c>
      <c r="I124" s="493">
        <f t="shared" si="39"/>
        <v>94</v>
      </c>
      <c r="J124" s="493">
        <f t="shared" si="39"/>
        <v>93</v>
      </c>
      <c r="K124" s="493">
        <f t="shared" si="39"/>
        <v>92</v>
      </c>
      <c r="L124" s="493">
        <f t="shared" si="39"/>
        <v>91</v>
      </c>
      <c r="M124" s="494">
        <f t="shared" si="39"/>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房屋状态</v>
      </c>
      <c r="C127" s="3574" t="s">
        <v>3623</v>
      </c>
      <c r="D127" s="3574" t="s">
        <v>3624</v>
      </c>
      <c r="E127" s="3574"/>
      <c r="F127" s="3574"/>
      <c r="G127" s="3574"/>
      <c r="H127" s="3574"/>
      <c r="I127" s="3574"/>
      <c r="J127" s="3574"/>
      <c r="K127" s="3575"/>
      <c r="L127" s="3576"/>
      <c r="M127" s="3577"/>
      <c r="N127" s="3578"/>
      <c r="O127" s="3578"/>
      <c r="P127" s="2762"/>
      <c r="Q127" s="3579"/>
      <c r="R127" s="2746"/>
      <c r="S127" s="2746"/>
      <c r="T127" s="2746"/>
      <c r="U127" s="2746"/>
      <c r="V127" s="2746"/>
      <c r="W127" s="2746"/>
      <c r="X127" s="2746"/>
      <c r="Y127" s="2746"/>
      <c r="Z127" s="2746"/>
      <c r="AA127" s="2746"/>
      <c r="AB127" s="2746"/>
      <c r="AC127" s="2746"/>
    </row>
    <row r="128" spans="1:29" s="422" customFormat="1" ht="15.75" thickBot="1">
      <c r="A128" s="502"/>
      <c r="B128" s="492"/>
      <c r="C128" s="3563">
        <v>100</v>
      </c>
      <c r="D128" s="3563">
        <v>99</v>
      </c>
      <c r="E128" s="3563"/>
      <c r="F128" s="3563"/>
      <c r="G128" s="3563"/>
      <c r="H128" s="3563"/>
      <c r="I128" s="3563"/>
      <c r="J128" s="3563"/>
      <c r="K128" s="3580"/>
      <c r="L128" s="3580"/>
      <c r="M128" s="3581"/>
      <c r="N128" s="3578"/>
      <c r="O128" s="3578"/>
      <c r="P128" s="2762"/>
      <c r="Q128" s="3579"/>
      <c r="R128" s="2746"/>
      <c r="S128" s="2746"/>
      <c r="T128" s="2746"/>
      <c r="U128" s="2746"/>
      <c r="V128" s="2746"/>
      <c r="W128" s="2746"/>
      <c r="X128" s="2746"/>
      <c r="Y128" s="2746"/>
      <c r="Z128" s="2746"/>
      <c r="AA128" s="2746"/>
      <c r="AB128" s="2746"/>
      <c r="AC128" s="2746"/>
    </row>
    <row r="129" spans="1:29" ht="15" thickTop="1">
      <c r="A129" s="548"/>
      <c r="B129" s="487">
        <f>B46</f>
        <v>0</v>
      </c>
      <c r="C129" s="3582"/>
      <c r="D129" s="3582"/>
      <c r="E129" s="3582"/>
      <c r="F129" s="3582"/>
      <c r="G129" s="3582"/>
      <c r="H129" s="3582"/>
      <c r="I129" s="3582"/>
      <c r="J129" s="3582"/>
      <c r="K129" s="3582"/>
      <c r="L129" s="3582"/>
      <c r="M129" s="3582"/>
      <c r="N129" s="3582"/>
      <c r="O129" s="3582"/>
      <c r="P129" s="3582"/>
      <c r="Q129" s="3582"/>
      <c r="R129" s="2724"/>
      <c r="S129" s="2724"/>
      <c r="T129" s="2724"/>
      <c r="U129" s="2724"/>
      <c r="V129" s="2724"/>
      <c r="W129" s="2724"/>
      <c r="X129" s="2724"/>
      <c r="Y129" s="2724"/>
      <c r="Z129" s="2724"/>
      <c r="AA129" s="2724"/>
      <c r="AB129" s="2724"/>
      <c r="AC129" s="2724"/>
    </row>
    <row r="130" spans="1:29" ht="15.75" thickBot="1">
      <c r="A130" s="483"/>
      <c r="B130" s="492"/>
      <c r="C130" s="3568"/>
      <c r="D130" s="3568"/>
      <c r="E130" s="3568"/>
      <c r="F130" s="3568"/>
      <c r="G130" s="3568"/>
      <c r="H130" s="3568"/>
      <c r="I130" s="3568"/>
      <c r="J130" s="3568"/>
      <c r="K130" s="3568"/>
      <c r="L130" s="3568"/>
      <c r="M130" s="3568"/>
      <c r="N130" s="3568"/>
      <c r="O130" s="3568"/>
      <c r="P130" s="3568"/>
      <c r="Q130" s="3568"/>
      <c r="R130" s="2724"/>
      <c r="S130" s="2724"/>
      <c r="T130" s="2724"/>
      <c r="U130" s="2724"/>
      <c r="V130" s="2724"/>
      <c r="W130" s="2724"/>
      <c r="X130" s="2724"/>
      <c r="Y130" s="2724"/>
      <c r="Z130" s="2724"/>
      <c r="AA130" s="2724"/>
      <c r="AB130" s="2724"/>
      <c r="AC130" s="2724"/>
    </row>
    <row r="131" spans="1:29" ht="15" thickTop="1">
      <c r="A131" s="548"/>
      <c r="B131" s="495">
        <f>B47</f>
        <v>0</v>
      </c>
      <c r="C131" s="3560"/>
      <c r="D131" s="3560"/>
      <c r="E131" s="31"/>
      <c r="F131" s="31"/>
      <c r="G131" s="3583"/>
      <c r="H131" s="3583"/>
      <c r="I131" s="3583"/>
      <c r="J131" s="3583"/>
      <c r="K131" s="31"/>
      <c r="L131" s="3584"/>
      <c r="M131" s="3585"/>
      <c r="N131" s="3586"/>
      <c r="O131" s="3586"/>
      <c r="P131" s="2761"/>
      <c r="Q131" s="3587"/>
      <c r="R131" s="2724"/>
      <c r="S131" s="2724"/>
      <c r="T131" s="2724"/>
      <c r="U131" s="2724"/>
      <c r="V131" s="2724"/>
      <c r="W131" s="2724"/>
      <c r="X131" s="2724"/>
      <c r="Y131" s="2724"/>
      <c r="Z131" s="2724"/>
      <c r="AA131" s="2724"/>
      <c r="AB131" s="2724"/>
      <c r="AC131" s="2724"/>
    </row>
    <row r="132" spans="1:29" ht="15.75" thickBot="1">
      <c r="A132" s="1927"/>
      <c r="B132" s="518"/>
      <c r="C132" s="3588"/>
      <c r="D132" s="3588"/>
      <c r="E132" s="3588"/>
      <c r="F132" s="3588"/>
      <c r="G132" s="3589"/>
      <c r="H132" s="3589"/>
      <c r="I132" s="3589"/>
      <c r="J132" s="3589"/>
      <c r="K132" s="3589"/>
      <c r="L132" s="3589"/>
      <c r="M132" s="3590"/>
      <c r="N132" s="3591"/>
      <c r="O132" s="3591"/>
      <c r="P132" s="2761"/>
      <c r="Q132" s="3587"/>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估价对象为北京市房地产，为所有。根据《国有土地使用证》[]，估价对象（分摊）出让国有建设用地使用权面积为11881.76平方米，建筑面积为48955.32平方米。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估价对象为北京市房地产,为开发建设的，该项目尚在开发建设中。根据《国有土地使用证》[]，估价对象（分摊）出让国有建设用地使用权面积为11881.76平方米，规划建筑面积为48955.32平方米。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2023年12月31日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2"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3"/>
  <sheetViews>
    <sheetView topLeftCell="A15" workbookViewId="0">
      <selection activeCell="F67" sqref="F67"/>
    </sheetView>
  </sheetViews>
  <sheetFormatPr defaultColWidth="8.875" defaultRowHeight="11.25"/>
  <cols>
    <col min="1" max="1" width="21.125" style="3551" customWidth="1"/>
    <col min="2" max="2" width="27.5" style="3551" bestFit="1" customWidth="1"/>
    <col min="3" max="5" width="8.875" style="3551"/>
    <col min="6" max="6" width="17.5" style="3551" bestFit="1" customWidth="1"/>
    <col min="7" max="7" width="8.875" style="3551"/>
    <col min="8" max="8" width="14.875" style="3551" customWidth="1"/>
    <col min="9" max="10" width="8.875" style="3551"/>
    <col min="11" max="11" width="17.5" style="3551" bestFit="1" customWidth="1"/>
    <col min="12" max="13" width="8.875" style="3551"/>
    <col min="14" max="14" width="18" style="3551" customWidth="1"/>
    <col min="15" max="16384" width="8.875" style="3551"/>
  </cols>
  <sheetData>
    <row r="2" spans="11:13">
      <c r="K2" s="3552"/>
      <c r="L2" s="3552"/>
      <c r="M2" s="3554"/>
    </row>
    <row r="3" spans="11:13">
      <c r="K3" s="3552"/>
      <c r="L3" s="3552"/>
      <c r="M3" s="3554"/>
    </row>
    <row r="4" spans="11:13">
      <c r="K4" s="3552"/>
      <c r="L4" s="3552"/>
      <c r="M4" s="3554"/>
    </row>
    <row r="5" spans="11:13">
      <c r="K5" s="3552"/>
      <c r="L5" s="3552"/>
      <c r="M5" s="3554"/>
    </row>
    <row r="6" spans="11:13">
      <c r="K6" s="3552"/>
      <c r="L6" s="3552"/>
      <c r="M6" s="3554"/>
    </row>
    <row r="7" spans="11:13">
      <c r="K7" s="3552"/>
      <c r="L7" s="3552"/>
      <c r="M7" s="3554"/>
    </row>
    <row r="8" spans="11:13">
      <c r="M8" s="3553"/>
    </row>
    <row r="9" spans="11:13">
      <c r="M9" s="3553"/>
    </row>
    <row r="10" spans="11:13">
      <c r="K10" s="3552"/>
      <c r="L10" s="3552"/>
      <c r="M10" s="3554"/>
    </row>
    <row r="11" spans="11:13">
      <c r="K11" s="3552"/>
      <c r="L11" s="3552"/>
      <c r="M11" s="3554"/>
    </row>
    <row r="12" spans="11:13">
      <c r="K12" s="3552"/>
      <c r="L12" s="3552"/>
      <c r="M12" s="3554"/>
    </row>
    <row r="13" spans="11:13">
      <c r="K13" s="3552"/>
      <c r="M13" s="3553"/>
    </row>
    <row r="14" spans="11:13">
      <c r="K14" s="3552"/>
      <c r="L14" s="3552"/>
      <c r="M14" s="3554"/>
    </row>
    <row r="15" spans="11:13">
      <c r="K15" s="3552"/>
      <c r="L15" s="3552"/>
      <c r="M15" s="3554"/>
    </row>
    <row r="16" spans="11:13">
      <c r="K16" s="3552"/>
      <c r="L16" s="3552"/>
      <c r="M16" s="3554"/>
    </row>
    <row r="17" spans="11:13">
      <c r="L17" s="3552"/>
      <c r="M17" s="3553"/>
    </row>
    <row r="18" spans="11:13">
      <c r="K18" s="3552"/>
      <c r="L18" s="3552"/>
      <c r="M18" s="3554"/>
    </row>
    <row r="19" spans="11:13">
      <c r="K19" s="3552"/>
      <c r="L19" s="3552"/>
      <c r="M19" s="3554"/>
    </row>
    <row r="20" spans="11:13">
      <c r="K20" s="3552"/>
      <c r="L20" s="3552"/>
      <c r="M20" s="3554"/>
    </row>
    <row r="21" spans="11:13">
      <c r="K21" s="3552"/>
      <c r="L21" s="3552"/>
      <c r="M21" s="3554"/>
    </row>
    <row r="24" spans="11:13" s="3556" customFormat="1"/>
    <row r="25" spans="11:13" s="3556" customFormat="1">
      <c r="K25" s="3557"/>
    </row>
    <row r="26" spans="11:13" s="3556" customFormat="1">
      <c r="K26" s="3557"/>
    </row>
    <row r="27" spans="11:13" s="3556" customFormat="1">
      <c r="K27" s="3557"/>
    </row>
    <row r="28" spans="11:13" s="3556" customFormat="1"/>
    <row r="29" spans="11:13" s="3556" customFormat="1"/>
    <row r="30" spans="11:13" s="3556" customFormat="1"/>
    <row r="31" spans="11:13" s="3556" customFormat="1"/>
    <row r="32" spans="11:13" s="3556" customFormat="1"/>
    <row r="33" s="3556" customFormat="1"/>
    <row r="34" s="3556" customFormat="1"/>
    <row r="35" s="3556" customFormat="1"/>
    <row r="36" s="3556" customFormat="1"/>
    <row r="37" s="3556" customFormat="1"/>
    <row r="38" s="3556" customFormat="1"/>
    <row r="39" s="3556" customFormat="1"/>
    <row r="40" s="3556" customFormat="1"/>
    <row r="41" s="3556" customFormat="1"/>
    <row r="42" s="3556" customFormat="1"/>
    <row r="43" s="3556" customFormat="1"/>
    <row r="44" s="3556" customFormat="1"/>
    <row r="45" s="3556" customFormat="1"/>
    <row r="46" s="3556" customFormat="1"/>
    <row r="47" s="3556" customFormat="1"/>
    <row r="48" s="3556" customFormat="1"/>
    <row r="49" spans="1:12" s="3556" customFormat="1"/>
    <row r="50" spans="1:12" s="3556" customFormat="1"/>
    <row r="51" spans="1:12" s="3556" customFormat="1"/>
    <row r="52" spans="1:12" s="3556" customFormat="1">
      <c r="A52" s="3556">
        <f>5015000000</f>
        <v>5015000000</v>
      </c>
      <c r="B52" s="3556">
        <v>119000</v>
      </c>
      <c r="C52" s="3556">
        <f>ROUND(A52/B52,0)</f>
        <v>42143</v>
      </c>
    </row>
    <row r="53" spans="1:12" s="3556" customFormat="1"/>
    <row r="54" spans="1:12" s="3556" customFormat="1" ht="12">
      <c r="E54" s="3602"/>
      <c r="F54" s="3603" t="s">
        <v>3547</v>
      </c>
      <c r="G54" s="3603" t="s">
        <v>3608</v>
      </c>
      <c r="H54" s="3603" t="s">
        <v>3609</v>
      </c>
      <c r="I54" s="3603" t="s">
        <v>3428</v>
      </c>
      <c r="J54" s="3603"/>
      <c r="K54" s="3603" t="s">
        <v>3610</v>
      </c>
      <c r="L54" s="3603" t="s">
        <v>3611</v>
      </c>
    </row>
    <row r="55" spans="1:12" s="3556" customFormat="1" ht="12">
      <c r="E55" s="3602"/>
      <c r="F55" s="3603" t="s">
        <v>3612</v>
      </c>
      <c r="G55" s="3603">
        <v>34999</v>
      </c>
      <c r="H55" s="3604" t="s">
        <v>3613</v>
      </c>
      <c r="I55" s="3603">
        <v>42858</v>
      </c>
      <c r="J55" s="3603" t="s">
        <v>3614</v>
      </c>
      <c r="K55" s="3603" t="s">
        <v>3615</v>
      </c>
      <c r="L55" s="3603" t="s">
        <v>3616</v>
      </c>
    </row>
    <row r="56" spans="1:12" s="3556" customFormat="1" ht="12">
      <c r="E56" s="3602"/>
      <c r="F56" s="3603" t="s">
        <v>3617</v>
      </c>
      <c r="G56" s="3603">
        <v>184914</v>
      </c>
      <c r="H56" s="3604" t="s">
        <v>3613</v>
      </c>
      <c r="I56" s="3603">
        <v>34611</v>
      </c>
      <c r="J56" s="3603" t="s">
        <v>3618</v>
      </c>
      <c r="K56" s="3603" t="s">
        <v>3619</v>
      </c>
      <c r="L56" s="3603" t="s">
        <v>3620</v>
      </c>
    </row>
    <row r="57" spans="1:12" s="3556" customFormat="1"/>
    <row r="58" spans="1:12" s="3556" customFormat="1"/>
    <row r="59" spans="1:12" s="3556" customFormat="1"/>
    <row r="60" spans="1:12" s="3556" customFormat="1"/>
    <row r="61" spans="1:12" s="3556" customFormat="1"/>
    <row r="62" spans="1:12" s="3556" customFormat="1"/>
    <row r="63" spans="1:12" s="3556" customFormat="1"/>
    <row r="64" spans="1:12" s="3556" customFormat="1"/>
    <row r="65" s="3556" customFormat="1"/>
    <row r="66" s="3556" customFormat="1"/>
    <row r="67" s="3556" customFormat="1"/>
    <row r="68" s="3556" customFormat="1"/>
    <row r="69" s="3556" customFormat="1"/>
    <row r="70" s="3556" customFormat="1"/>
    <row r="71" s="3556" customFormat="1"/>
    <row r="72" s="3556" customFormat="1"/>
    <row r="73" s="3556" customFormat="1"/>
    <row r="74" s="3556" customFormat="1"/>
    <row r="75" s="3556" customFormat="1"/>
    <row r="76" s="3556" customFormat="1"/>
    <row r="77" s="3556" customFormat="1"/>
    <row r="78" s="3556" customFormat="1"/>
    <row r="79" s="3556" customFormat="1"/>
    <row r="80" s="3556" customFormat="1"/>
    <row r="81" s="3556" customFormat="1"/>
    <row r="82" s="3556" customFormat="1"/>
    <row r="83" s="3556" customFormat="1"/>
    <row r="84" s="3556" customFormat="1"/>
    <row r="85" s="3556" customFormat="1"/>
    <row r="86" s="3556" customFormat="1"/>
    <row r="87" s="3556" customFormat="1"/>
    <row r="88" s="3556" customFormat="1"/>
    <row r="89" s="3556" customFormat="1"/>
    <row r="90" s="3556" customFormat="1"/>
    <row r="91" s="3556" customFormat="1"/>
    <row r="92" s="3556" customFormat="1"/>
    <row r="93" s="3556" customFormat="1"/>
    <row r="94" s="3556" customFormat="1"/>
    <row r="95" s="3556" customFormat="1"/>
    <row r="96" s="3556" customFormat="1"/>
    <row r="97" s="3556" customFormat="1"/>
    <row r="98" s="3556" customFormat="1"/>
    <row r="99" s="3556" customFormat="1"/>
    <row r="100" s="3556" customFormat="1"/>
    <row r="101" s="3556" customFormat="1"/>
    <row r="102" s="3556" customFormat="1"/>
    <row r="103" s="3556" customFormat="1"/>
    <row r="104" s="3556" customFormat="1"/>
    <row r="105" s="3556" customFormat="1"/>
    <row r="106" s="3556" customFormat="1"/>
    <row r="107" s="3556" customFormat="1"/>
    <row r="108" s="3556" customFormat="1"/>
    <row r="109" s="3556" customFormat="1"/>
    <row r="110" s="3556" customFormat="1"/>
    <row r="111" s="3556" customFormat="1"/>
    <row r="112" s="3556" customFormat="1"/>
    <row r="113" s="3556" customFormat="1"/>
    <row r="114" s="3556" customFormat="1"/>
    <row r="115" s="3556" customFormat="1"/>
    <row r="116" s="3556" customFormat="1"/>
    <row r="117" s="3556" customFormat="1"/>
    <row r="118" s="3556" customFormat="1"/>
    <row r="119" s="3556" customFormat="1"/>
    <row r="120" s="3556" customFormat="1"/>
    <row r="121" s="3556" customFormat="1"/>
    <row r="122" s="3556" customFormat="1"/>
    <row r="123" s="3556" customFormat="1"/>
    <row r="124" s="3556" customFormat="1"/>
    <row r="125" s="3556" customFormat="1"/>
    <row r="126" s="3556" customFormat="1"/>
    <row r="127" s="3556" customFormat="1"/>
    <row r="128" s="3556" customFormat="1"/>
    <row r="129" s="3556" customFormat="1"/>
    <row r="130" s="3556" customFormat="1"/>
    <row r="131" s="3556" customFormat="1"/>
    <row r="132" s="3556" customFormat="1"/>
    <row r="133" s="3556" customFormat="1"/>
    <row r="134" s="3556" customFormat="1"/>
    <row r="135" s="3556" customFormat="1"/>
    <row r="136" s="3556" customFormat="1"/>
    <row r="137" s="3556" customFormat="1"/>
    <row r="138" s="3556" customFormat="1"/>
    <row r="139" s="3556" customFormat="1"/>
    <row r="140" s="3556" customFormat="1"/>
    <row r="141" s="3556" customFormat="1"/>
    <row r="142" s="3556" customFormat="1"/>
    <row r="143" s="3556" customFormat="1"/>
    <row r="144" s="3556" customFormat="1"/>
    <row r="145" s="3556" customFormat="1"/>
    <row r="146" s="3556" customFormat="1"/>
    <row r="147" s="3556" customFormat="1"/>
    <row r="148" s="3556" customFormat="1"/>
    <row r="149" s="3556" customFormat="1"/>
    <row r="150" s="3556" customFormat="1"/>
    <row r="151" s="3556" customFormat="1"/>
    <row r="152" s="3556" customFormat="1"/>
    <row r="153" s="3556" customFormat="1"/>
    <row r="154" s="3556" customFormat="1"/>
    <row r="155" s="3556" customFormat="1"/>
    <row r="156" s="3556" customFormat="1"/>
    <row r="157" s="3556" customFormat="1"/>
    <row r="158" s="3556" customFormat="1"/>
    <row r="159" s="3556" customFormat="1"/>
    <row r="160" s="3556" customFormat="1"/>
    <row r="161" s="3556" customFormat="1"/>
    <row r="162" s="3556" customFormat="1"/>
    <row r="163" s="3556" customFormat="1"/>
    <row r="164" s="3556" customFormat="1"/>
    <row r="165" s="3556" customFormat="1"/>
    <row r="166" s="3556" customFormat="1"/>
    <row r="167" s="3556" customFormat="1"/>
    <row r="168" s="3556" customFormat="1"/>
    <row r="169" s="3556" customFormat="1"/>
    <row r="170" s="3556" customFormat="1"/>
    <row r="171" s="3556" customFormat="1"/>
    <row r="172" s="3556" customFormat="1"/>
    <row r="173" s="3556" customFormat="1"/>
    <row r="174" s="3556" customFormat="1"/>
    <row r="175" s="3556" customFormat="1"/>
    <row r="176" s="3556" customFormat="1"/>
    <row r="177" s="3556" customFormat="1"/>
    <row r="178" s="3556" customFormat="1"/>
    <row r="179" s="3556" customFormat="1"/>
    <row r="180" s="3556" customFormat="1"/>
    <row r="181" s="3556" customFormat="1"/>
    <row r="182" s="3556" customFormat="1"/>
    <row r="183" s="3556" customFormat="1"/>
    <row r="184" s="3556" customFormat="1"/>
    <row r="185" s="3556" customFormat="1"/>
    <row r="186" s="3556" customFormat="1"/>
    <row r="187" s="3556" customFormat="1"/>
    <row r="188" s="3556" customFormat="1"/>
    <row r="189" s="3556" customFormat="1"/>
    <row r="190" s="3556" customFormat="1"/>
    <row r="191" s="3556" customFormat="1"/>
    <row r="192" s="3556" customFormat="1"/>
    <row r="193" s="3556" customFormat="1"/>
    <row r="194" s="3556" customFormat="1"/>
    <row r="195" s="3556" customFormat="1"/>
    <row r="196" s="3556" customFormat="1"/>
    <row r="197" s="3556" customFormat="1"/>
    <row r="198" s="3556" customFormat="1"/>
    <row r="199" s="3556" customFormat="1"/>
    <row r="200" s="3556" customFormat="1"/>
    <row r="201" s="3556" customFormat="1"/>
    <row r="202" s="3556" customFormat="1"/>
    <row r="203" s="3556" customFormat="1"/>
    <row r="204" s="3556" customFormat="1"/>
    <row r="205" s="3556" customFormat="1"/>
    <row r="206" s="3556" customFormat="1"/>
    <row r="207" s="3556" customFormat="1"/>
    <row r="208" s="3556" customFormat="1"/>
    <row r="209" s="3556" customFormat="1"/>
    <row r="210" s="3556" customFormat="1"/>
    <row r="211" s="3556" customFormat="1"/>
    <row r="212" s="3556" customFormat="1"/>
    <row r="213" s="3556" customFormat="1"/>
    <row r="214" s="3556" customFormat="1"/>
    <row r="215" s="3556" customFormat="1"/>
    <row r="216" s="3556" customFormat="1"/>
    <row r="217" s="3556" customFormat="1"/>
    <row r="218" s="3556" customFormat="1"/>
    <row r="219" s="3556" customFormat="1"/>
    <row r="220" s="3556" customFormat="1"/>
    <row r="221" s="3556" customFormat="1"/>
    <row r="222" s="3556" customFormat="1"/>
    <row r="223" s="3556" customFormat="1"/>
    <row r="224" s="3556" customFormat="1"/>
    <row r="225" s="3556" customFormat="1"/>
    <row r="226" s="3556" customFormat="1"/>
    <row r="227" s="3556" customFormat="1"/>
    <row r="228" s="3556" customFormat="1"/>
    <row r="229" s="3556" customFormat="1"/>
    <row r="230" s="3556" customFormat="1"/>
    <row r="231" s="3556" customFormat="1"/>
    <row r="232" s="3556" customFormat="1"/>
    <row r="233" s="3556" customFormat="1"/>
    <row r="234" s="3556" customFormat="1"/>
    <row r="235" s="3556" customFormat="1"/>
    <row r="236" s="3556" customFormat="1"/>
    <row r="237" s="3556" customFormat="1"/>
    <row r="238" s="3556" customFormat="1"/>
    <row r="239" s="3556" customFormat="1"/>
    <row r="240" s="3556" customFormat="1"/>
    <row r="241" s="3556" customFormat="1"/>
    <row r="242" s="3556" customFormat="1"/>
    <row r="243" s="3556" customFormat="1"/>
    <row r="244" s="3556" customFormat="1"/>
    <row r="245" s="3556" customFormat="1"/>
    <row r="246" s="3556" customFormat="1"/>
    <row r="247" s="3556" customFormat="1"/>
    <row r="248" s="3556" customFormat="1"/>
    <row r="249" s="3556" customFormat="1"/>
    <row r="250" s="3556" customFormat="1"/>
    <row r="251" s="3556" customFormat="1"/>
    <row r="252" s="3556" customFormat="1"/>
    <row r="253" s="3556" customFormat="1"/>
    <row r="254" s="3556" customFormat="1"/>
    <row r="255" s="3556" customFormat="1"/>
    <row r="256" s="3556" customFormat="1"/>
    <row r="257" s="3556" customFormat="1"/>
    <row r="258" s="3556" customFormat="1"/>
    <row r="259" s="3556" customFormat="1"/>
    <row r="260" s="3556" customFormat="1"/>
    <row r="261" s="3556" customFormat="1"/>
    <row r="262" s="3556" customFormat="1"/>
    <row r="263" s="3556" customFormat="1"/>
    <row r="264" s="3556" customFormat="1"/>
    <row r="265" s="3556" customFormat="1"/>
    <row r="266" s="3556" customFormat="1"/>
    <row r="267" s="3556" customFormat="1"/>
    <row r="268" s="3556" customFormat="1"/>
    <row r="269" s="3556" customFormat="1"/>
    <row r="270" s="3556" customFormat="1"/>
    <row r="271" s="3556" customFormat="1"/>
    <row r="272" s="3556" customFormat="1"/>
    <row r="273" s="3556" customFormat="1"/>
    <row r="274" s="3556" customFormat="1"/>
    <row r="275" s="3556" customFormat="1"/>
    <row r="276" s="3556" customFormat="1"/>
    <row r="277" s="3556" customFormat="1"/>
    <row r="278" s="3556" customFormat="1"/>
    <row r="279" s="3556" customFormat="1"/>
    <row r="280" s="3556" customFormat="1"/>
    <row r="281" s="3556" customFormat="1"/>
    <row r="282" s="3556" customFormat="1"/>
    <row r="283" s="3556" customFormat="1"/>
    <row r="284" s="3556" customFormat="1"/>
    <row r="285" s="3556" customFormat="1"/>
    <row r="286" s="3556" customFormat="1"/>
    <row r="287" s="3556" customFormat="1"/>
    <row r="288" s="3556" customFormat="1"/>
    <row r="289" s="3556" customFormat="1"/>
    <row r="290" s="3556" customFormat="1"/>
    <row r="291" s="3556" customFormat="1"/>
    <row r="292" s="3556" customFormat="1"/>
    <row r="293" s="3556" customFormat="1"/>
    <row r="294" s="3556" customFormat="1"/>
    <row r="295" s="3556" customFormat="1"/>
    <row r="296" s="3556" customFormat="1"/>
    <row r="297" s="3556" customFormat="1"/>
    <row r="298" s="3556" customFormat="1"/>
    <row r="299" s="3556" customFormat="1"/>
    <row r="300" s="3556" customFormat="1"/>
    <row r="301" s="3556" customFormat="1"/>
    <row r="302" s="3556" customFormat="1"/>
    <row r="303" s="3556" customFormat="1"/>
    <row r="304" s="3556" customFormat="1"/>
    <row r="305" s="3556" customFormat="1"/>
    <row r="306" s="3556" customFormat="1"/>
    <row r="307" s="3556" customFormat="1"/>
    <row r="308" s="3556" customFormat="1"/>
    <row r="309" s="3556" customFormat="1"/>
    <row r="310" s="3556" customFormat="1"/>
    <row r="311" s="3556" customFormat="1"/>
    <row r="312" s="3556" customFormat="1"/>
    <row r="313" s="3556" customFormat="1"/>
    <row r="314" s="3556" customFormat="1"/>
    <row r="315" s="3556" customFormat="1"/>
    <row r="316" s="3556" customFormat="1"/>
    <row r="317" s="3556" customFormat="1"/>
    <row r="318" s="3556" customFormat="1"/>
    <row r="319" s="3556" customFormat="1"/>
    <row r="320" s="3556" customFormat="1"/>
    <row r="321" s="3556" customFormat="1"/>
    <row r="322" s="3556" customFormat="1"/>
    <row r="323" s="3556" customFormat="1"/>
    <row r="324" s="3556" customFormat="1"/>
    <row r="325" s="3556" customFormat="1"/>
    <row r="326" s="3556" customFormat="1"/>
    <row r="327" s="3556" customFormat="1"/>
    <row r="328" s="3556" customFormat="1"/>
    <row r="329" s="3556" customFormat="1"/>
    <row r="330" s="3556" customFormat="1"/>
    <row r="331" s="3556" customFormat="1"/>
    <row r="332" s="3556" customFormat="1"/>
    <row r="333" s="3556" customFormat="1"/>
    <row r="334" s="3556" customFormat="1"/>
    <row r="335" s="3556" customFormat="1"/>
    <row r="336" s="3556" customFormat="1"/>
    <row r="337" s="3556" customFormat="1"/>
    <row r="338" s="3556" customFormat="1"/>
    <row r="339" s="3556" customFormat="1"/>
    <row r="340" s="3556" customFormat="1"/>
    <row r="341" s="3556" customFormat="1"/>
    <row r="342" s="3556" customFormat="1"/>
    <row r="343" s="3556" customFormat="1"/>
    <row r="344" s="3556" customFormat="1"/>
    <row r="345" s="3556" customFormat="1"/>
    <row r="346" s="3556" customFormat="1"/>
    <row r="347" s="3556" customFormat="1"/>
    <row r="348" s="3556" customFormat="1"/>
    <row r="349" s="3556" customFormat="1"/>
    <row r="350" s="3556" customFormat="1"/>
    <row r="351" s="3556" customFormat="1"/>
    <row r="352" s="3556" customFormat="1"/>
    <row r="353" s="3556" customFormat="1"/>
    <row r="354" s="3556" customFormat="1"/>
    <row r="355" s="3556" customFormat="1"/>
    <row r="356" s="3556" customFormat="1"/>
    <row r="357" s="3556" customFormat="1"/>
    <row r="358" s="3556" customFormat="1"/>
    <row r="359" s="3556" customFormat="1"/>
    <row r="360" s="3556" customFormat="1"/>
    <row r="361" s="3556" customFormat="1"/>
    <row r="362" s="3556" customFormat="1"/>
    <row r="363" s="3556" customFormat="1"/>
    <row r="364" s="3556" customFormat="1"/>
    <row r="365" s="3556" customFormat="1"/>
    <row r="366" s="3556" customFormat="1"/>
    <row r="367" s="3556" customFormat="1"/>
    <row r="368" s="3556" customFormat="1"/>
    <row r="369" s="3556" customFormat="1"/>
    <row r="370" s="3556" customFormat="1"/>
    <row r="371" s="3556" customFormat="1"/>
    <row r="372" s="3556" customFormat="1"/>
    <row r="373" s="3556" customFormat="1"/>
    <row r="374" s="3556" customFormat="1"/>
    <row r="375" s="3556" customFormat="1"/>
    <row r="376" s="3556" customFormat="1"/>
    <row r="377" s="3556" customFormat="1"/>
    <row r="378" s="3556" customFormat="1"/>
    <row r="379" s="3556" customFormat="1"/>
    <row r="380" s="3556" customFormat="1"/>
    <row r="381" s="3556" customFormat="1"/>
    <row r="382" s="3556" customFormat="1"/>
    <row r="383" s="3556" customFormat="1"/>
    <row r="384" s="3556" customFormat="1"/>
    <row r="385" s="3556" customFormat="1"/>
    <row r="386" s="3556" customFormat="1"/>
    <row r="387" s="3556" customFormat="1"/>
    <row r="388" s="3556" customFormat="1"/>
    <row r="389" s="3556" customFormat="1"/>
    <row r="390" s="3556" customFormat="1"/>
    <row r="391" s="3556" customFormat="1"/>
    <row r="392" s="3556" customFormat="1"/>
    <row r="393" s="3556" customFormat="1"/>
    <row r="394" s="3556" customFormat="1"/>
    <row r="395" s="3556" customFormat="1"/>
    <row r="396" s="3556" customFormat="1"/>
    <row r="397" s="3556" customFormat="1"/>
    <row r="398" s="3556" customFormat="1"/>
    <row r="399" s="3556" customFormat="1"/>
    <row r="400" s="3556" customFormat="1"/>
    <row r="401" s="3556" customFormat="1"/>
    <row r="402" s="3556" customFormat="1"/>
    <row r="403" s="3556" customFormat="1"/>
    <row r="404" s="3556" customFormat="1"/>
    <row r="405" s="3556" customFormat="1"/>
    <row r="406" s="3556" customFormat="1"/>
    <row r="407" s="3556" customFormat="1"/>
    <row r="408" s="3556" customFormat="1"/>
    <row r="409" s="3556" customFormat="1"/>
    <row r="410" s="3556" customFormat="1"/>
    <row r="411" s="3556" customFormat="1"/>
    <row r="412" s="3556" customFormat="1"/>
    <row r="413" s="3556" customFormat="1"/>
    <row r="414" s="3556" customFormat="1"/>
    <row r="415" s="3556" customFormat="1"/>
    <row r="416" s="3556" customFormat="1"/>
    <row r="417" s="3556" customFormat="1"/>
    <row r="418" s="3556" customFormat="1"/>
    <row r="419" s="3556" customFormat="1"/>
    <row r="420" s="3556" customFormat="1"/>
    <row r="421" s="3556" customFormat="1"/>
    <row r="422" s="3556" customFormat="1"/>
    <row r="423" s="3556" customFormat="1"/>
    <row r="424" s="3556" customFormat="1"/>
    <row r="425" s="3556" customFormat="1"/>
    <row r="426" s="3556" customFormat="1"/>
    <row r="427" s="3556" customFormat="1"/>
    <row r="428" s="3556" customFormat="1"/>
    <row r="429" s="3556" customFormat="1"/>
    <row r="430" s="3556" customFormat="1"/>
    <row r="431" s="3556" customFormat="1"/>
    <row r="432" s="3556" customFormat="1"/>
    <row r="433" s="3556" customFormat="1"/>
    <row r="434" s="3556" customFormat="1"/>
    <row r="435" s="3556" customFormat="1"/>
    <row r="436" s="3556" customFormat="1"/>
    <row r="437" s="3556" customFormat="1"/>
    <row r="438" s="3556" customFormat="1"/>
    <row r="439" s="3556" customFormat="1"/>
    <row r="440" s="3556" customFormat="1"/>
    <row r="441" s="3556" customFormat="1"/>
    <row r="442" s="3556" customFormat="1"/>
    <row r="443" s="3556" customFormat="1"/>
    <row r="444" s="3556" customFormat="1"/>
    <row r="445" s="3556" customFormat="1"/>
    <row r="446" s="3556" customFormat="1"/>
    <row r="447" s="3556" customFormat="1"/>
    <row r="448" s="3556" customFormat="1"/>
    <row r="449" s="3556" customFormat="1"/>
    <row r="450" s="3556" customFormat="1"/>
    <row r="451" s="3556" customFormat="1"/>
    <row r="452" s="3556" customFormat="1"/>
    <row r="453" s="3556" customFormat="1"/>
    <row r="454" s="3556" customFormat="1"/>
    <row r="455" s="3556" customFormat="1"/>
    <row r="456" s="3556" customFormat="1"/>
    <row r="457" s="3556" customFormat="1"/>
    <row r="458" s="3556" customFormat="1"/>
    <row r="459" s="3556" customFormat="1"/>
    <row r="460" s="3556" customFormat="1"/>
    <row r="461" s="3556" customFormat="1"/>
    <row r="462" s="3556" customFormat="1"/>
    <row r="463" s="3556" customFormat="1"/>
    <row r="464" s="3556" customFormat="1"/>
    <row r="465" s="3556" customFormat="1"/>
    <row r="466" s="3556" customFormat="1"/>
    <row r="467" s="3556" customFormat="1"/>
    <row r="468" s="3556" customFormat="1"/>
    <row r="469" s="3556" customFormat="1"/>
    <row r="470" s="3556" customFormat="1"/>
    <row r="471" s="3556" customFormat="1"/>
    <row r="472" s="3556" customFormat="1"/>
    <row r="473" s="3556" customFormat="1"/>
    <row r="474" s="3556" customFormat="1"/>
    <row r="475" s="3556" customFormat="1"/>
    <row r="476" s="3556" customFormat="1"/>
    <row r="477" s="3556" customFormat="1"/>
    <row r="478" s="3556" customFormat="1"/>
    <row r="479" s="3556" customFormat="1"/>
    <row r="480" s="3556" customFormat="1"/>
    <row r="481" s="3556" customFormat="1"/>
    <row r="482" s="3556" customFormat="1"/>
    <row r="483" s="3556" customFormat="1"/>
    <row r="484" s="3556" customFormat="1"/>
    <row r="485" s="3556" customFormat="1"/>
    <row r="486" s="3556" customFormat="1"/>
    <row r="487" s="3556" customFormat="1"/>
    <row r="488" s="3556" customFormat="1"/>
    <row r="489" s="3556" customFormat="1"/>
    <row r="490" s="3556" customFormat="1"/>
    <row r="491" s="3556" customFormat="1"/>
    <row r="492" s="3556" customFormat="1"/>
    <row r="493" s="3556" customFormat="1"/>
  </sheetData>
  <phoneticPr fontId="1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3"/>
  <sheetViews>
    <sheetView workbookViewId="0">
      <selection activeCell="N23" sqref="N23"/>
    </sheetView>
  </sheetViews>
  <sheetFormatPr defaultColWidth="11" defaultRowHeight="13.5"/>
  <sheetData>
    <row r="1" spans="1:1">
      <c r="A1" s="3891"/>
    </row>
    <row r="2" spans="1:1">
      <c r="A2" s="3891"/>
    </row>
    <row r="3" spans="1:1">
      <c r="A3" s="3892"/>
    </row>
    <row r="4" spans="1:1">
      <c r="A4" s="3892"/>
    </row>
    <row r="5" spans="1:1">
      <c r="A5" s="3892"/>
    </row>
    <row r="6" spans="1:1">
      <c r="A6" s="3892"/>
    </row>
    <row r="7" spans="1:1">
      <c r="A7" s="3892"/>
    </row>
    <row r="8" spans="1:1">
      <c r="A8" s="3892"/>
    </row>
    <row r="9" spans="1:1">
      <c r="A9" s="3892"/>
    </row>
    <row r="10" spans="1:1">
      <c r="A10" s="3892"/>
    </row>
    <row r="11" spans="1:1">
      <c r="A11" s="3892"/>
    </row>
    <row r="12" spans="1:1">
      <c r="A12" s="3892"/>
    </row>
    <row r="13" spans="1:1">
      <c r="A13" s="3892"/>
    </row>
    <row r="14" spans="1:1">
      <c r="A14" s="3892"/>
    </row>
    <row r="15" spans="1:1">
      <c r="A15" s="3892"/>
    </row>
    <row r="16" spans="1:1">
      <c r="A16" s="3892"/>
    </row>
    <row r="17" spans="1:1">
      <c r="A17" s="3892"/>
    </row>
    <row r="18" spans="1:1">
      <c r="A18" s="3892"/>
    </row>
    <row r="19" spans="1:1">
      <c r="A19" s="3892"/>
    </row>
    <row r="20" spans="1:1">
      <c r="A20" s="3892"/>
    </row>
    <row r="21" spans="1:1">
      <c r="A21" s="3892"/>
    </row>
    <row r="22" spans="1:1">
      <c r="A22" s="3892"/>
    </row>
    <row r="23" spans="1:1">
      <c r="A23" s="3892"/>
    </row>
    <row r="24" spans="1:1">
      <c r="A24" s="3892"/>
    </row>
    <row r="25" spans="1:1">
      <c r="A25" s="3892"/>
    </row>
    <row r="26" spans="1:1">
      <c r="A26" s="3892"/>
    </row>
    <row r="27" spans="1:1">
      <c r="A27" s="3892"/>
    </row>
    <row r="28" spans="1:1">
      <c r="A28" s="3892"/>
    </row>
    <row r="29" spans="1:1">
      <c r="A29" s="3892"/>
    </row>
    <row r="30" spans="1:1">
      <c r="A30" s="3892"/>
    </row>
    <row r="31" spans="1:1">
      <c r="A31" s="3892"/>
    </row>
    <row r="32" spans="1:1">
      <c r="A32" s="3892"/>
    </row>
    <row r="33" spans="1:1">
      <c r="A33" s="3892"/>
    </row>
    <row r="34" spans="1:1">
      <c r="A34" s="3892"/>
    </row>
    <row r="35" spans="1:1">
      <c r="A35" s="3892"/>
    </row>
    <row r="36" spans="1:1">
      <c r="A36" s="3892"/>
    </row>
    <row r="37" spans="1:1">
      <c r="A37" s="3892"/>
    </row>
    <row r="38" spans="1:1">
      <c r="A38" s="3892"/>
    </row>
    <row r="39" spans="1:1">
      <c r="A39" s="3892"/>
    </row>
    <row r="40" spans="1:1">
      <c r="A40" s="3892"/>
    </row>
    <row r="41" spans="1:1">
      <c r="A41" s="3892"/>
    </row>
    <row r="42" spans="1:1">
      <c r="A42" s="3892"/>
    </row>
    <row r="43" spans="1:1">
      <c r="A43" s="3892"/>
    </row>
    <row r="44" spans="1:1">
      <c r="A44" s="3892"/>
    </row>
    <row r="45" spans="1:1">
      <c r="A45" s="3892"/>
    </row>
    <row r="46" spans="1:1">
      <c r="A46" s="3892"/>
    </row>
    <row r="47" spans="1:1">
      <c r="A47" s="3892"/>
    </row>
    <row r="48" spans="1:1">
      <c r="A48" s="3892"/>
    </row>
    <row r="49" spans="1:1">
      <c r="A49" s="3892"/>
    </row>
    <row r="50" spans="1:1">
      <c r="A50" s="3892"/>
    </row>
    <row r="51" spans="1:1">
      <c r="A51" s="3892"/>
    </row>
    <row r="52" spans="1:1">
      <c r="A52" s="3892"/>
    </row>
    <row r="53" spans="1:1">
      <c r="A53" s="3892"/>
    </row>
    <row r="54" spans="1:1">
      <c r="A54" s="3892"/>
    </row>
    <row r="55" spans="1:1">
      <c r="A55" s="3892"/>
    </row>
    <row r="56" spans="1:1">
      <c r="A56" s="3892"/>
    </row>
    <row r="57" spans="1:1">
      <c r="A57" s="3892"/>
    </row>
    <row r="58" spans="1:1">
      <c r="A58" s="3892"/>
    </row>
    <row r="59" spans="1:1">
      <c r="A59" s="3892"/>
    </row>
    <row r="60" spans="1:1">
      <c r="A60" s="3892"/>
    </row>
    <row r="61" spans="1:1">
      <c r="A61" s="3892"/>
    </row>
    <row r="62" spans="1:1">
      <c r="A62" s="3892"/>
    </row>
    <row r="63" spans="1:1">
      <c r="A63" s="3892"/>
    </row>
    <row r="64" spans="1:1">
      <c r="A64" s="3892"/>
    </row>
    <row r="66" spans="1:1">
      <c r="A66" s="3555"/>
    </row>
    <row r="68" spans="1:1">
      <c r="A68" s="3892"/>
    </row>
    <row r="69" spans="1:1">
      <c r="A69" s="3892"/>
    </row>
    <row r="70" spans="1:1">
      <c r="A70" s="3892"/>
    </row>
    <row r="71" spans="1:1">
      <c r="A71" s="3892"/>
    </row>
    <row r="72" spans="1:1">
      <c r="A72" s="3892"/>
    </row>
    <row r="73" spans="1:1">
      <c r="A73" s="3892"/>
    </row>
    <row r="74" spans="1:1">
      <c r="A74" s="3892"/>
    </row>
    <row r="75" spans="1:1">
      <c r="A75" s="3892"/>
    </row>
    <row r="76" spans="1:1">
      <c r="A76" s="3892"/>
    </row>
    <row r="77" spans="1:1">
      <c r="A77" s="3892"/>
    </row>
    <row r="78" spans="1:1">
      <c r="A78" s="3892"/>
    </row>
    <row r="79" spans="1:1">
      <c r="A79" s="3892"/>
    </row>
    <row r="80" spans="1:1">
      <c r="A80" s="3892"/>
    </row>
    <row r="81" spans="1:1">
      <c r="A81" s="3892"/>
    </row>
    <row r="82" spans="1:1">
      <c r="A82" s="3892"/>
    </row>
    <row r="83" spans="1:1">
      <c r="A83" s="3892"/>
    </row>
    <row r="84" spans="1:1">
      <c r="A84" s="3892"/>
    </row>
    <row r="85" spans="1:1">
      <c r="A85" s="3892"/>
    </row>
    <row r="86" spans="1:1">
      <c r="A86" s="3892"/>
    </row>
    <row r="87" spans="1:1">
      <c r="A87" s="3892"/>
    </row>
    <row r="88" spans="1:1">
      <c r="A88" s="3892"/>
    </row>
    <row r="89" spans="1:1">
      <c r="A89" s="3892"/>
    </row>
    <row r="90" spans="1:1">
      <c r="A90" s="3892"/>
    </row>
    <row r="91" spans="1:1">
      <c r="A91" s="3892"/>
    </row>
    <row r="92" spans="1:1">
      <c r="A92" s="3892"/>
    </row>
    <row r="93" spans="1:1">
      <c r="A93" s="3892"/>
    </row>
    <row r="94" spans="1:1">
      <c r="A94" s="3892"/>
    </row>
    <row r="95" spans="1:1">
      <c r="A95" s="3892"/>
    </row>
    <row r="96" spans="1:1">
      <c r="A96" s="3892"/>
    </row>
    <row r="97" spans="1:1">
      <c r="A97" s="3892"/>
    </row>
    <row r="98" spans="1:1">
      <c r="A98" s="3892"/>
    </row>
    <row r="99" spans="1:1">
      <c r="A99" s="3892"/>
    </row>
    <row r="100" spans="1:1">
      <c r="A100" s="3892"/>
    </row>
    <row r="101" spans="1:1">
      <c r="A101" s="3892"/>
    </row>
    <row r="102" spans="1:1">
      <c r="A102" s="3892"/>
    </row>
    <row r="103" spans="1:1">
      <c r="A103" s="3892"/>
    </row>
    <row r="104" spans="1:1">
      <c r="A104" s="3892"/>
    </row>
    <row r="105" spans="1:1">
      <c r="A105" s="3892"/>
    </row>
    <row r="106" spans="1:1">
      <c r="A106" s="3892"/>
    </row>
    <row r="107" spans="1:1">
      <c r="A107" s="3892"/>
    </row>
    <row r="108" spans="1:1">
      <c r="A108" s="3892"/>
    </row>
    <row r="109" spans="1:1">
      <c r="A109" s="3892"/>
    </row>
    <row r="110" spans="1:1">
      <c r="A110" s="3892"/>
    </row>
    <row r="111" spans="1:1">
      <c r="A111" s="3892"/>
    </row>
    <row r="112" spans="1:1">
      <c r="A112" s="3892"/>
    </row>
    <row r="113" spans="1:1">
      <c r="A113" s="3892"/>
    </row>
    <row r="114" spans="1:1">
      <c r="A114" s="3892"/>
    </row>
    <row r="115" spans="1:1">
      <c r="A115" s="3892"/>
    </row>
    <row r="116" spans="1:1">
      <c r="A116" s="3892"/>
    </row>
    <row r="117" spans="1:1">
      <c r="A117" s="3892"/>
    </row>
    <row r="118" spans="1:1">
      <c r="A118" s="3892"/>
    </row>
    <row r="119" spans="1:1">
      <c r="A119" s="3892"/>
    </row>
    <row r="120" spans="1:1">
      <c r="A120" s="3892"/>
    </row>
    <row r="121" spans="1:1">
      <c r="A121" s="3892"/>
    </row>
    <row r="122" spans="1:1">
      <c r="A122" s="3892"/>
    </row>
    <row r="123" spans="1:1">
      <c r="A123" s="3892"/>
    </row>
    <row r="124" spans="1:1">
      <c r="A124" s="3892"/>
    </row>
    <row r="125" spans="1:1">
      <c r="A125" s="3892"/>
    </row>
    <row r="126" spans="1:1">
      <c r="A126" s="3892"/>
    </row>
    <row r="127" spans="1:1">
      <c r="A127" s="3892"/>
    </row>
    <row r="128" spans="1:1">
      <c r="A128" s="3892"/>
    </row>
    <row r="129" spans="1:1">
      <c r="A129" s="3892"/>
    </row>
    <row r="130" spans="1:1">
      <c r="A130" s="3892"/>
    </row>
    <row r="131" spans="1:1">
      <c r="A131" s="3892"/>
    </row>
    <row r="132" spans="1:1">
      <c r="A132" s="3892"/>
    </row>
    <row r="133" spans="1:1">
      <c r="A133" s="3892"/>
    </row>
    <row r="134" spans="1:1">
      <c r="A134" s="3892"/>
    </row>
    <row r="135" spans="1:1">
      <c r="A135" s="3892"/>
    </row>
    <row r="136" spans="1:1">
      <c r="A136" s="3892"/>
    </row>
    <row r="137" spans="1:1">
      <c r="A137" s="3892"/>
    </row>
    <row r="138" spans="1:1">
      <c r="A138" s="3892"/>
    </row>
    <row r="139" spans="1:1">
      <c r="A139" s="3892"/>
    </row>
    <row r="140" spans="1:1">
      <c r="A140" s="3892"/>
    </row>
    <row r="141" spans="1:1">
      <c r="A141" s="3892"/>
    </row>
    <row r="142" spans="1:1">
      <c r="A142" s="3892"/>
    </row>
    <row r="143" spans="1:1">
      <c r="A143" s="3892"/>
    </row>
    <row r="144" spans="1:1">
      <c r="A144" s="3892"/>
    </row>
    <row r="145" spans="1:1">
      <c r="A145" s="3892"/>
    </row>
    <row r="147" spans="1:1">
      <c r="A147" s="3555"/>
    </row>
    <row r="149" spans="1:1">
      <c r="A149" s="3892"/>
    </row>
    <row r="150" spans="1:1">
      <c r="A150" s="3892"/>
    </row>
    <row r="151" spans="1:1">
      <c r="A151" s="3892"/>
    </row>
    <row r="152" spans="1:1">
      <c r="A152" s="3892"/>
    </row>
    <row r="153" spans="1:1">
      <c r="A153" s="3892"/>
    </row>
    <row r="154" spans="1:1">
      <c r="A154" s="3892"/>
    </row>
    <row r="155" spans="1:1">
      <c r="A155" s="3892"/>
    </row>
    <row r="156" spans="1:1">
      <c r="A156" s="3892"/>
    </row>
    <row r="157" spans="1:1">
      <c r="A157" s="3892"/>
    </row>
    <row r="158" spans="1:1">
      <c r="A158" s="3892"/>
    </row>
    <row r="159" spans="1:1">
      <c r="A159" s="3892"/>
    </row>
    <row r="160" spans="1:1">
      <c r="A160" s="3892"/>
    </row>
    <row r="161" spans="1:1">
      <c r="A161" s="3892"/>
    </row>
    <row r="162" spans="1:1">
      <c r="A162" s="3892"/>
    </row>
    <row r="163" spans="1:1">
      <c r="A163" s="3892"/>
    </row>
    <row r="164" spans="1:1">
      <c r="A164" s="3892"/>
    </row>
    <row r="165" spans="1:1">
      <c r="A165" s="3892"/>
    </row>
    <row r="166" spans="1:1">
      <c r="A166" s="3892"/>
    </row>
    <row r="167" spans="1:1">
      <c r="A167" s="3892"/>
    </row>
    <row r="168" spans="1:1">
      <c r="A168" s="3892"/>
    </row>
    <row r="169" spans="1:1">
      <c r="A169" s="3892"/>
    </row>
    <row r="170" spans="1:1">
      <c r="A170" s="3892"/>
    </row>
    <row r="171" spans="1:1">
      <c r="A171" s="3892"/>
    </row>
    <row r="172" spans="1:1">
      <c r="A172" s="3892"/>
    </row>
    <row r="173" spans="1:1">
      <c r="A173" s="3892"/>
    </row>
    <row r="174" spans="1:1">
      <c r="A174" s="3892"/>
    </row>
    <row r="175" spans="1:1">
      <c r="A175" s="3892"/>
    </row>
    <row r="176" spans="1:1">
      <c r="A176" s="3892"/>
    </row>
    <row r="177" spans="1:1">
      <c r="A177" s="3892"/>
    </row>
    <row r="178" spans="1:1">
      <c r="A178" s="3892"/>
    </row>
    <row r="179" spans="1:1">
      <c r="A179" s="3892"/>
    </row>
    <row r="180" spans="1:1">
      <c r="A180" s="3892"/>
    </row>
    <row r="181" spans="1:1">
      <c r="A181" s="3892"/>
    </row>
    <row r="182" spans="1:1">
      <c r="A182" s="3892"/>
    </row>
    <row r="183" spans="1:1">
      <c r="A183" s="3892"/>
    </row>
    <row r="184" spans="1:1">
      <c r="A184" s="3892"/>
    </row>
    <row r="185" spans="1:1">
      <c r="A185" s="3892"/>
    </row>
    <row r="186" spans="1:1">
      <c r="A186" s="3892"/>
    </row>
    <row r="187" spans="1:1">
      <c r="A187" s="3892"/>
    </row>
    <row r="188" spans="1:1">
      <c r="A188" s="3892"/>
    </row>
    <row r="189" spans="1:1">
      <c r="A189" s="3892"/>
    </row>
    <row r="190" spans="1:1">
      <c r="A190" s="3892"/>
    </row>
    <row r="191" spans="1:1">
      <c r="A191" s="3892"/>
    </row>
    <row r="192" spans="1:1">
      <c r="A192" s="3892"/>
    </row>
    <row r="193" spans="1:1">
      <c r="A193" s="3892"/>
    </row>
    <row r="194" spans="1:1">
      <c r="A194" s="3892"/>
    </row>
    <row r="195" spans="1:1">
      <c r="A195" s="3892"/>
    </row>
    <row r="196" spans="1:1">
      <c r="A196" s="3892"/>
    </row>
    <row r="197" spans="1:1">
      <c r="A197" s="3892"/>
    </row>
    <row r="198" spans="1:1">
      <c r="A198" s="3892"/>
    </row>
    <row r="199" spans="1:1">
      <c r="A199" s="3892"/>
    </row>
    <row r="200" spans="1:1">
      <c r="A200" s="3892"/>
    </row>
    <row r="201" spans="1:1">
      <c r="A201" s="3892"/>
    </row>
    <row r="202" spans="1:1">
      <c r="A202" s="3892"/>
    </row>
    <row r="203" spans="1:1">
      <c r="A203" s="3892"/>
    </row>
    <row r="204" spans="1:1">
      <c r="A204" s="3892"/>
    </row>
    <row r="205" spans="1:1">
      <c r="A205" s="3892"/>
    </row>
    <row r="206" spans="1:1">
      <c r="A206" s="3892"/>
    </row>
    <row r="207" spans="1:1">
      <c r="A207" s="3892"/>
    </row>
    <row r="208" spans="1:1">
      <c r="A208" s="3892"/>
    </row>
    <row r="209" spans="1:1">
      <c r="A209" s="3892"/>
    </row>
    <row r="210" spans="1:1">
      <c r="A210" s="3892"/>
    </row>
    <row r="211" spans="1:1">
      <c r="A211" s="3892"/>
    </row>
    <row r="212" spans="1:1">
      <c r="A212" s="3892"/>
    </row>
    <row r="213" spans="1:1">
      <c r="A213" s="3892"/>
    </row>
    <row r="214" spans="1:1">
      <c r="A214" s="3892"/>
    </row>
    <row r="215" spans="1:1">
      <c r="A215" s="3892"/>
    </row>
    <row r="216" spans="1:1">
      <c r="A216" s="3892"/>
    </row>
    <row r="217" spans="1:1">
      <c r="A217" s="3892"/>
    </row>
    <row r="218" spans="1:1">
      <c r="A218" s="3892"/>
    </row>
    <row r="219" spans="1:1">
      <c r="A219" s="3892"/>
    </row>
    <row r="220" spans="1:1">
      <c r="A220" s="3892"/>
    </row>
    <row r="221" spans="1:1">
      <c r="A221" s="3892"/>
    </row>
    <row r="222" spans="1:1">
      <c r="A222" s="3892"/>
    </row>
    <row r="223" spans="1:1">
      <c r="A223" s="3892"/>
    </row>
    <row r="224" spans="1:1">
      <c r="A224" s="3892"/>
    </row>
    <row r="225" spans="1:1">
      <c r="A225" s="3892"/>
    </row>
    <row r="226" spans="1:1">
      <c r="A226" s="3892"/>
    </row>
    <row r="228" spans="1:1">
      <c r="A228" s="3555"/>
    </row>
    <row r="230" spans="1:1">
      <c r="A230" s="3892"/>
    </row>
    <row r="231" spans="1:1">
      <c r="A231" s="3892"/>
    </row>
    <row r="232" spans="1:1">
      <c r="A232" s="3892"/>
    </row>
    <row r="233" spans="1:1">
      <c r="A233" s="3892"/>
    </row>
    <row r="234" spans="1:1">
      <c r="A234" s="3892"/>
    </row>
    <row r="235" spans="1:1">
      <c r="A235" s="3892"/>
    </row>
    <row r="236" spans="1:1">
      <c r="A236" s="3892"/>
    </row>
    <row r="237" spans="1:1">
      <c r="A237" s="3892"/>
    </row>
    <row r="238" spans="1:1">
      <c r="A238" s="3892"/>
    </row>
    <row r="239" spans="1:1">
      <c r="A239" s="3892"/>
    </row>
    <row r="240" spans="1:1">
      <c r="A240" s="3892"/>
    </row>
    <row r="241" spans="1:1">
      <c r="A241" s="3892"/>
    </row>
    <row r="242" spans="1:1">
      <c r="A242" s="3555"/>
    </row>
    <row r="244" spans="1:1">
      <c r="A244" s="3555"/>
    </row>
    <row r="246" spans="1:1">
      <c r="A246" s="3555"/>
    </row>
    <row r="248" spans="1:1">
      <c r="A248" s="3555"/>
    </row>
    <row r="250" spans="1:1">
      <c r="A250" s="3555"/>
    </row>
    <row r="252" spans="1:1">
      <c r="A252" s="3555"/>
    </row>
    <row r="254" spans="1:1">
      <c r="A254" s="3555"/>
    </row>
    <row r="256" spans="1:1">
      <c r="A256" s="3555"/>
    </row>
    <row r="258" spans="1:1">
      <c r="A258" s="3555"/>
    </row>
    <row r="260" spans="1:1">
      <c r="A260" s="3555"/>
    </row>
    <row r="262" spans="1:1">
      <c r="A262" s="3555"/>
    </row>
    <row r="264" spans="1:1">
      <c r="A264" s="3555"/>
    </row>
    <row r="266" spans="1:1">
      <c r="A266" s="3555"/>
    </row>
    <row r="268" spans="1:1">
      <c r="A268" s="3555"/>
    </row>
    <row r="270" spans="1:1">
      <c r="A270" s="3555"/>
    </row>
    <row r="272" spans="1:1">
      <c r="A272" s="3555"/>
    </row>
    <row r="274" spans="1:1">
      <c r="A274" s="3555"/>
    </row>
    <row r="276" spans="1:1">
      <c r="A276" s="3555"/>
    </row>
    <row r="278" spans="1:1">
      <c r="A278" s="3555"/>
    </row>
    <row r="280" spans="1:1">
      <c r="A280" s="3555"/>
    </row>
    <row r="282" spans="1:1">
      <c r="A282" s="3555"/>
    </row>
    <row r="284" spans="1:1">
      <c r="A284" s="3555"/>
    </row>
    <row r="286" spans="1:1">
      <c r="A286" s="3555"/>
    </row>
    <row r="288" spans="1:1">
      <c r="A288" s="3555"/>
    </row>
    <row r="290" spans="1:1">
      <c r="A290" s="3555"/>
    </row>
    <row r="292" spans="1:1">
      <c r="A292" s="3555"/>
    </row>
    <row r="294" spans="1:1">
      <c r="A294" s="3892"/>
    </row>
    <row r="295" spans="1:1">
      <c r="A295" s="3892"/>
    </row>
    <row r="296" spans="1:1">
      <c r="A296" s="3892"/>
    </row>
    <row r="297" spans="1:1">
      <c r="A297" s="3892"/>
    </row>
    <row r="298" spans="1:1">
      <c r="A298" s="3892"/>
    </row>
    <row r="299" spans="1:1">
      <c r="A299" s="3892"/>
    </row>
    <row r="300" spans="1:1">
      <c r="A300" s="3892"/>
    </row>
    <row r="301" spans="1:1">
      <c r="A301" s="3892"/>
    </row>
    <row r="302" spans="1:1">
      <c r="A302" s="3892"/>
    </row>
    <row r="303" spans="1:1">
      <c r="A303" s="3892"/>
    </row>
    <row r="304" spans="1:1">
      <c r="A304" s="3892"/>
    </row>
    <row r="305" spans="1:1">
      <c r="A305" s="3892"/>
    </row>
    <row r="306" spans="1:1">
      <c r="A306" s="3892"/>
    </row>
    <row r="307" spans="1:1">
      <c r="A307" s="3892"/>
    </row>
    <row r="308" spans="1:1">
      <c r="A308" s="3892"/>
    </row>
    <row r="309" spans="1:1">
      <c r="A309" s="3892"/>
    </row>
    <row r="310" spans="1:1">
      <c r="A310" s="3892"/>
    </row>
    <row r="311" spans="1:1">
      <c r="A311" s="3892"/>
    </row>
    <row r="312" spans="1:1">
      <c r="A312" s="3892"/>
    </row>
    <row r="313" spans="1:1">
      <c r="A313" s="3892"/>
    </row>
  </sheetData>
  <mergeCells count="126">
    <mergeCell ref="A302:A303"/>
    <mergeCell ref="A304:A305"/>
    <mergeCell ref="A306:A307"/>
    <mergeCell ref="A308:A309"/>
    <mergeCell ref="A310:A311"/>
    <mergeCell ref="A312:A313"/>
    <mergeCell ref="A238:A239"/>
    <mergeCell ref="A240:A241"/>
    <mergeCell ref="A294:A295"/>
    <mergeCell ref="A296:A297"/>
    <mergeCell ref="A298:A299"/>
    <mergeCell ref="A300:A301"/>
    <mergeCell ref="A223:A224"/>
    <mergeCell ref="A225:A226"/>
    <mergeCell ref="A230:A231"/>
    <mergeCell ref="A232:A233"/>
    <mergeCell ref="A234:A235"/>
    <mergeCell ref="A236:A237"/>
    <mergeCell ref="A211:A212"/>
    <mergeCell ref="A213:A214"/>
    <mergeCell ref="A215:A216"/>
    <mergeCell ref="A217:A218"/>
    <mergeCell ref="A219:A220"/>
    <mergeCell ref="A221:A222"/>
    <mergeCell ref="A199:A200"/>
    <mergeCell ref="A201:A202"/>
    <mergeCell ref="A203:A204"/>
    <mergeCell ref="A205:A206"/>
    <mergeCell ref="A207:A208"/>
    <mergeCell ref="A209:A210"/>
    <mergeCell ref="A187:A188"/>
    <mergeCell ref="A189:A190"/>
    <mergeCell ref="A191:A192"/>
    <mergeCell ref="A193:A194"/>
    <mergeCell ref="A195:A196"/>
    <mergeCell ref="A197:A198"/>
    <mergeCell ref="A175:A176"/>
    <mergeCell ref="A177:A178"/>
    <mergeCell ref="A179:A180"/>
    <mergeCell ref="A181:A182"/>
    <mergeCell ref="A183:A184"/>
    <mergeCell ref="A185:A186"/>
    <mergeCell ref="A163:A164"/>
    <mergeCell ref="A165:A166"/>
    <mergeCell ref="A167:A168"/>
    <mergeCell ref="A169:A170"/>
    <mergeCell ref="A171:A172"/>
    <mergeCell ref="A173:A174"/>
    <mergeCell ref="A151:A152"/>
    <mergeCell ref="A153:A154"/>
    <mergeCell ref="A155:A156"/>
    <mergeCell ref="A157:A158"/>
    <mergeCell ref="A159:A160"/>
    <mergeCell ref="A161:A162"/>
    <mergeCell ref="A136:A137"/>
    <mergeCell ref="A138:A139"/>
    <mergeCell ref="A140:A141"/>
    <mergeCell ref="A142:A143"/>
    <mergeCell ref="A144:A145"/>
    <mergeCell ref="A149:A150"/>
    <mergeCell ref="A124:A125"/>
    <mergeCell ref="A126:A127"/>
    <mergeCell ref="A128:A129"/>
    <mergeCell ref="A130:A131"/>
    <mergeCell ref="A132:A133"/>
    <mergeCell ref="A134:A135"/>
    <mergeCell ref="A112:A113"/>
    <mergeCell ref="A114:A115"/>
    <mergeCell ref="A116:A117"/>
    <mergeCell ref="A118:A119"/>
    <mergeCell ref="A120:A121"/>
    <mergeCell ref="A122:A123"/>
    <mergeCell ref="A100:A101"/>
    <mergeCell ref="A102:A103"/>
    <mergeCell ref="A104:A105"/>
    <mergeCell ref="A106:A107"/>
    <mergeCell ref="A108:A109"/>
    <mergeCell ref="A110:A111"/>
    <mergeCell ref="A88:A89"/>
    <mergeCell ref="A90:A91"/>
    <mergeCell ref="A92:A93"/>
    <mergeCell ref="A94:A95"/>
    <mergeCell ref="A96:A97"/>
    <mergeCell ref="A98:A99"/>
    <mergeCell ref="A76:A77"/>
    <mergeCell ref="A78:A79"/>
    <mergeCell ref="A80:A81"/>
    <mergeCell ref="A82:A83"/>
    <mergeCell ref="A84:A85"/>
    <mergeCell ref="A86:A87"/>
    <mergeCell ref="A61:A62"/>
    <mergeCell ref="A63:A64"/>
    <mergeCell ref="A68:A69"/>
    <mergeCell ref="A70:A71"/>
    <mergeCell ref="A72:A73"/>
    <mergeCell ref="A74:A75"/>
    <mergeCell ref="A49:A50"/>
    <mergeCell ref="A51:A52"/>
    <mergeCell ref="A53:A54"/>
    <mergeCell ref="A55:A56"/>
    <mergeCell ref="A57:A58"/>
    <mergeCell ref="A59:A60"/>
    <mergeCell ref="A37:A38"/>
    <mergeCell ref="A39:A40"/>
    <mergeCell ref="A41:A42"/>
    <mergeCell ref="A43:A44"/>
    <mergeCell ref="A45:A46"/>
    <mergeCell ref="A47:A48"/>
    <mergeCell ref="A31:A32"/>
    <mergeCell ref="A33:A34"/>
    <mergeCell ref="A35:A36"/>
    <mergeCell ref="A13:A14"/>
    <mergeCell ref="A15:A16"/>
    <mergeCell ref="A17:A18"/>
    <mergeCell ref="A19:A20"/>
    <mergeCell ref="A21:A22"/>
    <mergeCell ref="A23:A24"/>
    <mergeCell ref="A1:A2"/>
    <mergeCell ref="A3:A4"/>
    <mergeCell ref="A5:A6"/>
    <mergeCell ref="A7:A8"/>
    <mergeCell ref="A9:A10"/>
    <mergeCell ref="A11:A12"/>
    <mergeCell ref="A25:A26"/>
    <mergeCell ref="A27:A28"/>
    <mergeCell ref="A29:A30"/>
  </mergeCells>
  <phoneticPr fontId="1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26" sqref="I126"/>
    </sheetView>
  </sheetViews>
  <sheetFormatPr defaultColWidth="8.875" defaultRowHeight="13.5"/>
  <sheetData/>
  <phoneticPr fontId="1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0"/>
  <sheetViews>
    <sheetView zoomScale="80" zoomScaleNormal="80" workbookViewId="0">
      <selection activeCell="I46" sqref="I46"/>
    </sheetView>
  </sheetViews>
  <sheetFormatPr defaultColWidth="8.5" defaultRowHeight="13.5"/>
  <cols>
    <col min="1" max="1" width="2.625" style="3509" customWidth="1"/>
    <col min="2" max="2" width="4.5" style="3509" customWidth="1"/>
    <col min="3" max="3" width="26.875" style="3509" customWidth="1"/>
    <col min="4" max="4" width="10.625" style="3509" bestFit="1" customWidth="1"/>
    <col min="5" max="7" width="15.125" style="3509" bestFit="1" customWidth="1"/>
    <col min="8" max="8" width="15.125" style="3509" customWidth="1"/>
    <col min="9" max="9" width="17" style="3509" bestFit="1" customWidth="1"/>
    <col min="10" max="24" width="15.125" style="3509" bestFit="1" customWidth="1"/>
    <col min="25" max="25" width="12.625" style="3509" customWidth="1"/>
    <col min="26" max="26" width="15.875" style="3509" customWidth="1"/>
    <col min="27" max="27" width="14.125" style="3509" customWidth="1"/>
    <col min="28" max="16384" width="8.5" style="3509"/>
  </cols>
  <sheetData>
    <row r="1" spans="1:28" ht="27" customHeight="1">
      <c r="A1" s="3511"/>
      <c r="B1" s="3511"/>
      <c r="C1" s="3893" t="s">
        <v>3444</v>
      </c>
      <c r="D1" s="3893"/>
      <c r="E1" s="3893"/>
      <c r="F1" s="3893"/>
      <c r="G1" s="3893"/>
      <c r="H1" s="3893"/>
      <c r="I1" s="3893"/>
      <c r="J1" s="3893"/>
      <c r="K1" s="3893"/>
      <c r="L1" s="3893"/>
      <c r="M1" s="3893"/>
      <c r="N1" s="3893"/>
      <c r="O1" s="3893"/>
      <c r="P1" s="3893"/>
      <c r="Q1" s="3893"/>
      <c r="R1" s="3893"/>
      <c r="S1" s="3893"/>
      <c r="T1" s="3893"/>
      <c r="U1" s="3893"/>
      <c r="V1" s="3893"/>
      <c r="W1" s="3893"/>
      <c r="X1" s="3893"/>
      <c r="Y1" s="3893"/>
      <c r="Z1" s="3893"/>
    </row>
    <row r="2" spans="1:28" ht="14.25" customHeight="1">
      <c r="A2" s="3511"/>
      <c r="B2" s="3511"/>
      <c r="C2" s="3519"/>
      <c r="D2" s="3519"/>
      <c r="E2" s="3511">
        <f>ROUND(YEARFRAC(E3,E4),2)</f>
        <v>1</v>
      </c>
      <c r="F2" s="3511">
        <f t="shared" ref="F2:Y2" si="0">ROUND(YEARFRAC(F3,F4),2)</f>
        <v>1</v>
      </c>
      <c r="G2" s="3511">
        <f t="shared" si="0"/>
        <v>1</v>
      </c>
      <c r="H2" s="3511">
        <f t="shared" si="0"/>
        <v>1</v>
      </c>
      <c r="I2" s="3511">
        <f t="shared" si="0"/>
        <v>1</v>
      </c>
      <c r="J2" s="3511">
        <f t="shared" si="0"/>
        <v>1</v>
      </c>
      <c r="K2" s="3511">
        <f t="shared" si="0"/>
        <v>1</v>
      </c>
      <c r="L2" s="3511">
        <f t="shared" si="0"/>
        <v>1</v>
      </c>
      <c r="M2" s="3511">
        <f t="shared" si="0"/>
        <v>1</v>
      </c>
      <c r="N2" s="3511">
        <f t="shared" si="0"/>
        <v>1</v>
      </c>
      <c r="O2" s="3511">
        <f t="shared" si="0"/>
        <v>1</v>
      </c>
      <c r="P2" s="3511">
        <f t="shared" si="0"/>
        <v>1</v>
      </c>
      <c r="Q2" s="3511">
        <f t="shared" si="0"/>
        <v>1</v>
      </c>
      <c r="R2" s="3511">
        <f t="shared" si="0"/>
        <v>1</v>
      </c>
      <c r="S2" s="3511">
        <f t="shared" si="0"/>
        <v>1</v>
      </c>
      <c r="T2" s="3511">
        <f t="shared" si="0"/>
        <v>1</v>
      </c>
      <c r="U2" s="3511">
        <f t="shared" si="0"/>
        <v>1</v>
      </c>
      <c r="V2" s="3511">
        <f t="shared" si="0"/>
        <v>1</v>
      </c>
      <c r="W2" s="3511">
        <f t="shared" si="0"/>
        <v>1</v>
      </c>
      <c r="X2" s="3511">
        <f t="shared" si="0"/>
        <v>1</v>
      </c>
      <c r="Y2" s="3511">
        <f t="shared" si="0"/>
        <v>0.66</v>
      </c>
      <c r="Z2" s="3511" t="s">
        <v>3443</v>
      </c>
    </row>
    <row r="3" spans="1:28" s="3512" customFormat="1" ht="15" customHeight="1">
      <c r="A3" s="3520"/>
      <c r="B3" s="3894" t="s">
        <v>3442</v>
      </c>
      <c r="C3" s="3895" t="s">
        <v>3441</v>
      </c>
      <c r="D3" s="3895" t="s">
        <v>3513</v>
      </c>
      <c r="E3" s="3521">
        <v>45292</v>
      </c>
      <c r="F3" s="3521">
        <f>E3+366</f>
        <v>45658</v>
      </c>
      <c r="G3" s="3521">
        <f>F3+365</f>
        <v>46023</v>
      </c>
      <c r="H3" s="3521">
        <f>G3+365</f>
        <v>46388</v>
      </c>
      <c r="I3" s="3521">
        <f>H3+365</f>
        <v>46753</v>
      </c>
      <c r="J3" s="3521">
        <f>I3+366</f>
        <v>47119</v>
      </c>
      <c r="K3" s="3521">
        <f>J3+365</f>
        <v>47484</v>
      </c>
      <c r="L3" s="3521">
        <f>K3+365</f>
        <v>47849</v>
      </c>
      <c r="M3" s="3521">
        <f>L3+365</f>
        <v>48214</v>
      </c>
      <c r="N3" s="3521">
        <f>M3+366</f>
        <v>48580</v>
      </c>
      <c r="O3" s="3521">
        <f>N3+365</f>
        <v>48945</v>
      </c>
      <c r="P3" s="3521">
        <f>O3+365</f>
        <v>49310</v>
      </c>
      <c r="Q3" s="3521">
        <f>P3+365</f>
        <v>49675</v>
      </c>
      <c r="R3" s="3521">
        <f>Q3+366</f>
        <v>50041</v>
      </c>
      <c r="S3" s="3521">
        <f>R3+365</f>
        <v>50406</v>
      </c>
      <c r="T3" s="3521">
        <f>S3+365</f>
        <v>50771</v>
      </c>
      <c r="U3" s="3521">
        <f>T3+365</f>
        <v>51136</v>
      </c>
      <c r="V3" s="3521">
        <f>U3+366</f>
        <v>51502</v>
      </c>
      <c r="W3" s="3521">
        <f>V3+365</f>
        <v>51867</v>
      </c>
      <c r="X3" s="3521">
        <f>W3+365</f>
        <v>52232</v>
      </c>
      <c r="Y3" s="3521">
        <f>X3+365</f>
        <v>52597</v>
      </c>
      <c r="Z3" s="3522" t="s">
        <v>3427</v>
      </c>
      <c r="AA3" s="3523"/>
    </row>
    <row r="4" spans="1:28" s="3512" customFormat="1" ht="14.25" customHeight="1">
      <c r="A4" s="3520"/>
      <c r="B4" s="3894"/>
      <c r="C4" s="3895"/>
      <c r="D4" s="3895"/>
      <c r="E4" s="3521">
        <f>E3+365</f>
        <v>45657</v>
      </c>
      <c r="F4" s="3521">
        <f>E4+365</f>
        <v>46022</v>
      </c>
      <c r="G4" s="3521">
        <f>F4+365</f>
        <v>46387</v>
      </c>
      <c r="H4" s="3521">
        <f>G4+365</f>
        <v>46752</v>
      </c>
      <c r="I4" s="3521">
        <f>H4+366</f>
        <v>47118</v>
      </c>
      <c r="J4" s="3521">
        <f>I4+365</f>
        <v>47483</v>
      </c>
      <c r="K4" s="3521">
        <f>J4+365</f>
        <v>47848</v>
      </c>
      <c r="L4" s="3521">
        <f>K4+365</f>
        <v>48213</v>
      </c>
      <c r="M4" s="3521">
        <f>L4+366</f>
        <v>48579</v>
      </c>
      <c r="N4" s="3521">
        <f>M4+365</f>
        <v>48944</v>
      </c>
      <c r="O4" s="3521">
        <f>N4+365</f>
        <v>49309</v>
      </c>
      <c r="P4" s="3521">
        <f>O4+365</f>
        <v>49674</v>
      </c>
      <c r="Q4" s="3521">
        <f>P4+366</f>
        <v>50040</v>
      </c>
      <c r="R4" s="3521">
        <f>Q4+365</f>
        <v>50405</v>
      </c>
      <c r="S4" s="3521">
        <f>R4+365</f>
        <v>50770</v>
      </c>
      <c r="T4" s="3521">
        <f>S4+365</f>
        <v>51135</v>
      </c>
      <c r="U4" s="3521">
        <f>T4+366</f>
        <v>51501</v>
      </c>
      <c r="V4" s="3521">
        <f>U4+365</f>
        <v>51866</v>
      </c>
      <c r="W4" s="3521">
        <f>V4+365</f>
        <v>52231</v>
      </c>
      <c r="X4" s="3521">
        <f>W4+365</f>
        <v>52596</v>
      </c>
      <c r="Y4" s="3524">
        <f>项目基本情况!D13</f>
        <v>52839</v>
      </c>
      <c r="Z4" s="3522"/>
      <c r="AA4" s="3523"/>
    </row>
    <row r="5" spans="1:28" ht="14.25" customHeight="1">
      <c r="A5" s="3511"/>
      <c r="B5" s="3525">
        <v>1</v>
      </c>
      <c r="C5" s="3526" t="s">
        <v>3511</v>
      </c>
      <c r="D5" s="3527">
        <v>0.09</v>
      </c>
      <c r="E5" s="3528">
        <f>E6+E7</f>
        <v>15493.069950556575</v>
      </c>
      <c r="F5" s="3528">
        <f t="shared" ref="F5:Y5" si="1">F6+F7</f>
        <v>15452.852295299452</v>
      </c>
      <c r="G5" s="3528">
        <f t="shared" si="1"/>
        <v>15029.33334914176</v>
      </c>
      <c r="H5" s="3528">
        <f t="shared" si="1"/>
        <v>14535.171621027474</v>
      </c>
      <c r="I5" s="3528">
        <f t="shared" si="1"/>
        <v>15114.476725460958</v>
      </c>
      <c r="J5" s="3528">
        <f t="shared" si="1"/>
        <v>15522.127169772803</v>
      </c>
      <c r="K5" s="3528">
        <f t="shared" si="1"/>
        <v>15983.907346524726</v>
      </c>
      <c r="L5" s="3528">
        <f t="shared" si="1"/>
        <v>16459.483746520466</v>
      </c>
      <c r="M5" s="3528">
        <f t="shared" si="1"/>
        <v>16995.118242108769</v>
      </c>
      <c r="N5" s="3528">
        <f t="shared" si="1"/>
        <v>17453.85201951264</v>
      </c>
      <c r="O5" s="3528">
        <f t="shared" si="1"/>
        <v>17973.509287217719</v>
      </c>
      <c r="P5" s="3528">
        <f t="shared" si="1"/>
        <v>18508.694325384065</v>
      </c>
      <c r="Q5" s="3528">
        <f t="shared" si="1"/>
        <v>19111.47527830493</v>
      </c>
      <c r="R5" s="3528">
        <f t="shared" si="1"/>
        <v>19627.525019912362</v>
      </c>
      <c r="S5" s="3528">
        <f t="shared" si="1"/>
        <v>20212.144687329805</v>
      </c>
      <c r="T5" s="3528">
        <f t="shared" si="1"/>
        <v>20814.240997460849</v>
      </c>
      <c r="U5" s="3528">
        <f t="shared" si="1"/>
        <v>21492.417104633289</v>
      </c>
      <c r="V5" s="3528">
        <f t="shared" si="1"/>
        <v>22073.135310303158</v>
      </c>
      <c r="W5" s="3528">
        <f t="shared" si="1"/>
        <v>22731.029570782142</v>
      </c>
      <c r="X5" s="3528">
        <f t="shared" si="1"/>
        <v>23408.593946044643</v>
      </c>
      <c r="Y5" s="3528">
        <f t="shared" si="1"/>
        <v>16049.990956578513</v>
      </c>
      <c r="Z5" s="3529">
        <f>SUM(E5:Y5)</f>
        <v>380042.14894987713</v>
      </c>
      <c r="AA5" s="3514"/>
      <c r="AB5" s="3515"/>
    </row>
    <row r="6" spans="1:28" ht="14.25" customHeight="1">
      <c r="A6" s="3511"/>
      <c r="B6" s="3525">
        <v>2</v>
      </c>
      <c r="C6" s="3530" t="s">
        <v>3510</v>
      </c>
      <c r="D6" s="3530"/>
      <c r="E6" s="3528">
        <f>租赁收入测算!I14/10000</f>
        <v>15436.592569</v>
      </c>
      <c r="F6" s="3528">
        <f>租赁收入测算!K14/10000</f>
        <v>15396.375340000001</v>
      </c>
      <c r="G6" s="3528">
        <f>租赁收入测算!M14/10000</f>
        <v>14974.427736000001</v>
      </c>
      <c r="H6" s="3528">
        <f>租赁收入测算!O14/10000</f>
        <v>14481.780640000001</v>
      </c>
      <c r="I6" s="3528">
        <f>租赁收入测算!P14/10000</f>
        <v>15059.484014999998</v>
      </c>
      <c r="J6" s="3528">
        <f>租赁收入测算!Q14/10000</f>
        <v>15465.484678000001</v>
      </c>
      <c r="K6" s="3528">
        <f>租赁收入测算!R14/10000</f>
        <v>15925.56558</v>
      </c>
      <c r="L6" s="3528">
        <f>租赁收入测算!S14/10000</f>
        <v>16399.391726999998</v>
      </c>
      <c r="M6" s="3528">
        <f>租赁收入测算!T14/10000</f>
        <v>16933.223462000002</v>
      </c>
      <c r="N6" s="3528">
        <f>租赁收入测算!U14/10000</f>
        <v>17390.100396000002</v>
      </c>
      <c r="O6" s="3528">
        <f>租赁收入测算!V14/10000</f>
        <v>17907.845115</v>
      </c>
      <c r="P6" s="3528">
        <f>租赁收入测算!W14/10000</f>
        <v>18441.060227999998</v>
      </c>
      <c r="Q6" s="3528">
        <f>租赁收入测算!X14/10000</f>
        <v>19041.812157999997</v>
      </c>
      <c r="R6" s="3528">
        <f>租赁收入测算!Y14/10000</f>
        <v>19555.772005999999</v>
      </c>
      <c r="S6" s="3528">
        <f>租赁收入测算!Z14/10000</f>
        <v>20138.239082999997</v>
      </c>
      <c r="T6" s="3528">
        <f>租赁收入测算!AA14/10000</f>
        <v>20738.118224999998</v>
      </c>
      <c r="U6" s="3528">
        <f>租赁收入测算!AB14/10000</f>
        <v>21414.010649</v>
      </c>
      <c r="V6" s="3528">
        <f>租赁收入测算!AC14/10000</f>
        <v>21992.376660999998</v>
      </c>
      <c r="W6" s="3528">
        <f>租赁收入测算!AD14/10000</f>
        <v>22647.848161999998</v>
      </c>
      <c r="X6" s="3528">
        <f>租赁收入测算!AE14/10000</f>
        <v>23322.917095000001</v>
      </c>
      <c r="Y6" s="3528">
        <f>租赁收入测算!AF14/10000</f>
        <v>15961.7438</v>
      </c>
      <c r="Z6" s="3529"/>
      <c r="AA6" s="3514"/>
      <c r="AB6" s="3515"/>
    </row>
    <row r="7" spans="1:28" ht="14.25" customHeight="1">
      <c r="A7" s="3511"/>
      <c r="B7" s="3525">
        <v>3</v>
      </c>
      <c r="C7" s="3530" t="s">
        <v>3523</v>
      </c>
      <c r="D7" s="3530"/>
      <c r="E7" s="3528">
        <f>租赁收入测算!I15/10000</f>
        <v>56.477381556575338</v>
      </c>
      <c r="F7" s="3528">
        <f>租赁收入测算!K15/10000</f>
        <v>56.476955299450552</v>
      </c>
      <c r="G7" s="3528">
        <f>租赁收入测算!M15/10000</f>
        <v>54.905613141758238</v>
      </c>
      <c r="H7" s="3528">
        <f>租赁收入测算!O15/10000</f>
        <v>53.390981027472534</v>
      </c>
      <c r="I7" s="3528">
        <f>租赁收入测算!P15/10000</f>
        <v>54.992710460958897</v>
      </c>
      <c r="J7" s="3528">
        <f>租赁收入测算!Q15/10000</f>
        <v>56.642491772802195</v>
      </c>
      <c r="K7" s="3528">
        <f>租赁收入测算!R15/10000</f>
        <v>58.341766524725266</v>
      </c>
      <c r="L7" s="3528">
        <f>租赁收入测算!S15/10000</f>
        <v>60.092019520467019</v>
      </c>
      <c r="M7" s="3528">
        <f>租赁收入测算!T15/10000</f>
        <v>61.894780108767122</v>
      </c>
      <c r="N7" s="3528">
        <f>租赁收入测算!U15/10000</f>
        <v>63.751623512637359</v>
      </c>
      <c r="O7" s="3528">
        <f>租赁收入测算!V15/10000</f>
        <v>65.664172217719766</v>
      </c>
      <c r="P7" s="3528">
        <f>租赁收入测算!W15/10000</f>
        <v>67.634097384065939</v>
      </c>
      <c r="Q7" s="3528">
        <f>租赁收入测算!X15/10000</f>
        <v>69.663120304931496</v>
      </c>
      <c r="R7" s="3528">
        <f>租赁收入测算!Y15/10000</f>
        <v>71.753013912362633</v>
      </c>
      <c r="S7" s="3528">
        <f>租赁收入测算!Z15/10000</f>
        <v>73.905604329807687</v>
      </c>
      <c r="T7" s="3528">
        <f>租赁收入测算!AA15/10000</f>
        <v>76.12277246085165</v>
      </c>
      <c r="U7" s="3528">
        <f>租赁收入测算!AB15/10000</f>
        <v>78.406455633287663</v>
      </c>
      <c r="V7" s="3528">
        <f>租赁收入测算!AC15/10000</f>
        <v>80.758649303159345</v>
      </c>
      <c r="W7" s="3528">
        <f>租赁收入测算!AD15/10000</f>
        <v>83.181408782142853</v>
      </c>
      <c r="X7" s="3528">
        <f>租赁收入测算!AE15/10000</f>
        <v>85.676851044642859</v>
      </c>
      <c r="Y7" s="3528">
        <f>租赁收入测算!AF15/10000</f>
        <v>88.247156578512403</v>
      </c>
      <c r="Z7" s="3529"/>
      <c r="AA7" s="3514"/>
      <c r="AB7" s="3515"/>
    </row>
    <row r="8" spans="1:28" ht="14.25" customHeight="1">
      <c r="A8" s="3511"/>
      <c r="B8" s="3525">
        <v>4</v>
      </c>
      <c r="C8" s="3526" t="s">
        <v>3512</v>
      </c>
      <c r="D8" s="3526"/>
      <c r="E8" s="3528">
        <f>E9+E10+E11+E12+E16+E17+E18</f>
        <v>2637.7394822390193</v>
      </c>
      <c r="F8" s="3528">
        <f t="shared" ref="F8:Y8" si="2">F9+F10+F11+F12+F16+F17+F18</f>
        <v>2955.1008052573775</v>
      </c>
      <c r="G8" s="3528">
        <f t="shared" si="2"/>
        <v>2882.7651834615854</v>
      </c>
      <c r="H8" s="3528">
        <f t="shared" si="2"/>
        <v>2798.363723468568</v>
      </c>
      <c r="I8" s="3528">
        <f t="shared" si="2"/>
        <v>2897.3075937493168</v>
      </c>
      <c r="J8" s="3528">
        <f t="shared" si="2"/>
        <v>2966.9328048345997</v>
      </c>
      <c r="K8" s="3528">
        <f t="shared" si="2"/>
        <v>3045.8033296765516</v>
      </c>
      <c r="L8" s="3528">
        <f t="shared" si="2"/>
        <v>3127.0302035681275</v>
      </c>
      <c r="M8" s="3528">
        <f t="shared" si="2"/>
        <v>3218.5149529300802</v>
      </c>
      <c r="N8" s="3528">
        <f t="shared" si="2"/>
        <v>3296.8650109515984</v>
      </c>
      <c r="O8" s="3528">
        <f t="shared" si="2"/>
        <v>3385.6207509817909</v>
      </c>
      <c r="P8" s="3528">
        <f t="shared" si="2"/>
        <v>3477.028582567953</v>
      </c>
      <c r="Q8" s="3528">
        <f t="shared" si="2"/>
        <v>3579.9817432062082</v>
      </c>
      <c r="R8" s="3528">
        <f t="shared" si="2"/>
        <v>3668.1211581685106</v>
      </c>
      <c r="S8" s="3528">
        <f t="shared" si="2"/>
        <v>3767.9722600320347</v>
      </c>
      <c r="T8" s="3528">
        <f t="shared" si="2"/>
        <v>3870.808314351098</v>
      </c>
      <c r="U8" s="3528">
        <f t="shared" si="2"/>
        <v>3986.638738141296</v>
      </c>
      <c r="V8" s="3528">
        <f t="shared" si="2"/>
        <v>4085.8232906954067</v>
      </c>
      <c r="W8" s="3528">
        <f t="shared" si="2"/>
        <v>4198.1894499016862</v>
      </c>
      <c r="X8" s="3528">
        <f t="shared" si="2"/>
        <v>4313.9151992984844</v>
      </c>
      <c r="Y8" s="3528">
        <f t="shared" si="2"/>
        <v>2949.6899781794891</v>
      </c>
      <c r="Z8" s="3529"/>
      <c r="AA8" s="3514"/>
      <c r="AB8" s="3515"/>
    </row>
    <row r="9" spans="1:28" ht="14.25" customHeight="1">
      <c r="A9" s="3511"/>
      <c r="B9" s="3525">
        <v>5</v>
      </c>
      <c r="C9" s="3530" t="s">
        <v>3515</v>
      </c>
      <c r="D9" s="3527">
        <v>0.01</v>
      </c>
      <c r="E9" s="3528">
        <f>$D$33*$D$39*$D$9*E2</f>
        <v>261.02976624000001</v>
      </c>
      <c r="F9" s="3528">
        <f t="shared" ref="F9:Y9" si="3">$D$33*$D$39*$D$9*F2</f>
        <v>261.02976624000001</v>
      </c>
      <c r="G9" s="3528">
        <f t="shared" si="3"/>
        <v>261.02976624000001</v>
      </c>
      <c r="H9" s="3528">
        <f t="shared" si="3"/>
        <v>261.02976624000001</v>
      </c>
      <c r="I9" s="3528">
        <f t="shared" si="3"/>
        <v>261.02976624000001</v>
      </c>
      <c r="J9" s="3528">
        <f t="shared" si="3"/>
        <v>261.02976624000001</v>
      </c>
      <c r="K9" s="3528">
        <f t="shared" si="3"/>
        <v>261.02976624000001</v>
      </c>
      <c r="L9" s="3528">
        <f t="shared" si="3"/>
        <v>261.02976624000001</v>
      </c>
      <c r="M9" s="3528">
        <f t="shared" si="3"/>
        <v>261.02976624000001</v>
      </c>
      <c r="N9" s="3528">
        <f t="shared" si="3"/>
        <v>261.02976624000001</v>
      </c>
      <c r="O9" s="3528">
        <f t="shared" si="3"/>
        <v>261.02976624000001</v>
      </c>
      <c r="P9" s="3528">
        <f t="shared" si="3"/>
        <v>261.02976624000001</v>
      </c>
      <c r="Q9" s="3528">
        <f t="shared" si="3"/>
        <v>261.02976624000001</v>
      </c>
      <c r="R9" s="3528">
        <f t="shared" si="3"/>
        <v>261.02976624000001</v>
      </c>
      <c r="S9" s="3528">
        <f t="shared" si="3"/>
        <v>261.02976624000001</v>
      </c>
      <c r="T9" s="3528">
        <f t="shared" si="3"/>
        <v>261.02976624000001</v>
      </c>
      <c r="U9" s="3528">
        <f t="shared" si="3"/>
        <v>261.02976624000001</v>
      </c>
      <c r="V9" s="3528">
        <f t="shared" si="3"/>
        <v>261.02976624000001</v>
      </c>
      <c r="W9" s="3528">
        <f t="shared" si="3"/>
        <v>261.02976624000001</v>
      </c>
      <c r="X9" s="3528">
        <f t="shared" si="3"/>
        <v>261.02976624000001</v>
      </c>
      <c r="Y9" s="3528">
        <f t="shared" si="3"/>
        <v>172.27964571840002</v>
      </c>
      <c r="Z9" s="3529"/>
      <c r="AA9" s="3514"/>
      <c r="AB9" s="3515"/>
    </row>
    <row r="10" spans="1:28" ht="15" customHeight="1">
      <c r="A10" s="3511"/>
      <c r="B10" s="3525">
        <v>6</v>
      </c>
      <c r="C10" s="3530" t="s">
        <v>3514</v>
      </c>
      <c r="D10" s="3531">
        <v>0.01</v>
      </c>
      <c r="E10" s="3528">
        <f>E6*$D$10</f>
        <v>154.36592569000001</v>
      </c>
      <c r="F10" s="3528">
        <f t="shared" ref="F10:Y10" si="4">F5*0.03</f>
        <v>463.58556885898355</v>
      </c>
      <c r="G10" s="3528">
        <f t="shared" si="4"/>
        <v>450.88000047425277</v>
      </c>
      <c r="H10" s="3528">
        <f t="shared" si="4"/>
        <v>436.05514863082419</v>
      </c>
      <c r="I10" s="3528">
        <f t="shared" si="4"/>
        <v>453.43430176382873</v>
      </c>
      <c r="J10" s="3528">
        <f t="shared" si="4"/>
        <v>465.66381509318404</v>
      </c>
      <c r="K10" s="3528">
        <f t="shared" si="4"/>
        <v>479.51722039574173</v>
      </c>
      <c r="L10" s="3528">
        <f t="shared" si="4"/>
        <v>493.78451239561394</v>
      </c>
      <c r="M10" s="3528">
        <f t="shared" si="4"/>
        <v>509.85354726326307</v>
      </c>
      <c r="N10" s="3528">
        <f t="shared" si="4"/>
        <v>523.61556058537917</v>
      </c>
      <c r="O10" s="3528">
        <f t="shared" si="4"/>
        <v>539.20527861653159</v>
      </c>
      <c r="P10" s="3528">
        <f t="shared" si="4"/>
        <v>555.2608297615219</v>
      </c>
      <c r="Q10" s="3528">
        <f t="shared" si="4"/>
        <v>573.34425834914782</v>
      </c>
      <c r="R10" s="3528">
        <f t="shared" si="4"/>
        <v>588.82575059737087</v>
      </c>
      <c r="S10" s="3528">
        <f t="shared" si="4"/>
        <v>606.36434061989416</v>
      </c>
      <c r="T10" s="3528">
        <f t="shared" si="4"/>
        <v>624.42722992382539</v>
      </c>
      <c r="U10" s="3528">
        <f t="shared" si="4"/>
        <v>644.77251313899865</v>
      </c>
      <c r="V10" s="3528">
        <f t="shared" si="4"/>
        <v>662.19405930909477</v>
      </c>
      <c r="W10" s="3528">
        <f t="shared" si="4"/>
        <v>681.93088712346423</v>
      </c>
      <c r="X10" s="3528">
        <f t="shared" si="4"/>
        <v>702.25781838133923</v>
      </c>
      <c r="Y10" s="3528">
        <f t="shared" si="4"/>
        <v>481.49972869735535</v>
      </c>
      <c r="Z10" s="3529">
        <f t="shared" ref="Z10:Z19" si="5">SUM(E10:Y10)</f>
        <v>11090.838295669615</v>
      </c>
    </row>
    <row r="11" spans="1:28" ht="15" customHeight="1">
      <c r="A11" s="3511"/>
      <c r="B11" s="3525">
        <v>7</v>
      </c>
      <c r="C11" s="3530" t="s">
        <v>3440</v>
      </c>
      <c r="D11" s="3532">
        <v>1.1000000000000001E-3</v>
      </c>
      <c r="E11" s="3528">
        <f>$D$33*$D$11*E2</f>
        <v>33.387528240000002</v>
      </c>
      <c r="F11" s="3528">
        <f t="shared" ref="F11:Y11" si="6">$D$33*$D$11*F2</f>
        <v>33.387528240000002</v>
      </c>
      <c r="G11" s="3528">
        <f t="shared" si="6"/>
        <v>33.387528240000002</v>
      </c>
      <c r="H11" s="3528">
        <f t="shared" si="6"/>
        <v>33.387528240000002</v>
      </c>
      <c r="I11" s="3528">
        <f t="shared" si="6"/>
        <v>33.387528240000002</v>
      </c>
      <c r="J11" s="3528">
        <f t="shared" si="6"/>
        <v>33.387528240000002</v>
      </c>
      <c r="K11" s="3528">
        <f t="shared" si="6"/>
        <v>33.387528240000002</v>
      </c>
      <c r="L11" s="3528">
        <f t="shared" si="6"/>
        <v>33.387528240000002</v>
      </c>
      <c r="M11" s="3528">
        <f t="shared" si="6"/>
        <v>33.387528240000002</v>
      </c>
      <c r="N11" s="3528">
        <f t="shared" si="6"/>
        <v>33.387528240000002</v>
      </c>
      <c r="O11" s="3528">
        <f t="shared" si="6"/>
        <v>33.387528240000002</v>
      </c>
      <c r="P11" s="3528">
        <f t="shared" si="6"/>
        <v>33.387528240000002</v>
      </c>
      <c r="Q11" s="3528">
        <f t="shared" si="6"/>
        <v>33.387528240000002</v>
      </c>
      <c r="R11" s="3528">
        <f t="shared" si="6"/>
        <v>33.387528240000002</v>
      </c>
      <c r="S11" s="3528">
        <f t="shared" si="6"/>
        <v>33.387528240000002</v>
      </c>
      <c r="T11" s="3528">
        <f t="shared" si="6"/>
        <v>33.387528240000002</v>
      </c>
      <c r="U11" s="3528">
        <f t="shared" si="6"/>
        <v>33.387528240000002</v>
      </c>
      <c r="V11" s="3528">
        <f t="shared" si="6"/>
        <v>33.387528240000002</v>
      </c>
      <c r="W11" s="3528">
        <f t="shared" si="6"/>
        <v>33.387528240000002</v>
      </c>
      <c r="X11" s="3528">
        <f t="shared" si="6"/>
        <v>33.387528240000002</v>
      </c>
      <c r="Y11" s="3528">
        <f t="shared" si="6"/>
        <v>22.0357686384</v>
      </c>
      <c r="Z11" s="3529">
        <f t="shared" si="5"/>
        <v>689.78633343840022</v>
      </c>
      <c r="AA11" s="3516"/>
    </row>
    <row r="12" spans="1:28">
      <c r="A12" s="3511"/>
      <c r="B12" s="3533">
        <v>8</v>
      </c>
      <c r="C12" s="3530" t="s">
        <v>3436</v>
      </c>
      <c r="D12" s="3531">
        <f>D13+D14+D15</f>
        <v>0.12000000000000001</v>
      </c>
      <c r="E12" s="3528">
        <f>SUM(E13:E15)</f>
        <v>139.38679991160828</v>
      </c>
      <c r="F12" s="3528">
        <f t="shared" ref="F12:Y12" si="7">SUM(F13:F15)</f>
        <v>139.02484139792554</v>
      </c>
      <c r="G12" s="3528">
        <f t="shared" si="7"/>
        <v>135.21458509044825</v>
      </c>
      <c r="H12" s="3528">
        <f t="shared" si="7"/>
        <v>130.76849270632252</v>
      </c>
      <c r="I12" s="3528">
        <f t="shared" si="7"/>
        <v>135.98079708973376</v>
      </c>
      <c r="J12" s="3528">
        <f t="shared" si="7"/>
        <v>139.64816628535971</v>
      </c>
      <c r="K12" s="3528">
        <f t="shared" si="7"/>
        <v>143.80265852885026</v>
      </c>
      <c r="L12" s="3528">
        <f t="shared" si="7"/>
        <v>148.08127090111574</v>
      </c>
      <c r="M12" s="3528">
        <f t="shared" si="7"/>
        <v>152.90035887688103</v>
      </c>
      <c r="N12" s="3528">
        <f t="shared" si="7"/>
        <v>157.02729171445236</v>
      </c>
      <c r="O12" s="3528">
        <f t="shared" si="7"/>
        <v>161.70248582996354</v>
      </c>
      <c r="P12" s="3528">
        <f t="shared" si="7"/>
        <v>166.51737824081093</v>
      </c>
      <c r="Q12" s="3528">
        <f t="shared" si="7"/>
        <v>171.94058069646994</v>
      </c>
      <c r="R12" s="3528">
        <f t="shared" si="7"/>
        <v>176.58314746669015</v>
      </c>
      <c r="S12" s="3528">
        <f t="shared" si="7"/>
        <v>181.84278714207142</v>
      </c>
      <c r="T12" s="3528">
        <f t="shared" si="7"/>
        <v>187.25965848193289</v>
      </c>
      <c r="U12" s="3528">
        <f t="shared" si="7"/>
        <v>193.36118813162966</v>
      </c>
      <c r="V12" s="3528">
        <f t="shared" si="7"/>
        <v>198.58553500835558</v>
      </c>
      <c r="W12" s="3528">
        <f t="shared" si="7"/>
        <v>204.50440286913533</v>
      </c>
      <c r="X12" s="3528">
        <f t="shared" si="7"/>
        <v>210.60023634846155</v>
      </c>
      <c r="Y12" s="3528">
        <f t="shared" si="7"/>
        <v>144.37049616828597</v>
      </c>
      <c r="Z12" s="3534">
        <f t="shared" si="5"/>
        <v>3419.1031588865048</v>
      </c>
    </row>
    <row r="13" spans="1:28" ht="14.25" customHeight="1">
      <c r="A13" s="3511"/>
      <c r="B13" s="3525">
        <v>9</v>
      </c>
      <c r="C13" s="3530" t="s">
        <v>3439</v>
      </c>
      <c r="D13" s="3531">
        <v>7.0000000000000007E-2</v>
      </c>
      <c r="E13" s="3528">
        <f>E5*$D$5*$D$13</f>
        <v>97.606340688506435</v>
      </c>
      <c r="F13" s="3528">
        <f t="shared" ref="F13:Y13" si="8">F5*$D$5*$D$13</f>
        <v>97.352969460386547</v>
      </c>
      <c r="G13" s="3528">
        <f t="shared" si="8"/>
        <v>94.68480009959309</v>
      </c>
      <c r="H13" s="3528">
        <f t="shared" si="8"/>
        <v>91.571581212473077</v>
      </c>
      <c r="I13" s="3528">
        <f t="shared" si="8"/>
        <v>95.221203370404041</v>
      </c>
      <c r="J13" s="3528">
        <f t="shared" si="8"/>
        <v>97.789401169568663</v>
      </c>
      <c r="K13" s="3528">
        <f t="shared" si="8"/>
        <v>100.69861628310578</v>
      </c>
      <c r="L13" s="3528">
        <f t="shared" si="8"/>
        <v>103.69474760307894</v>
      </c>
      <c r="M13" s="3528">
        <f t="shared" si="8"/>
        <v>107.06924492528525</v>
      </c>
      <c r="N13" s="3528">
        <f t="shared" si="8"/>
        <v>109.95926772292964</v>
      </c>
      <c r="O13" s="3528">
        <f t="shared" si="8"/>
        <v>113.23310850947165</v>
      </c>
      <c r="P13" s="3528">
        <f t="shared" si="8"/>
        <v>116.60477424991961</v>
      </c>
      <c r="Q13" s="3528">
        <f t="shared" si="8"/>
        <v>120.40229425332107</v>
      </c>
      <c r="R13" s="3528">
        <f t="shared" si="8"/>
        <v>123.6534076254479</v>
      </c>
      <c r="S13" s="3528">
        <f t="shared" si="8"/>
        <v>127.33651153017777</v>
      </c>
      <c r="T13" s="3528">
        <f t="shared" si="8"/>
        <v>131.12971828400336</v>
      </c>
      <c r="U13" s="3528">
        <f t="shared" si="8"/>
        <v>135.40222775918974</v>
      </c>
      <c r="V13" s="3528">
        <f t="shared" si="8"/>
        <v>139.0607524549099</v>
      </c>
      <c r="W13" s="3528">
        <f t="shared" si="8"/>
        <v>143.2054862959275</v>
      </c>
      <c r="X13" s="3528">
        <f t="shared" si="8"/>
        <v>147.47414186008123</v>
      </c>
      <c r="Y13" s="3528">
        <f t="shared" si="8"/>
        <v>101.11494302644464</v>
      </c>
      <c r="Z13" s="3529">
        <f t="shared" si="5"/>
        <v>2394.2655383842257</v>
      </c>
    </row>
    <row r="14" spans="1:28" ht="14.25" customHeight="1">
      <c r="A14" s="3511"/>
      <c r="B14" s="3525">
        <v>10</v>
      </c>
      <c r="C14" s="3530" t="s">
        <v>3438</v>
      </c>
      <c r="D14" s="3531">
        <v>0.03</v>
      </c>
      <c r="E14" s="3528">
        <f>E6*$D$5*$D$14</f>
        <v>41.678799936299995</v>
      </c>
      <c r="F14" s="3528">
        <f t="shared" ref="F14:Y14" si="9">F6*$D$5*$D$14</f>
        <v>41.570213418000002</v>
      </c>
      <c r="G14" s="3528">
        <f t="shared" si="9"/>
        <v>40.430954887200002</v>
      </c>
      <c r="H14" s="3528">
        <f t="shared" si="9"/>
        <v>39.100807727999999</v>
      </c>
      <c r="I14" s="3528">
        <f t="shared" si="9"/>
        <v>40.660606840499995</v>
      </c>
      <c r="J14" s="3528">
        <f t="shared" si="9"/>
        <v>41.756808630599998</v>
      </c>
      <c r="K14" s="3528">
        <f t="shared" si="9"/>
        <v>42.999027065999996</v>
      </c>
      <c r="L14" s="3528">
        <f t="shared" si="9"/>
        <v>44.278357662899992</v>
      </c>
      <c r="M14" s="3528">
        <f t="shared" si="9"/>
        <v>45.719703347399999</v>
      </c>
      <c r="N14" s="3528">
        <f t="shared" si="9"/>
        <v>46.953271069199999</v>
      </c>
      <c r="O14" s="3528">
        <f t="shared" si="9"/>
        <v>48.351181810499995</v>
      </c>
      <c r="P14" s="3528">
        <f t="shared" si="9"/>
        <v>49.790862615599991</v>
      </c>
      <c r="Q14" s="3528">
        <f t="shared" si="9"/>
        <v>51.412892826599986</v>
      </c>
      <c r="R14" s="3528">
        <f t="shared" si="9"/>
        <v>52.800584416199996</v>
      </c>
      <c r="S14" s="3528">
        <f t="shared" si="9"/>
        <v>54.373245524099985</v>
      </c>
      <c r="T14" s="3528">
        <f t="shared" si="9"/>
        <v>55.992919207499988</v>
      </c>
      <c r="U14" s="3528">
        <f t="shared" si="9"/>
        <v>57.817828752299995</v>
      </c>
      <c r="V14" s="3528">
        <f t="shared" si="9"/>
        <v>59.379416984699994</v>
      </c>
      <c r="W14" s="3528">
        <f t="shared" si="9"/>
        <v>61.149190037399997</v>
      </c>
      <c r="X14" s="3528">
        <f t="shared" si="9"/>
        <v>62.971876156499988</v>
      </c>
      <c r="Y14" s="3528">
        <f t="shared" si="9"/>
        <v>43.09670826</v>
      </c>
      <c r="Z14" s="3529">
        <f t="shared" si="5"/>
        <v>1022.2852571774999</v>
      </c>
    </row>
    <row r="15" spans="1:28" ht="14.25" customHeight="1">
      <c r="A15" s="3511"/>
      <c r="B15" s="3525">
        <v>11</v>
      </c>
      <c r="C15" s="3530" t="s">
        <v>3437</v>
      </c>
      <c r="D15" s="3531">
        <v>0.02</v>
      </c>
      <c r="E15" s="3528">
        <f>E7*$D$5*$D$15</f>
        <v>0.1016592868018356</v>
      </c>
      <c r="F15" s="3528">
        <f t="shared" ref="F15:Y15" si="10">F7*$D$5*$D$15</f>
        <v>0.10165851953901099</v>
      </c>
      <c r="G15" s="3528">
        <f t="shared" si="10"/>
        <v>9.8830103655164814E-2</v>
      </c>
      <c r="H15" s="3528">
        <f t="shared" si="10"/>
        <v>9.6103765849450573E-2</v>
      </c>
      <c r="I15" s="3528">
        <f t="shared" si="10"/>
        <v>9.898687882972601E-2</v>
      </c>
      <c r="J15" s="3528">
        <f t="shared" si="10"/>
        <v>0.10195648519104396</v>
      </c>
      <c r="K15" s="3528">
        <f t="shared" si="10"/>
        <v>0.10501517974450547</v>
      </c>
      <c r="L15" s="3528">
        <f t="shared" si="10"/>
        <v>0.10816563513684063</v>
      </c>
      <c r="M15" s="3528">
        <f t="shared" si="10"/>
        <v>0.11141060419578082</v>
      </c>
      <c r="N15" s="3528">
        <f t="shared" si="10"/>
        <v>0.11475292232274724</v>
      </c>
      <c r="O15" s="3528">
        <f t="shared" si="10"/>
        <v>0.11819550999189557</v>
      </c>
      <c r="P15" s="3528">
        <f t="shared" si="10"/>
        <v>0.12174137529131869</v>
      </c>
      <c r="Q15" s="3528">
        <f t="shared" si="10"/>
        <v>0.12539361654887668</v>
      </c>
      <c r="R15" s="3528">
        <f t="shared" si="10"/>
        <v>0.12915542504225275</v>
      </c>
      <c r="S15" s="3528">
        <f t="shared" si="10"/>
        <v>0.13303008779365383</v>
      </c>
      <c r="T15" s="3528">
        <f t="shared" si="10"/>
        <v>0.13702099042953297</v>
      </c>
      <c r="U15" s="3528">
        <f t="shared" si="10"/>
        <v>0.14113162013991778</v>
      </c>
      <c r="V15" s="3528">
        <f t="shared" si="10"/>
        <v>0.14536556874568682</v>
      </c>
      <c r="W15" s="3528">
        <f t="shared" si="10"/>
        <v>0.14972653580785714</v>
      </c>
      <c r="X15" s="3528">
        <f t="shared" si="10"/>
        <v>0.15421833188035713</v>
      </c>
      <c r="Y15" s="3528">
        <f t="shared" si="10"/>
        <v>0.15884488184132234</v>
      </c>
      <c r="Z15" s="3529">
        <f t="shared" si="5"/>
        <v>2.5523633247787778</v>
      </c>
    </row>
    <row r="16" spans="1:28">
      <c r="A16" s="3511"/>
      <c r="B16" s="3525">
        <v>12</v>
      </c>
      <c r="C16" s="3530" t="s">
        <v>3435</v>
      </c>
      <c r="D16" s="3531">
        <v>0.12</v>
      </c>
      <c r="E16" s="3528">
        <f>E5*(1+$D$5)*$D$16</f>
        <v>2026.4935495328002</v>
      </c>
      <c r="F16" s="3528">
        <f t="shared" ref="F16:Y16" si="11">F5*(1+$D$5)*$D$16</f>
        <v>2021.2330802251684</v>
      </c>
      <c r="G16" s="3528">
        <f t="shared" si="11"/>
        <v>1965.8368020677424</v>
      </c>
      <c r="H16" s="3528">
        <f t="shared" si="11"/>
        <v>1901.2004480303935</v>
      </c>
      <c r="I16" s="3528">
        <f t="shared" si="11"/>
        <v>1976.9735556902933</v>
      </c>
      <c r="J16" s="3528">
        <f t="shared" si="11"/>
        <v>2030.2942338062828</v>
      </c>
      <c r="K16" s="3528">
        <f t="shared" si="11"/>
        <v>2090.6950809254345</v>
      </c>
      <c r="L16" s="3528">
        <f t="shared" si="11"/>
        <v>2152.9004740448768</v>
      </c>
      <c r="M16" s="3528">
        <f t="shared" si="11"/>
        <v>2222.9614660678271</v>
      </c>
      <c r="N16" s="3528">
        <f t="shared" si="11"/>
        <v>2282.9638441522534</v>
      </c>
      <c r="O16" s="3528">
        <f t="shared" si="11"/>
        <v>2350.9350147680775</v>
      </c>
      <c r="P16" s="3528">
        <f t="shared" si="11"/>
        <v>2420.9372177602359</v>
      </c>
      <c r="Q16" s="3528">
        <f t="shared" si="11"/>
        <v>2499.7809664022852</v>
      </c>
      <c r="R16" s="3528">
        <f t="shared" si="11"/>
        <v>2567.280272604537</v>
      </c>
      <c r="S16" s="3528">
        <f t="shared" si="11"/>
        <v>2643.7485251027388</v>
      </c>
      <c r="T16" s="3528">
        <f t="shared" si="11"/>
        <v>2722.5027224678788</v>
      </c>
      <c r="U16" s="3528">
        <f t="shared" si="11"/>
        <v>2811.2081572860343</v>
      </c>
      <c r="V16" s="3528">
        <f t="shared" si="11"/>
        <v>2887.1660985876529</v>
      </c>
      <c r="W16" s="3528">
        <f t="shared" si="11"/>
        <v>2973.2186678583043</v>
      </c>
      <c r="X16" s="3528">
        <f t="shared" si="11"/>
        <v>3061.8440881426391</v>
      </c>
      <c r="Y16" s="3528">
        <f t="shared" si="11"/>
        <v>2099.3388171204697</v>
      </c>
      <c r="Z16" s="3529">
        <f t="shared" si="5"/>
        <v>49709.51308264392</v>
      </c>
    </row>
    <row r="17" spans="1:27">
      <c r="A17" s="3511"/>
      <c r="B17" s="3525">
        <v>13</v>
      </c>
      <c r="C17" s="3530" t="s">
        <v>3516</v>
      </c>
      <c r="D17" s="3530">
        <v>18</v>
      </c>
      <c r="E17" s="3528">
        <f>$D$17*'数据-汇总表'!$D$3*E2/10000</f>
        <v>21.387167999999999</v>
      </c>
      <c r="F17" s="3528">
        <f>$D$17*'数据-汇总表'!$D$3*F2/10000</f>
        <v>21.387167999999999</v>
      </c>
      <c r="G17" s="3528">
        <f>$D$17*'数据-汇总表'!$D$3*G2/10000</f>
        <v>21.387167999999999</v>
      </c>
      <c r="H17" s="3528">
        <f>$D$17*'数据-汇总表'!$D$3*H2/10000</f>
        <v>21.387167999999999</v>
      </c>
      <c r="I17" s="3528">
        <f>$D$17*'数据-汇总表'!$D$3*I2/10000</f>
        <v>21.387167999999999</v>
      </c>
      <c r="J17" s="3528">
        <f>$D$17*'数据-汇总表'!$D$3*J2/10000</f>
        <v>21.387167999999999</v>
      </c>
      <c r="K17" s="3528">
        <f>$D$17*'数据-汇总表'!$D$3*K2/10000</f>
        <v>21.387167999999999</v>
      </c>
      <c r="L17" s="3528">
        <f>$D$17*'数据-汇总表'!$D$3*L2/10000</f>
        <v>21.387167999999999</v>
      </c>
      <c r="M17" s="3528">
        <f>$D$17*'数据-汇总表'!$D$3*M2/10000</f>
        <v>21.387167999999999</v>
      </c>
      <c r="N17" s="3528">
        <f>$D$17*'数据-汇总表'!$D$3*N2/10000</f>
        <v>21.387167999999999</v>
      </c>
      <c r="O17" s="3528">
        <f>$D$17*'数据-汇总表'!$D$3*O2/10000</f>
        <v>21.387167999999999</v>
      </c>
      <c r="P17" s="3528">
        <f>$D$17*'数据-汇总表'!$D$3*P2/10000</f>
        <v>21.387167999999999</v>
      </c>
      <c r="Q17" s="3528">
        <f>$D$17*'数据-汇总表'!$D$3*Q2/10000</f>
        <v>21.387167999999999</v>
      </c>
      <c r="R17" s="3528">
        <f>$D$17*'数据-汇总表'!$D$3*R2/10000</f>
        <v>21.387167999999999</v>
      </c>
      <c r="S17" s="3528">
        <f>$D$17*'数据-汇总表'!$D$3*S2/10000</f>
        <v>21.387167999999999</v>
      </c>
      <c r="T17" s="3528">
        <f>$D$17*'数据-汇总表'!$D$3*T2/10000</f>
        <v>21.387167999999999</v>
      </c>
      <c r="U17" s="3528">
        <f>$D$17*'数据-汇总表'!$D$3*U2/10000</f>
        <v>21.387167999999999</v>
      </c>
      <c r="V17" s="3528">
        <f>$D$17*'数据-汇总表'!$D$3*V2/10000</f>
        <v>21.387167999999999</v>
      </c>
      <c r="W17" s="3528">
        <f>$D$17*'数据-汇总表'!$D$3*W2/10000</f>
        <v>21.387167999999999</v>
      </c>
      <c r="X17" s="3528">
        <f>$D$17*'数据-汇总表'!$D$3*X2/10000</f>
        <v>21.387167999999999</v>
      </c>
      <c r="Y17" s="3528">
        <f>$D$17*'数据-汇总表'!$D$3*Y2/10000</f>
        <v>14.11553088</v>
      </c>
      <c r="Z17" s="3535">
        <f t="shared" si="5"/>
        <v>441.85889087999976</v>
      </c>
    </row>
    <row r="18" spans="1:27">
      <c r="A18" s="3511"/>
      <c r="B18" s="3525">
        <v>14</v>
      </c>
      <c r="C18" s="3530" t="s">
        <v>3434</v>
      </c>
      <c r="D18" s="3532">
        <v>1E-4</v>
      </c>
      <c r="E18" s="3528">
        <f>E5*(1+$D$5)*$D$18</f>
        <v>1.688744624610667</v>
      </c>
      <c r="F18" s="3528">
        <f t="shared" ref="F18:Y18" si="12">F5*0.1%</f>
        <v>15.452852295299452</v>
      </c>
      <c r="G18" s="3528">
        <f t="shared" si="12"/>
        <v>15.02933334914176</v>
      </c>
      <c r="H18" s="3528">
        <f t="shared" si="12"/>
        <v>14.535171621027473</v>
      </c>
      <c r="I18" s="3528">
        <f t="shared" si="12"/>
        <v>15.114476725460959</v>
      </c>
      <c r="J18" s="3528">
        <f t="shared" si="12"/>
        <v>15.522127169772803</v>
      </c>
      <c r="K18" s="3528">
        <f t="shared" si="12"/>
        <v>15.983907346524726</v>
      </c>
      <c r="L18" s="3528">
        <f t="shared" si="12"/>
        <v>16.459483746520466</v>
      </c>
      <c r="M18" s="3528">
        <f t="shared" si="12"/>
        <v>16.99511824210877</v>
      </c>
      <c r="N18" s="3528">
        <f t="shared" si="12"/>
        <v>17.453852019512642</v>
      </c>
      <c r="O18" s="3528">
        <f t="shared" si="12"/>
        <v>17.97350928721772</v>
      </c>
      <c r="P18" s="3528">
        <f t="shared" si="12"/>
        <v>18.508694325384067</v>
      </c>
      <c r="Q18" s="3528">
        <f t="shared" si="12"/>
        <v>19.11147527830493</v>
      </c>
      <c r="R18" s="3528">
        <f t="shared" si="12"/>
        <v>19.627525019912362</v>
      </c>
      <c r="S18" s="3528">
        <f t="shared" si="12"/>
        <v>20.212144687329804</v>
      </c>
      <c r="T18" s="3528">
        <f t="shared" si="12"/>
        <v>20.81424099746085</v>
      </c>
      <c r="U18" s="3528">
        <f t="shared" si="12"/>
        <v>21.49241710463329</v>
      </c>
      <c r="V18" s="3528">
        <f t="shared" si="12"/>
        <v>22.073135310303158</v>
      </c>
      <c r="W18" s="3528">
        <f t="shared" si="12"/>
        <v>22.731029570782145</v>
      </c>
      <c r="X18" s="3528">
        <f t="shared" si="12"/>
        <v>23.408593946044643</v>
      </c>
      <c r="Y18" s="3528">
        <f t="shared" si="12"/>
        <v>16.049990956578512</v>
      </c>
      <c r="Z18" s="3535">
        <f t="shared" si="5"/>
        <v>366.23782362393115</v>
      </c>
    </row>
    <row r="19" spans="1:27">
      <c r="A19" s="3511"/>
      <c r="B19" s="3525">
        <v>15</v>
      </c>
      <c r="C19" s="3525" t="s">
        <v>3433</v>
      </c>
      <c r="D19" s="3525"/>
      <c r="E19" s="3535">
        <f>E5-E8</f>
        <v>12855.330468317556</v>
      </c>
      <c r="F19" s="3535">
        <f t="shared" ref="F19:Y19" si="13">F5-F8</f>
        <v>12497.751490042074</v>
      </c>
      <c r="G19" s="3535">
        <f t="shared" si="13"/>
        <v>12146.568165680175</v>
      </c>
      <c r="H19" s="3535">
        <f t="shared" si="13"/>
        <v>11736.807897558905</v>
      </c>
      <c r="I19" s="3535">
        <f t="shared" si="13"/>
        <v>12217.169131711642</v>
      </c>
      <c r="J19" s="3535">
        <f t="shared" si="13"/>
        <v>12555.194364938203</v>
      </c>
      <c r="K19" s="3535">
        <f t="shared" si="13"/>
        <v>12938.104016848174</v>
      </c>
      <c r="L19" s="3535">
        <f t="shared" si="13"/>
        <v>13332.453542952338</v>
      </c>
      <c r="M19" s="3535">
        <f t="shared" si="13"/>
        <v>13776.603289178689</v>
      </c>
      <c r="N19" s="3535">
        <f t="shared" si="13"/>
        <v>14156.987008561042</v>
      </c>
      <c r="O19" s="3535">
        <f t="shared" si="13"/>
        <v>14587.888536235929</v>
      </c>
      <c r="P19" s="3535">
        <f t="shared" si="13"/>
        <v>15031.665742816112</v>
      </c>
      <c r="Q19" s="3535">
        <f t="shared" si="13"/>
        <v>15531.493535098722</v>
      </c>
      <c r="R19" s="3535">
        <f t="shared" si="13"/>
        <v>15959.403861743851</v>
      </c>
      <c r="S19" s="3535">
        <f t="shared" si="13"/>
        <v>16444.17242729777</v>
      </c>
      <c r="T19" s="3535">
        <f t="shared" si="13"/>
        <v>16943.43268310975</v>
      </c>
      <c r="U19" s="3535">
        <f t="shared" si="13"/>
        <v>17505.778366491992</v>
      </c>
      <c r="V19" s="3535">
        <f t="shared" si="13"/>
        <v>17987.312019607751</v>
      </c>
      <c r="W19" s="3535">
        <f t="shared" si="13"/>
        <v>18532.840120880457</v>
      </c>
      <c r="X19" s="3535">
        <f t="shared" si="13"/>
        <v>19094.678746746158</v>
      </c>
      <c r="Y19" s="3535">
        <f t="shared" si="13"/>
        <v>13100.300978399024</v>
      </c>
      <c r="Z19" s="3535">
        <f t="shared" si="5"/>
        <v>308931.93639421626</v>
      </c>
      <c r="AA19" s="3513"/>
    </row>
    <row r="20" spans="1:27">
      <c r="A20" s="3511"/>
      <c r="B20" s="3533">
        <v>16</v>
      </c>
      <c r="C20" s="3533" t="s">
        <v>3432</v>
      </c>
      <c r="D20" s="3533"/>
      <c r="E20" s="3536">
        <v>5.5E-2</v>
      </c>
      <c r="F20" s="3536">
        <f t="shared" ref="F20:Y20" si="14">E20</f>
        <v>5.5E-2</v>
      </c>
      <c r="G20" s="3536">
        <f t="shared" si="14"/>
        <v>5.5E-2</v>
      </c>
      <c r="H20" s="3536">
        <f t="shared" si="14"/>
        <v>5.5E-2</v>
      </c>
      <c r="I20" s="3536">
        <f t="shared" si="14"/>
        <v>5.5E-2</v>
      </c>
      <c r="J20" s="3536">
        <f t="shared" si="14"/>
        <v>5.5E-2</v>
      </c>
      <c r="K20" s="3536">
        <f t="shared" si="14"/>
        <v>5.5E-2</v>
      </c>
      <c r="L20" s="3536">
        <f t="shared" si="14"/>
        <v>5.5E-2</v>
      </c>
      <c r="M20" s="3536">
        <f t="shared" si="14"/>
        <v>5.5E-2</v>
      </c>
      <c r="N20" s="3536">
        <f t="shared" si="14"/>
        <v>5.5E-2</v>
      </c>
      <c r="O20" s="3536">
        <f t="shared" si="14"/>
        <v>5.5E-2</v>
      </c>
      <c r="P20" s="3536">
        <f t="shared" si="14"/>
        <v>5.5E-2</v>
      </c>
      <c r="Q20" s="3536">
        <f t="shared" si="14"/>
        <v>5.5E-2</v>
      </c>
      <c r="R20" s="3536">
        <f t="shared" si="14"/>
        <v>5.5E-2</v>
      </c>
      <c r="S20" s="3536">
        <f t="shared" si="14"/>
        <v>5.5E-2</v>
      </c>
      <c r="T20" s="3536">
        <f t="shared" si="14"/>
        <v>5.5E-2</v>
      </c>
      <c r="U20" s="3536">
        <f t="shared" si="14"/>
        <v>5.5E-2</v>
      </c>
      <c r="V20" s="3536">
        <f t="shared" si="14"/>
        <v>5.5E-2</v>
      </c>
      <c r="W20" s="3536">
        <f t="shared" si="14"/>
        <v>5.5E-2</v>
      </c>
      <c r="X20" s="3536">
        <f t="shared" si="14"/>
        <v>5.5E-2</v>
      </c>
      <c r="Y20" s="3536">
        <f t="shared" si="14"/>
        <v>5.5E-2</v>
      </c>
      <c r="Z20" s="3528"/>
      <c r="AA20" s="3513"/>
    </row>
    <row r="21" spans="1:27">
      <c r="A21" s="3511"/>
      <c r="B21" s="3533">
        <v>17</v>
      </c>
      <c r="C21" s="3533" t="s">
        <v>3431</v>
      </c>
      <c r="D21" s="3533"/>
      <c r="E21" s="3528">
        <v>1</v>
      </c>
      <c r="F21" s="3528">
        <f>E21+F2</f>
        <v>2</v>
      </c>
      <c r="G21" s="3528">
        <f t="shared" ref="G21:Y21" si="15">F21+G2</f>
        <v>3</v>
      </c>
      <c r="H21" s="3528">
        <f t="shared" si="15"/>
        <v>4</v>
      </c>
      <c r="I21" s="3528">
        <f t="shared" si="15"/>
        <v>5</v>
      </c>
      <c r="J21" s="3528">
        <f t="shared" si="15"/>
        <v>6</v>
      </c>
      <c r="K21" s="3528">
        <f t="shared" si="15"/>
        <v>7</v>
      </c>
      <c r="L21" s="3528">
        <f t="shared" si="15"/>
        <v>8</v>
      </c>
      <c r="M21" s="3528">
        <f t="shared" si="15"/>
        <v>9</v>
      </c>
      <c r="N21" s="3528">
        <f t="shared" si="15"/>
        <v>10</v>
      </c>
      <c r="O21" s="3528">
        <f t="shared" si="15"/>
        <v>11</v>
      </c>
      <c r="P21" s="3528">
        <f t="shared" si="15"/>
        <v>12</v>
      </c>
      <c r="Q21" s="3528">
        <f t="shared" si="15"/>
        <v>13</v>
      </c>
      <c r="R21" s="3528">
        <f t="shared" si="15"/>
        <v>14</v>
      </c>
      <c r="S21" s="3528">
        <f t="shared" si="15"/>
        <v>15</v>
      </c>
      <c r="T21" s="3528">
        <f t="shared" si="15"/>
        <v>16</v>
      </c>
      <c r="U21" s="3528">
        <f t="shared" si="15"/>
        <v>17</v>
      </c>
      <c r="V21" s="3528">
        <f t="shared" si="15"/>
        <v>18</v>
      </c>
      <c r="W21" s="3528">
        <f t="shared" si="15"/>
        <v>19</v>
      </c>
      <c r="X21" s="3528">
        <f t="shared" si="15"/>
        <v>20</v>
      </c>
      <c r="Y21" s="3537">
        <f t="shared" si="15"/>
        <v>20.66</v>
      </c>
      <c r="Z21" s="3528"/>
      <c r="AA21" s="3513"/>
    </row>
    <row r="22" spans="1:27">
      <c r="A22" s="3511"/>
      <c r="B22" s="3533">
        <v>18</v>
      </c>
      <c r="C22" s="3533" t="s">
        <v>3430</v>
      </c>
      <c r="D22" s="3533"/>
      <c r="E22" s="3528">
        <f t="shared" ref="E22:Y22" si="16">1/(1+E20)^E21</f>
        <v>0.94786729857819907</v>
      </c>
      <c r="F22" s="3528">
        <f t="shared" si="16"/>
        <v>0.89845241571393286</v>
      </c>
      <c r="G22" s="3528">
        <f t="shared" si="16"/>
        <v>0.85161366418382267</v>
      </c>
      <c r="H22" s="3528">
        <f t="shared" si="16"/>
        <v>0.80721674330220161</v>
      </c>
      <c r="I22" s="3528">
        <f t="shared" si="16"/>
        <v>0.76513435384094941</v>
      </c>
      <c r="J22" s="3528">
        <f t="shared" si="16"/>
        <v>0.72524583302459655</v>
      </c>
      <c r="K22" s="3528">
        <f t="shared" si="16"/>
        <v>0.68743680855412004</v>
      </c>
      <c r="L22" s="3528">
        <f t="shared" si="16"/>
        <v>0.6515988706674124</v>
      </c>
      <c r="M22" s="3528">
        <f t="shared" si="16"/>
        <v>0.6176292612961255</v>
      </c>
      <c r="N22" s="3528">
        <f t="shared" si="16"/>
        <v>0.58543057942760712</v>
      </c>
      <c r="O22" s="3528">
        <f t="shared" si="16"/>
        <v>0.55491050182711577</v>
      </c>
      <c r="P22" s="3528">
        <f t="shared" si="16"/>
        <v>0.5259815183195411</v>
      </c>
      <c r="Q22" s="3528">
        <f t="shared" si="16"/>
        <v>0.49856068087160293</v>
      </c>
      <c r="R22" s="3528">
        <f t="shared" si="16"/>
        <v>0.47256936575507386</v>
      </c>
      <c r="S22" s="3528">
        <f t="shared" si="16"/>
        <v>0.44793304810907481</v>
      </c>
      <c r="T22" s="3528">
        <f t="shared" si="16"/>
        <v>0.4245810882550472</v>
      </c>
      <c r="U22" s="3528">
        <f t="shared" si="16"/>
        <v>0.40244652915170354</v>
      </c>
      <c r="V22" s="3528">
        <f t="shared" si="16"/>
        <v>0.38146590440919764</v>
      </c>
      <c r="W22" s="3528">
        <f t="shared" si="16"/>
        <v>0.36157905631203574</v>
      </c>
      <c r="X22" s="3528">
        <f t="shared" si="16"/>
        <v>0.34272896332894381</v>
      </c>
      <c r="Y22" s="3528">
        <f t="shared" si="16"/>
        <v>0.33082946603198299</v>
      </c>
      <c r="Z22" s="3528"/>
      <c r="AA22" s="3513"/>
    </row>
    <row r="23" spans="1:27">
      <c r="A23" s="3511"/>
      <c r="B23" s="3525">
        <v>19</v>
      </c>
      <c r="C23" s="3525" t="s">
        <v>3429</v>
      </c>
      <c r="D23" s="3525"/>
      <c r="E23" s="3535">
        <f t="shared" ref="E23:Y23" si="17">E19*E22</f>
        <v>12185.147363334176</v>
      </c>
      <c r="F23" s="3535">
        <f t="shared" si="17"/>
        <v>11228.635017220706</v>
      </c>
      <c r="G23" s="3535">
        <f t="shared" si="17"/>
        <v>10344.183422833468</v>
      </c>
      <c r="H23" s="3535">
        <f t="shared" si="17"/>
        <v>9474.1478478310601</v>
      </c>
      <c r="I23" s="3535">
        <f t="shared" si="17"/>
        <v>9347.7758093577795</v>
      </c>
      <c r="J23" s="3535">
        <f t="shared" si="17"/>
        <v>9105.6023959853283</v>
      </c>
      <c r="K23" s="3535">
        <f t="shared" si="17"/>
        <v>8894.12893408335</v>
      </c>
      <c r="L23" s="3535">
        <f t="shared" si="17"/>
        <v>8687.4116718134846</v>
      </c>
      <c r="M23" s="3535">
        <f t="shared" si="17"/>
        <v>8508.8333126652069</v>
      </c>
      <c r="N23" s="3535">
        <f t="shared" si="17"/>
        <v>8287.9331073709964</v>
      </c>
      <c r="O23" s="3535">
        <f t="shared" si="17"/>
        <v>8094.9725482407084</v>
      </c>
      <c r="P23" s="3535">
        <f t="shared" si="17"/>
        <v>7906.3783702782512</v>
      </c>
      <c r="Q23" s="3535">
        <f t="shared" si="17"/>
        <v>7743.3919918117181</v>
      </c>
      <c r="R23" s="3535">
        <f t="shared" si="17"/>
        <v>7541.9253607733681</v>
      </c>
      <c r="S23" s="3535">
        <f t="shared" si="17"/>
        <v>7365.8882789906929</v>
      </c>
      <c r="T23" s="3535">
        <f t="shared" si="17"/>
        <v>7193.8610873708722</v>
      </c>
      <c r="U23" s="3535">
        <f t="shared" si="17"/>
        <v>7045.1397436936804</v>
      </c>
      <c r="V23" s="3535">
        <f t="shared" si="17"/>
        <v>6861.5462474501019</v>
      </c>
      <c r="W23" s="3535">
        <f t="shared" si="17"/>
        <v>6701.0868416897902</v>
      </c>
      <c r="X23" s="3535">
        <f t="shared" si="17"/>
        <v>6544.2994519715267</v>
      </c>
      <c r="Y23" s="3535">
        <f t="shared" si="17"/>
        <v>4333.9655775420133</v>
      </c>
      <c r="Z23" s="3535">
        <f>SUM(E23:Y23)</f>
        <v>173396.25438230828</v>
      </c>
      <c r="AA23" s="3513"/>
    </row>
    <row r="24" spans="1:27">
      <c r="A24" s="3511"/>
      <c r="B24" s="3525">
        <v>20</v>
      </c>
      <c r="C24" s="3525" t="s">
        <v>3524</v>
      </c>
      <c r="D24" s="3525"/>
      <c r="E24" s="3535">
        <f>SUM(E23:Y23)</f>
        <v>173396.25438230828</v>
      </c>
      <c r="F24" s="3535"/>
      <c r="G24" s="3535"/>
      <c r="H24" s="3535"/>
      <c r="I24" s="3535"/>
      <c r="J24" s="3535"/>
      <c r="K24" s="3535"/>
      <c r="L24" s="3535"/>
      <c r="M24" s="3535"/>
      <c r="N24" s="3535"/>
      <c r="O24" s="3535"/>
      <c r="P24" s="3535"/>
      <c r="Q24" s="3535"/>
      <c r="R24" s="3535"/>
      <c r="S24" s="3535"/>
      <c r="T24" s="3535"/>
      <c r="U24" s="3535"/>
      <c r="V24" s="3535"/>
      <c r="W24" s="3535"/>
      <c r="X24" s="3535"/>
      <c r="Y24" s="3535"/>
      <c r="Z24" s="3535"/>
      <c r="AA24" s="3513"/>
    </row>
    <row r="25" spans="1:27">
      <c r="A25" s="3511"/>
      <c r="B25" s="3525">
        <v>21</v>
      </c>
      <c r="C25" s="3525" t="s">
        <v>3564</v>
      </c>
      <c r="D25" s="3525"/>
      <c r="E25" s="3535">
        <f>D43</f>
        <v>4238.67</v>
      </c>
      <c r="F25" s="3535"/>
      <c r="G25" s="3535"/>
      <c r="H25" s="3535"/>
      <c r="I25" s="3535"/>
      <c r="J25" s="3535"/>
      <c r="K25" s="3535"/>
      <c r="L25" s="3535"/>
      <c r="M25" s="3535"/>
      <c r="N25" s="3535"/>
      <c r="O25" s="3535"/>
      <c r="P25" s="3535"/>
      <c r="Q25" s="3535"/>
      <c r="R25" s="3535"/>
      <c r="S25" s="3535"/>
      <c r="T25" s="3535"/>
      <c r="U25" s="3535"/>
      <c r="V25" s="3535"/>
      <c r="W25" s="3535"/>
      <c r="X25" s="3535"/>
      <c r="Y25" s="3535"/>
      <c r="Z25" s="3535"/>
      <c r="AA25" s="3513"/>
    </row>
    <row r="26" spans="1:27">
      <c r="A26" s="3511"/>
      <c r="B26" s="3525">
        <v>22</v>
      </c>
      <c r="C26" s="3525" t="s">
        <v>3563</v>
      </c>
      <c r="D26" s="3525"/>
      <c r="E26" s="3535">
        <f>E24+E25</f>
        <v>177634.92438230829</v>
      </c>
      <c r="F26" s="3535"/>
      <c r="G26" s="3535"/>
      <c r="H26" s="3535"/>
      <c r="I26" s="3535"/>
      <c r="J26" s="3535"/>
      <c r="K26" s="3535"/>
      <c r="L26" s="3535"/>
      <c r="M26" s="3535"/>
      <c r="N26" s="3535"/>
      <c r="O26" s="3535"/>
      <c r="P26" s="3535"/>
      <c r="Q26" s="3535"/>
      <c r="R26" s="3535"/>
      <c r="S26" s="3535"/>
      <c r="T26" s="3535"/>
      <c r="U26" s="3535"/>
      <c r="V26" s="3535"/>
      <c r="W26" s="3535"/>
      <c r="X26" s="3535"/>
      <c r="Y26" s="3535"/>
      <c r="Z26" s="3535"/>
      <c r="AA26" s="3513"/>
    </row>
    <row r="27" spans="1:27">
      <c r="A27" s="3511"/>
      <c r="B27" s="3525">
        <v>23</v>
      </c>
      <c r="C27" s="3525" t="s">
        <v>3562</v>
      </c>
      <c r="D27" s="3525"/>
      <c r="E27" s="3535">
        <f>E26/D32*10000</f>
        <v>36285.111481716041</v>
      </c>
      <c r="F27" s="3535"/>
      <c r="G27" s="3535"/>
      <c r="H27" s="3535"/>
      <c r="I27" s="3535"/>
      <c r="J27" s="3535"/>
      <c r="K27" s="3535"/>
      <c r="L27" s="3535"/>
      <c r="M27" s="3535"/>
      <c r="N27" s="3535"/>
      <c r="O27" s="3535"/>
      <c r="P27" s="3535"/>
      <c r="Q27" s="3535"/>
      <c r="R27" s="3535"/>
      <c r="S27" s="3535"/>
      <c r="T27" s="3535"/>
      <c r="U27" s="3535"/>
      <c r="V27" s="3535"/>
      <c r="W27" s="3535"/>
      <c r="X27" s="3535"/>
      <c r="Y27" s="3535"/>
      <c r="Z27" s="3535"/>
      <c r="AA27" s="3513"/>
    </row>
    <row r="29" spans="1:27">
      <c r="Z29" s="3515"/>
    </row>
    <row r="30" spans="1:27">
      <c r="C30" s="3538" t="s">
        <v>3548</v>
      </c>
      <c r="D30" s="3539">
        <f>项目基本情况!D3</f>
        <v>45291</v>
      </c>
      <c r="F30" s="3538" t="s">
        <v>3442</v>
      </c>
      <c r="G30" s="3538" t="s">
        <v>3525</v>
      </c>
      <c r="H30" s="3538" t="s">
        <v>3526</v>
      </c>
      <c r="I30" s="3538" t="s">
        <v>3527</v>
      </c>
      <c r="J30" s="3538" t="s">
        <v>3528</v>
      </c>
      <c r="Z30" s="3540"/>
    </row>
    <row r="31" spans="1:27">
      <c r="C31" s="3538" t="s">
        <v>3549</v>
      </c>
      <c r="D31" s="3541">
        <f>H39</f>
        <v>6200</v>
      </c>
      <c r="F31" s="3538">
        <v>1</v>
      </c>
      <c r="G31" s="3538" t="s">
        <v>3529</v>
      </c>
      <c r="H31" s="3538">
        <v>5000</v>
      </c>
      <c r="I31" s="3538" t="s">
        <v>3530</v>
      </c>
      <c r="J31" s="3542"/>
    </row>
    <row r="32" spans="1:27">
      <c r="C32" s="3538" t="s">
        <v>3550</v>
      </c>
      <c r="D32" s="3541">
        <f>'数据-汇总表'!E3</f>
        <v>48955.32</v>
      </c>
      <c r="E32" s="3517"/>
      <c r="F32" s="3538">
        <v>2</v>
      </c>
      <c r="G32" s="3538" t="s">
        <v>3531</v>
      </c>
      <c r="H32" s="3538">
        <f>ROUND(H31*J32,2)</f>
        <v>250</v>
      </c>
      <c r="I32" s="3538" t="s">
        <v>3532</v>
      </c>
      <c r="J32" s="3542">
        <v>0.05</v>
      </c>
    </row>
    <row r="33" spans="3:26">
      <c r="C33" s="3538" t="s">
        <v>3555</v>
      </c>
      <c r="D33" s="3543">
        <f>D31*D32/10000</f>
        <v>30352.2984</v>
      </c>
      <c r="F33" s="3538">
        <v>3</v>
      </c>
      <c r="G33" s="3538" t="s">
        <v>3533</v>
      </c>
      <c r="H33" s="3538">
        <f>H31+H32</f>
        <v>5250</v>
      </c>
      <c r="I33" s="3538" t="s">
        <v>3534</v>
      </c>
      <c r="J33" s="3542"/>
      <c r="Z33" s="3544"/>
    </row>
    <row r="34" spans="3:26">
      <c r="C34" s="3538" t="s">
        <v>3551</v>
      </c>
      <c r="D34" s="3539">
        <f>项目基本情况!D13</f>
        <v>52839</v>
      </c>
      <c r="F34" s="3538">
        <v>4</v>
      </c>
      <c r="G34" s="3538" t="s">
        <v>3535</v>
      </c>
      <c r="H34" s="3538">
        <f>ROUND(H31*J34,0)</f>
        <v>100</v>
      </c>
      <c r="I34" s="3538" t="s">
        <v>3536</v>
      </c>
      <c r="J34" s="3542">
        <v>0.02</v>
      </c>
      <c r="Z34" s="3517"/>
    </row>
    <row r="35" spans="3:26">
      <c r="C35" s="3538" t="s">
        <v>3552</v>
      </c>
      <c r="D35" s="3543">
        <f>(YEARFRAC(D30,D34))</f>
        <v>20.666666666666668</v>
      </c>
      <c r="F35" s="3538">
        <v>5</v>
      </c>
      <c r="G35" s="3538" t="s">
        <v>3537</v>
      </c>
      <c r="H35" s="3538">
        <f>ROUND(H33*J35,0)</f>
        <v>105</v>
      </c>
      <c r="I35" s="3538" t="s">
        <v>3538</v>
      </c>
      <c r="J35" s="3542">
        <v>0.02</v>
      </c>
    </row>
    <row r="36" spans="3:26">
      <c r="C36" s="3538" t="s">
        <v>3553</v>
      </c>
      <c r="D36" s="3545">
        <v>40179</v>
      </c>
      <c r="E36" s="3510"/>
      <c r="F36" s="3538">
        <v>6</v>
      </c>
      <c r="G36" s="3538" t="s">
        <v>3539</v>
      </c>
      <c r="H36" s="3538">
        <f>H33+H34+H35</f>
        <v>5455</v>
      </c>
      <c r="I36" s="3538" t="s">
        <v>3540</v>
      </c>
      <c r="J36" s="3542"/>
    </row>
    <row r="37" spans="3:26">
      <c r="C37" s="3538" t="s">
        <v>3559</v>
      </c>
      <c r="D37" s="3542">
        <f>1-(YEARFRAC(D30,D36))/60</f>
        <v>0.76666666666666661</v>
      </c>
      <c r="F37" s="3538">
        <v>7</v>
      </c>
      <c r="G37" s="3538" t="s">
        <v>3541</v>
      </c>
      <c r="H37" s="3538">
        <f>ROUND(H36*((1+J37)^(O38/2)-1),0)</f>
        <v>199</v>
      </c>
      <c r="I37" s="3538" t="s">
        <v>3542</v>
      </c>
      <c r="J37" s="3542">
        <v>3.6400000000000002E-2</v>
      </c>
    </row>
    <row r="38" spans="3:26">
      <c r="C38" s="3538" t="s">
        <v>3560</v>
      </c>
      <c r="D38" s="3542">
        <v>0.95</v>
      </c>
      <c r="F38" s="3538">
        <v>8</v>
      </c>
      <c r="G38" s="3538" t="s">
        <v>3543</v>
      </c>
      <c r="H38" s="3538">
        <f>ROUND(H36*J38,0)</f>
        <v>546</v>
      </c>
      <c r="I38" s="3538" t="s">
        <v>3544</v>
      </c>
      <c r="J38" s="3542">
        <v>0.1</v>
      </c>
      <c r="O38" s="3511">
        <v>2</v>
      </c>
    </row>
    <row r="39" spans="3:26">
      <c r="C39" s="3538" t="s">
        <v>3561</v>
      </c>
      <c r="D39" s="3542">
        <f>ROUND(AVERAGE(D37:D38),2)</f>
        <v>0.86</v>
      </c>
      <c r="F39" s="3538">
        <v>9</v>
      </c>
      <c r="G39" s="3538" t="s">
        <v>3545</v>
      </c>
      <c r="H39" s="3538">
        <f>ROUND(H36+H37+H38,-2)</f>
        <v>6200</v>
      </c>
      <c r="I39" s="3538" t="s">
        <v>3546</v>
      </c>
      <c r="J39" s="3542"/>
    </row>
    <row r="40" spans="3:26">
      <c r="C40" s="3538" t="s">
        <v>3556</v>
      </c>
      <c r="D40" s="3543">
        <f>(YEARFRAC(D34,D36))</f>
        <v>34.663888888888891</v>
      </c>
    </row>
    <row r="41" spans="3:26">
      <c r="C41" s="3538" t="s">
        <v>3557</v>
      </c>
      <c r="D41" s="3543">
        <f>60-D40</f>
        <v>25.336111111111109</v>
      </c>
    </row>
    <row r="42" spans="3:26">
      <c r="C42" s="3546" t="s">
        <v>3558</v>
      </c>
      <c r="D42" s="3546">
        <f>D41/60</f>
        <v>0.42226851851851849</v>
      </c>
    </row>
    <row r="43" spans="3:26">
      <c r="C43" s="3538" t="s">
        <v>3554</v>
      </c>
      <c r="D43" s="3541">
        <f>ROUND((D33*D42)/(1+E20)^D35,2)</f>
        <v>4238.67</v>
      </c>
    </row>
    <row r="59" spans="3:7">
      <c r="C59" s="3518"/>
      <c r="D59" s="3518"/>
      <c r="E59" s="3518"/>
      <c r="F59" s="3896"/>
      <c r="G59" s="3896"/>
    </row>
    <row r="60" spans="3:7">
      <c r="C60" s="3518"/>
      <c r="D60" s="3518"/>
      <c r="E60" s="3518"/>
      <c r="F60" s="3897"/>
      <c r="G60" s="3897"/>
    </row>
  </sheetData>
  <mergeCells count="6">
    <mergeCell ref="C1:Z1"/>
    <mergeCell ref="B3:B4"/>
    <mergeCell ref="C3:C4"/>
    <mergeCell ref="F59:G59"/>
    <mergeCell ref="F60:G60"/>
    <mergeCell ref="D3:D4"/>
  </mergeCells>
  <phoneticPr fontId="133" type="noConversion"/>
  <pageMargins left="0.69930555555555596" right="0.69930555555555596" top="0.75" bottom="0.75" header="0.3" footer="0.3"/>
  <pageSetup paperSize="9"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
  <sheetViews>
    <sheetView zoomScale="80" zoomScaleNormal="80" workbookViewId="0">
      <pane xSplit="8" ySplit="1" topLeftCell="I2" activePane="bottomRight" state="frozen"/>
      <selection activeCell="G32" sqref="G32"/>
      <selection pane="topRight" activeCell="G32" sqref="G32"/>
      <selection pane="bottomLeft" activeCell="G32" sqref="G32"/>
      <selection pane="bottomRight" activeCell="G21" sqref="G21"/>
    </sheetView>
  </sheetViews>
  <sheetFormatPr defaultColWidth="8.625" defaultRowHeight="11.25"/>
  <cols>
    <col min="1" max="1" width="4.125" style="3492" customWidth="1"/>
    <col min="2" max="2" width="15" style="3492" bestFit="1" customWidth="1"/>
    <col min="3" max="3" width="10.125" style="3492" hidden="1" customWidth="1"/>
    <col min="4" max="4" width="11.625" style="3492" hidden="1" customWidth="1"/>
    <col min="5" max="5" width="9" style="3492" bestFit="1" customWidth="1"/>
    <col min="6" max="6" width="8.625" style="3492" customWidth="1"/>
    <col min="7" max="7" width="15.875" style="3492" customWidth="1"/>
    <col min="8" max="8" width="22.125" style="3492" customWidth="1"/>
    <col min="9" max="9" width="12.875" style="3492" bestFit="1" customWidth="1"/>
    <col min="10" max="14" width="12" style="3492" bestFit="1" customWidth="1"/>
    <col min="15" max="21" width="18.5" style="3492" customWidth="1"/>
    <col min="22" max="31" width="17.5" style="3492" bestFit="1" customWidth="1"/>
    <col min="32" max="32" width="17.5" style="3493" bestFit="1" customWidth="1"/>
    <col min="33" max="16384" width="8.625" style="3492"/>
  </cols>
  <sheetData>
    <row r="1" spans="1:32" ht="24" customHeight="1">
      <c r="A1" s="3480" t="s">
        <v>3442</v>
      </c>
      <c r="B1" s="3478" t="s">
        <v>3477</v>
      </c>
      <c r="C1" s="3478" t="s">
        <v>3476</v>
      </c>
      <c r="D1" s="3478" t="s">
        <v>3475</v>
      </c>
      <c r="E1" s="3478" t="s">
        <v>3500</v>
      </c>
      <c r="F1" s="3479" t="s">
        <v>3474</v>
      </c>
      <c r="G1" s="3479" t="s">
        <v>3473</v>
      </c>
      <c r="H1" s="3479" t="s">
        <v>3472</v>
      </c>
      <c r="I1" s="3905" t="s">
        <v>3471</v>
      </c>
      <c r="J1" s="3905"/>
      <c r="K1" s="3905" t="s">
        <v>3470</v>
      </c>
      <c r="L1" s="3905"/>
      <c r="M1" s="3905" t="s">
        <v>3469</v>
      </c>
      <c r="N1" s="3905"/>
      <c r="O1" s="3478" t="s">
        <v>3468</v>
      </c>
      <c r="P1" s="3478" t="s">
        <v>3467</v>
      </c>
      <c r="Q1" s="3478" t="s">
        <v>3466</v>
      </c>
      <c r="R1" s="3478" t="s">
        <v>3465</v>
      </c>
      <c r="S1" s="3478" t="s">
        <v>3464</v>
      </c>
      <c r="T1" s="3478" t="s">
        <v>3463</v>
      </c>
      <c r="U1" s="3478" t="s">
        <v>3462</v>
      </c>
      <c r="V1" s="3478" t="s">
        <v>3461</v>
      </c>
      <c r="W1" s="3478" t="s">
        <v>3460</v>
      </c>
      <c r="X1" s="3478" t="s">
        <v>3459</v>
      </c>
      <c r="Y1" s="3478" t="s">
        <v>3458</v>
      </c>
      <c r="Z1" s="3478" t="s">
        <v>3457</v>
      </c>
      <c r="AA1" s="3478" t="s">
        <v>3456</v>
      </c>
      <c r="AB1" s="3478" t="s">
        <v>3455</v>
      </c>
      <c r="AC1" s="3478" t="s">
        <v>3454</v>
      </c>
      <c r="AD1" s="3478" t="s">
        <v>3453</v>
      </c>
      <c r="AE1" s="3478" t="s">
        <v>3452</v>
      </c>
      <c r="AF1" s="3500" t="s">
        <v>3509</v>
      </c>
    </row>
    <row r="2" spans="1:32">
      <c r="A2" s="3898">
        <v>1</v>
      </c>
      <c r="B2" s="3908" t="s">
        <v>3497</v>
      </c>
      <c r="C2" s="3898"/>
      <c r="D2" s="3899"/>
      <c r="E2" s="3898">
        <f>租赁情况!B5</f>
        <v>40826.119999999995</v>
      </c>
      <c r="F2" s="3901">
        <f>租赁情况!B1</f>
        <v>44562</v>
      </c>
      <c r="G2" s="3901">
        <f>租赁情况!B3</f>
        <v>46203</v>
      </c>
      <c r="H2" s="3474" t="s">
        <v>3450</v>
      </c>
      <c r="I2" s="3491">
        <f t="shared" ref="I2:AF2" si="0">I21</f>
        <v>10.27529166033902</v>
      </c>
      <c r="J2" s="3491">
        <f t="shared" si="0"/>
        <v>10.27529166033902</v>
      </c>
      <c r="K2" s="3491">
        <f t="shared" si="0"/>
        <v>10.27529166033902</v>
      </c>
      <c r="L2" s="3491">
        <f t="shared" si="0"/>
        <v>10.27529166033902</v>
      </c>
      <c r="M2" s="3491">
        <f t="shared" si="0"/>
        <v>10.583550410149192</v>
      </c>
      <c r="N2" s="3477">
        <f t="shared" si="0"/>
        <v>9.9</v>
      </c>
      <c r="O2" s="3477">
        <f>O21</f>
        <v>10.197000000000001</v>
      </c>
      <c r="P2" s="3477">
        <f t="shared" si="0"/>
        <v>10.502910000000002</v>
      </c>
      <c r="Q2" s="3477">
        <f t="shared" si="0"/>
        <v>10.817997300000002</v>
      </c>
      <c r="R2" s="3477">
        <f t="shared" si="0"/>
        <v>11.142537219000003</v>
      </c>
      <c r="S2" s="3477">
        <f t="shared" si="0"/>
        <v>11.476813335570004</v>
      </c>
      <c r="T2" s="3477">
        <f t="shared" si="0"/>
        <v>11.821117735637104</v>
      </c>
      <c r="U2" s="3477">
        <f t="shared" si="0"/>
        <v>12.175751267706218</v>
      </c>
      <c r="V2" s="3477">
        <f t="shared" si="0"/>
        <v>12.541023805737405</v>
      </c>
      <c r="W2" s="3477">
        <f t="shared" si="0"/>
        <v>12.917254519909527</v>
      </c>
      <c r="X2" s="3477">
        <f t="shared" si="0"/>
        <v>13.304772155506813</v>
      </c>
      <c r="Y2" s="3477">
        <f t="shared" si="0"/>
        <v>13.703915320172017</v>
      </c>
      <c r="Z2" s="3477">
        <f t="shared" si="0"/>
        <v>14.115032779777177</v>
      </c>
      <c r="AA2" s="3477">
        <f t="shared" si="0"/>
        <v>14.538483763170493</v>
      </c>
      <c r="AB2" s="3477">
        <f t="shared" si="0"/>
        <v>14.974638276065608</v>
      </c>
      <c r="AC2" s="3477">
        <f t="shared" si="0"/>
        <v>15.423877424347577</v>
      </c>
      <c r="AD2" s="3477">
        <f t="shared" si="0"/>
        <v>15.886593747078004</v>
      </c>
      <c r="AE2" s="3477">
        <f t="shared" si="0"/>
        <v>16.363191559490346</v>
      </c>
      <c r="AF2" s="3501">
        <f t="shared" si="0"/>
        <v>16.854087306275058</v>
      </c>
    </row>
    <row r="3" spans="1:32">
      <c r="A3" s="3898"/>
      <c r="B3" s="3908"/>
      <c r="C3" s="3898"/>
      <c r="D3" s="3899"/>
      <c r="E3" s="3898"/>
      <c r="F3" s="3901"/>
      <c r="G3" s="3901"/>
      <c r="H3" s="3474" t="s">
        <v>3449</v>
      </c>
      <c r="I3" s="3476">
        <v>45292</v>
      </c>
      <c r="J3" s="3476">
        <f>I4+1</f>
        <v>45474</v>
      </c>
      <c r="K3" s="3476">
        <v>45658</v>
      </c>
      <c r="L3" s="3476">
        <f>K4+1</f>
        <v>45839</v>
      </c>
      <c r="M3" s="3476">
        <f>K3+365</f>
        <v>46023</v>
      </c>
      <c r="N3" s="3476">
        <f>M4+1</f>
        <v>46204</v>
      </c>
      <c r="O3" s="3476">
        <f>M3+365</f>
        <v>46388</v>
      </c>
      <c r="P3" s="3476">
        <f>O3+365</f>
        <v>46753</v>
      </c>
      <c r="Q3" s="3476">
        <f>P4+1</f>
        <v>47119</v>
      </c>
      <c r="R3" s="3476">
        <f>Q4+1</f>
        <v>47484</v>
      </c>
      <c r="S3" s="3476">
        <f>R4+1</f>
        <v>47849</v>
      </c>
      <c r="T3" s="3476">
        <f>S4+1</f>
        <v>48214</v>
      </c>
      <c r="U3" s="3476">
        <f>T3+366</f>
        <v>48580</v>
      </c>
      <c r="V3" s="3476">
        <f>U3+365</f>
        <v>48945</v>
      </c>
      <c r="W3" s="3476">
        <f>V3+365</f>
        <v>49310</v>
      </c>
      <c r="X3" s="3476">
        <f>W3+365</f>
        <v>49675</v>
      </c>
      <c r="Y3" s="3476">
        <f>X3+366</f>
        <v>50041</v>
      </c>
      <c r="Z3" s="3476">
        <f>Y3+365</f>
        <v>50406</v>
      </c>
      <c r="AA3" s="3476">
        <f>Z3+365</f>
        <v>50771</v>
      </c>
      <c r="AB3" s="3476">
        <f>AA3+365</f>
        <v>51136</v>
      </c>
      <c r="AC3" s="3476">
        <f>AB3+366</f>
        <v>51502</v>
      </c>
      <c r="AD3" s="3476">
        <f>AC3+365</f>
        <v>51867</v>
      </c>
      <c r="AE3" s="3476">
        <f>AD3+365</f>
        <v>52232</v>
      </c>
      <c r="AF3" s="3476">
        <f>AE3+365</f>
        <v>52597</v>
      </c>
    </row>
    <row r="4" spans="1:32">
      <c r="A4" s="3898"/>
      <c r="B4" s="3908"/>
      <c r="C4" s="3898"/>
      <c r="D4" s="3899"/>
      <c r="E4" s="3898"/>
      <c r="F4" s="3901"/>
      <c r="G4" s="3901"/>
      <c r="H4" s="3474" t="s">
        <v>3448</v>
      </c>
      <c r="I4" s="3490">
        <v>45473</v>
      </c>
      <c r="J4" s="3476">
        <f>I3+365</f>
        <v>45657</v>
      </c>
      <c r="K4" s="3476">
        <v>45838</v>
      </c>
      <c r="L4" s="3476">
        <f>DATE(YEAR(J4)+1,MONTH(J4),DAY(J4))</f>
        <v>46022</v>
      </c>
      <c r="M4" s="3476">
        <v>46203</v>
      </c>
      <c r="N4" s="3476">
        <f>L4+365</f>
        <v>46387</v>
      </c>
      <c r="O4" s="3476">
        <f>N4+365</f>
        <v>46752</v>
      </c>
      <c r="P4" s="3476">
        <f>P3+365</f>
        <v>47118</v>
      </c>
      <c r="Q4" s="3476">
        <f>Q3+364</f>
        <v>47483</v>
      </c>
      <c r="R4" s="3476">
        <f>R3+364</f>
        <v>47848</v>
      </c>
      <c r="S4" s="3476">
        <f>S3+364</f>
        <v>48213</v>
      </c>
      <c r="T4" s="3476">
        <f>T3+365</f>
        <v>48579</v>
      </c>
      <c r="U4" s="3476">
        <f>U3+364</f>
        <v>48944</v>
      </c>
      <c r="V4" s="3476">
        <f>V3+364</f>
        <v>49309</v>
      </c>
      <c r="W4" s="3476">
        <f>W3+364</f>
        <v>49674</v>
      </c>
      <c r="X4" s="3476">
        <f>X3+365</f>
        <v>50040</v>
      </c>
      <c r="Y4" s="3476">
        <f>Y3+364</f>
        <v>50405</v>
      </c>
      <c r="Z4" s="3476">
        <f>Z3+364</f>
        <v>50770</v>
      </c>
      <c r="AA4" s="3476">
        <f>AA3+364</f>
        <v>51135</v>
      </c>
      <c r="AB4" s="3476">
        <f>AB3+365</f>
        <v>51501</v>
      </c>
      <c r="AC4" s="3476">
        <f>AC3+364</f>
        <v>51866</v>
      </c>
      <c r="AD4" s="3476">
        <f>AD3+364</f>
        <v>52231</v>
      </c>
      <c r="AE4" s="3476">
        <f>AE3+364</f>
        <v>52596</v>
      </c>
      <c r="AF4" s="3476">
        <f>项目基本情况!D13</f>
        <v>52839</v>
      </c>
    </row>
    <row r="5" spans="1:32">
      <c r="A5" s="3898"/>
      <c r="B5" s="3908"/>
      <c r="C5" s="3898"/>
      <c r="D5" s="3899"/>
      <c r="E5" s="3898"/>
      <c r="F5" s="3901"/>
      <c r="G5" s="3901"/>
      <c r="H5" s="3474" t="s">
        <v>3447</v>
      </c>
      <c r="I5" s="3475">
        <f t="shared" ref="I5:AF5" si="1">I2*$E$2*DATEDIF(I3,I4,"d")</f>
        <v>75929552.555160001</v>
      </c>
      <c r="J5" s="3475">
        <f t="shared" si="1"/>
        <v>76768553.135880008</v>
      </c>
      <c r="K5" s="3475">
        <f t="shared" si="1"/>
        <v>75510052.264800012</v>
      </c>
      <c r="L5" s="3475">
        <f t="shared" si="1"/>
        <v>76768553.135880008</v>
      </c>
      <c r="M5" s="3475">
        <f t="shared" si="1"/>
        <v>77775353.832744017</v>
      </c>
      <c r="N5" s="3475">
        <f t="shared" si="1"/>
        <v>73964681.604000002</v>
      </c>
      <c r="O5" s="3475">
        <f t="shared" si="1"/>
        <v>151534636.21296</v>
      </c>
      <c r="P5" s="3475">
        <f t="shared" si="1"/>
        <v>156509468.36335802</v>
      </c>
      <c r="Q5" s="3475">
        <f t="shared" si="1"/>
        <v>160763095.55832928</v>
      </c>
      <c r="R5" s="3475">
        <f t="shared" si="1"/>
        <v>165585988.42507917</v>
      </c>
      <c r="S5" s="3475">
        <f t="shared" si="1"/>
        <v>170553568.07783157</v>
      </c>
      <c r="T5" s="3475">
        <f t="shared" si="1"/>
        <v>176152785.49137574</v>
      </c>
      <c r="U5" s="3475">
        <f t="shared" si="1"/>
        <v>180940280.37377152</v>
      </c>
      <c r="V5" s="3475">
        <f t="shared" si="1"/>
        <v>186368488.78498465</v>
      </c>
      <c r="W5" s="3475">
        <f t="shared" si="1"/>
        <v>191959543.44853419</v>
      </c>
      <c r="X5" s="3475">
        <f t="shared" si="1"/>
        <v>198261511.97658363</v>
      </c>
      <c r="Y5" s="3475">
        <f t="shared" si="1"/>
        <v>203649879.64454991</v>
      </c>
      <c r="Z5" s="3475">
        <f t="shared" si="1"/>
        <v>209759376.03388643</v>
      </c>
      <c r="AA5" s="3475">
        <f t="shared" si="1"/>
        <v>216052157.31490302</v>
      </c>
      <c r="AB5" s="3475">
        <f t="shared" si="1"/>
        <v>223145078.41356537</v>
      </c>
      <c r="AC5" s="3475">
        <f t="shared" si="1"/>
        <v>229209733.69538063</v>
      </c>
      <c r="AD5" s="3475">
        <f t="shared" si="1"/>
        <v>236086025.70624208</v>
      </c>
      <c r="AE5" s="3475">
        <f t="shared" si="1"/>
        <v>243168606.47742933</v>
      </c>
      <c r="AF5" s="3475">
        <f t="shared" si="1"/>
        <v>166517051.78726384</v>
      </c>
    </row>
    <row r="6" spans="1:32">
      <c r="A6" s="3898"/>
      <c r="B6" s="3908"/>
      <c r="C6" s="3898"/>
      <c r="D6" s="3899"/>
      <c r="E6" s="3898"/>
      <c r="F6" s="3901"/>
      <c r="G6" s="3901"/>
      <c r="H6" s="3474" t="s">
        <v>3446</v>
      </c>
      <c r="I6" s="3473">
        <v>0</v>
      </c>
      <c r="J6" s="3473">
        <v>0</v>
      </c>
      <c r="K6" s="3473">
        <v>0</v>
      </c>
      <c r="L6" s="3473">
        <v>0</v>
      </c>
      <c r="M6" s="3473">
        <v>0</v>
      </c>
      <c r="N6" s="3473">
        <f t="shared" ref="N6:AF6" si="2">$E$21</f>
        <v>0.05</v>
      </c>
      <c r="O6" s="3473">
        <f t="shared" si="2"/>
        <v>0.05</v>
      </c>
      <c r="P6" s="3473">
        <f t="shared" si="2"/>
        <v>0.05</v>
      </c>
      <c r="Q6" s="3473">
        <f t="shared" si="2"/>
        <v>0.05</v>
      </c>
      <c r="R6" s="3473">
        <f t="shared" si="2"/>
        <v>0.05</v>
      </c>
      <c r="S6" s="3473">
        <f t="shared" si="2"/>
        <v>0.05</v>
      </c>
      <c r="T6" s="3473">
        <f t="shared" si="2"/>
        <v>0.05</v>
      </c>
      <c r="U6" s="3473">
        <f t="shared" si="2"/>
        <v>0.05</v>
      </c>
      <c r="V6" s="3473">
        <f t="shared" si="2"/>
        <v>0.05</v>
      </c>
      <c r="W6" s="3473">
        <f t="shared" si="2"/>
        <v>0.05</v>
      </c>
      <c r="X6" s="3473">
        <f t="shared" si="2"/>
        <v>0.05</v>
      </c>
      <c r="Y6" s="3473">
        <f t="shared" si="2"/>
        <v>0.05</v>
      </c>
      <c r="Z6" s="3473">
        <f t="shared" si="2"/>
        <v>0.05</v>
      </c>
      <c r="AA6" s="3473">
        <f t="shared" si="2"/>
        <v>0.05</v>
      </c>
      <c r="AB6" s="3473">
        <f t="shared" si="2"/>
        <v>0.05</v>
      </c>
      <c r="AC6" s="3473">
        <f t="shared" si="2"/>
        <v>0.05</v>
      </c>
      <c r="AD6" s="3473">
        <f t="shared" si="2"/>
        <v>0.05</v>
      </c>
      <c r="AE6" s="3473">
        <f t="shared" si="2"/>
        <v>0.05</v>
      </c>
      <c r="AF6" s="3473">
        <f t="shared" si="2"/>
        <v>0.05</v>
      </c>
    </row>
    <row r="7" spans="1:32">
      <c r="A7" s="3898"/>
      <c r="B7" s="3908"/>
      <c r="C7" s="3898"/>
      <c r="D7" s="3899"/>
      <c r="E7" s="3898"/>
      <c r="F7" s="3901"/>
      <c r="G7" s="3901"/>
      <c r="H7" s="3472" t="s">
        <v>3445</v>
      </c>
      <c r="I7" s="3906">
        <f>ROUND(I5*(1-I6)+J5*(1-J6),2)</f>
        <v>152698105.69</v>
      </c>
      <c r="J7" s="3906"/>
      <c r="K7" s="3906">
        <f>ROUND(K5*(1-K6)+L5*(1-L6),2)</f>
        <v>152278605.40000001</v>
      </c>
      <c r="L7" s="3906"/>
      <c r="M7" s="3906">
        <f>ROUND(M5*(1-M6)+N5*(1-N6),2)</f>
        <v>148041801.36000001</v>
      </c>
      <c r="N7" s="3906"/>
      <c r="O7" s="3471">
        <f>ROUND(O5*(1-O6),2)</f>
        <v>143957904.40000001</v>
      </c>
      <c r="P7" s="3471">
        <f t="shared" ref="P7:AE7" si="3">ROUND(P5*(1-P6),2)</f>
        <v>148683994.94999999</v>
      </c>
      <c r="Q7" s="3471">
        <f t="shared" si="3"/>
        <v>152724940.78</v>
      </c>
      <c r="R7" s="3471">
        <f t="shared" si="3"/>
        <v>157306689</v>
      </c>
      <c r="S7" s="3471">
        <f t="shared" si="3"/>
        <v>162025889.66999999</v>
      </c>
      <c r="T7" s="3471">
        <f t="shared" si="3"/>
        <v>167345146.22</v>
      </c>
      <c r="U7" s="3471">
        <f t="shared" si="3"/>
        <v>171893266.36000001</v>
      </c>
      <c r="V7" s="3471">
        <f t="shared" si="3"/>
        <v>177050064.34999999</v>
      </c>
      <c r="W7" s="3471">
        <f t="shared" si="3"/>
        <v>182361566.28</v>
      </c>
      <c r="X7" s="3471">
        <f t="shared" si="3"/>
        <v>188348436.38</v>
      </c>
      <c r="Y7" s="3471">
        <f t="shared" si="3"/>
        <v>193467385.66</v>
      </c>
      <c r="Z7" s="3471">
        <f t="shared" si="3"/>
        <v>199271407.22999999</v>
      </c>
      <c r="AA7" s="3471">
        <f t="shared" si="3"/>
        <v>205249549.44999999</v>
      </c>
      <c r="AB7" s="3471">
        <f t="shared" si="3"/>
        <v>211987824.49000001</v>
      </c>
      <c r="AC7" s="3471">
        <f t="shared" si="3"/>
        <v>217749247.00999999</v>
      </c>
      <c r="AD7" s="3471">
        <f t="shared" si="3"/>
        <v>224281724.41999999</v>
      </c>
      <c r="AE7" s="3471">
        <f t="shared" si="3"/>
        <v>231010176.15000001</v>
      </c>
      <c r="AF7" s="3471">
        <f>ROUND(AF5*(1-AF6),2)</f>
        <v>158191199.19999999</v>
      </c>
    </row>
    <row r="8" spans="1:32">
      <c r="A8" s="3898">
        <v>2</v>
      </c>
      <c r="B8" s="3902" t="s">
        <v>3656</v>
      </c>
      <c r="C8" s="3898"/>
      <c r="D8" s="3899"/>
      <c r="E8" s="3900">
        <v>152</v>
      </c>
      <c r="F8" s="4002"/>
      <c r="G8" s="4002"/>
      <c r="H8" s="3474" t="s">
        <v>3502</v>
      </c>
      <c r="I8" s="3477">
        <f>I22</f>
        <v>1155</v>
      </c>
      <c r="J8" s="3477">
        <f t="shared" ref="J8:AF8" si="4">J22</f>
        <v>1155</v>
      </c>
      <c r="K8" s="3477">
        <f t="shared" si="4"/>
        <v>1167</v>
      </c>
      <c r="L8" s="3477">
        <f t="shared" si="4"/>
        <v>1167</v>
      </c>
      <c r="M8" s="3477">
        <f t="shared" si="4"/>
        <v>1179</v>
      </c>
      <c r="N8" s="3477">
        <f t="shared" si="4"/>
        <v>1179</v>
      </c>
      <c r="O8" s="3477">
        <f t="shared" si="4"/>
        <v>1191</v>
      </c>
      <c r="P8" s="3477">
        <f t="shared" si="4"/>
        <v>1203</v>
      </c>
      <c r="Q8" s="3477">
        <f t="shared" si="4"/>
        <v>1215</v>
      </c>
      <c r="R8" s="3477">
        <f t="shared" si="4"/>
        <v>1227</v>
      </c>
      <c r="S8" s="3477">
        <f t="shared" si="4"/>
        <v>1239</v>
      </c>
      <c r="T8" s="3477">
        <f t="shared" si="4"/>
        <v>1251</v>
      </c>
      <c r="U8" s="3477">
        <f t="shared" si="4"/>
        <v>1264</v>
      </c>
      <c r="V8" s="3477">
        <f t="shared" si="4"/>
        <v>1277</v>
      </c>
      <c r="W8" s="3477">
        <f t="shared" si="4"/>
        <v>1290</v>
      </c>
      <c r="X8" s="3477">
        <f t="shared" si="4"/>
        <v>1303</v>
      </c>
      <c r="Y8" s="3477">
        <f t="shared" si="4"/>
        <v>1316</v>
      </c>
      <c r="Z8" s="3477">
        <f t="shared" si="4"/>
        <v>1329</v>
      </c>
      <c r="AA8" s="3477">
        <f t="shared" si="4"/>
        <v>1342</v>
      </c>
      <c r="AB8" s="3477">
        <f t="shared" si="4"/>
        <v>1355</v>
      </c>
      <c r="AC8" s="3477">
        <f t="shared" si="4"/>
        <v>1369</v>
      </c>
      <c r="AD8" s="3477">
        <f t="shared" si="4"/>
        <v>1383</v>
      </c>
      <c r="AE8" s="3477">
        <f t="shared" si="4"/>
        <v>1397</v>
      </c>
      <c r="AF8" s="3501">
        <f t="shared" si="4"/>
        <v>1411</v>
      </c>
    </row>
    <row r="9" spans="1:32">
      <c r="A9" s="3898"/>
      <c r="B9" s="3903"/>
      <c r="C9" s="3898"/>
      <c r="D9" s="3899"/>
      <c r="E9" s="3898"/>
      <c r="F9" s="4003"/>
      <c r="G9" s="4003"/>
      <c r="H9" s="3474" t="s">
        <v>3449</v>
      </c>
      <c r="I9" s="3476">
        <v>45292</v>
      </c>
      <c r="J9" s="3476">
        <f>I10+1</f>
        <v>45474</v>
      </c>
      <c r="K9" s="3476">
        <v>45658</v>
      </c>
      <c r="L9" s="3476">
        <f>K10+1</f>
        <v>45839</v>
      </c>
      <c r="M9" s="3476">
        <f>K9+365</f>
        <v>46023</v>
      </c>
      <c r="N9" s="3476">
        <f>M10+1</f>
        <v>46204</v>
      </c>
      <c r="O9" s="3476">
        <f>M9+365</f>
        <v>46388</v>
      </c>
      <c r="P9" s="3476">
        <f>O9+365</f>
        <v>46753</v>
      </c>
      <c r="Q9" s="3476">
        <f>P10+1</f>
        <v>47119</v>
      </c>
      <c r="R9" s="3476">
        <f>Q10+1</f>
        <v>47484</v>
      </c>
      <c r="S9" s="3476">
        <f>R10+1</f>
        <v>47849</v>
      </c>
      <c r="T9" s="3476">
        <f>S10+1</f>
        <v>48214</v>
      </c>
      <c r="U9" s="3476">
        <f>T9+366</f>
        <v>48580</v>
      </c>
      <c r="V9" s="3476">
        <f>U9+365</f>
        <v>48945</v>
      </c>
      <c r="W9" s="3476">
        <f>V9+365</f>
        <v>49310</v>
      </c>
      <c r="X9" s="3476">
        <f>W9+365</f>
        <v>49675</v>
      </c>
      <c r="Y9" s="3476">
        <f>X9+366</f>
        <v>50041</v>
      </c>
      <c r="Z9" s="3476">
        <f>Y9+365</f>
        <v>50406</v>
      </c>
      <c r="AA9" s="3476">
        <f>Z9+365</f>
        <v>50771</v>
      </c>
      <c r="AB9" s="3476">
        <f>AA9+365</f>
        <v>51136</v>
      </c>
      <c r="AC9" s="3476">
        <f>AB9+366</f>
        <v>51502</v>
      </c>
      <c r="AD9" s="3476">
        <f>AC9+365</f>
        <v>51867</v>
      </c>
      <c r="AE9" s="3476">
        <f>AD9+365</f>
        <v>52232</v>
      </c>
      <c r="AF9" s="3476">
        <f>AE9+365</f>
        <v>52597</v>
      </c>
    </row>
    <row r="10" spans="1:32">
      <c r="A10" s="3898"/>
      <c r="B10" s="3903"/>
      <c r="C10" s="3898"/>
      <c r="D10" s="3899"/>
      <c r="E10" s="3898"/>
      <c r="F10" s="4003"/>
      <c r="G10" s="4003"/>
      <c r="H10" s="3474" t="s">
        <v>3448</v>
      </c>
      <c r="I10" s="3476">
        <v>45473</v>
      </c>
      <c r="J10" s="3476">
        <f>I9+365</f>
        <v>45657</v>
      </c>
      <c r="K10" s="3476">
        <v>45838</v>
      </c>
      <c r="L10" s="3476">
        <f>DATE(YEAR(J10)+1,MONTH(J10),DAY(J10))</f>
        <v>46022</v>
      </c>
      <c r="M10" s="3476">
        <v>46203</v>
      </c>
      <c r="N10" s="3476">
        <f>L10+365</f>
        <v>46387</v>
      </c>
      <c r="O10" s="3476">
        <v>46568</v>
      </c>
      <c r="P10" s="3476">
        <f>P9+365</f>
        <v>47118</v>
      </c>
      <c r="Q10" s="3476">
        <f>Q9+364</f>
        <v>47483</v>
      </c>
      <c r="R10" s="3476">
        <f>R9+364</f>
        <v>47848</v>
      </c>
      <c r="S10" s="3476">
        <f>S9+364</f>
        <v>48213</v>
      </c>
      <c r="T10" s="3476">
        <f>T9+365</f>
        <v>48579</v>
      </c>
      <c r="U10" s="3476">
        <f>U9+364</f>
        <v>48944</v>
      </c>
      <c r="V10" s="3476">
        <f>V9+364</f>
        <v>49309</v>
      </c>
      <c r="W10" s="3476">
        <f>W9+364</f>
        <v>49674</v>
      </c>
      <c r="X10" s="3476">
        <f>X9+365</f>
        <v>50040</v>
      </c>
      <c r="Y10" s="3476">
        <f>Y9+364</f>
        <v>50405</v>
      </c>
      <c r="Z10" s="3476">
        <f>Z9+364</f>
        <v>50770</v>
      </c>
      <c r="AA10" s="3476">
        <f>AA9+364</f>
        <v>51135</v>
      </c>
      <c r="AB10" s="3476">
        <f>AB9+365</f>
        <v>51501</v>
      </c>
      <c r="AC10" s="3476">
        <f>AC9+364</f>
        <v>51866</v>
      </c>
      <c r="AD10" s="3476">
        <f>AD9+364</f>
        <v>52231</v>
      </c>
      <c r="AE10" s="3476">
        <f>AE9+364</f>
        <v>52596</v>
      </c>
      <c r="AF10" s="3476">
        <f>AF4</f>
        <v>52839</v>
      </c>
    </row>
    <row r="11" spans="1:32">
      <c r="A11" s="3898"/>
      <c r="B11" s="3903"/>
      <c r="C11" s="3898"/>
      <c r="D11" s="3899"/>
      <c r="E11" s="3898"/>
      <c r="F11" s="4003"/>
      <c r="G11" s="4003"/>
      <c r="H11" s="3474" t="s">
        <v>3447</v>
      </c>
      <c r="I11" s="3475">
        <f>I8*$E$8*DATEDIF(I9,I10,"m")</f>
        <v>877800</v>
      </c>
      <c r="J11" s="3475">
        <f t="shared" ref="J11:AF11" si="5">J8*$E$8*DATEDIF(J9,J10,"m")</f>
        <v>877800</v>
      </c>
      <c r="K11" s="3475">
        <f t="shared" si="5"/>
        <v>886920</v>
      </c>
      <c r="L11" s="3475">
        <f t="shared" si="5"/>
        <v>886920</v>
      </c>
      <c r="M11" s="3475">
        <f t="shared" si="5"/>
        <v>896040</v>
      </c>
      <c r="N11" s="3475">
        <f t="shared" si="5"/>
        <v>896040</v>
      </c>
      <c r="O11" s="3475">
        <f t="shared" si="5"/>
        <v>905160</v>
      </c>
      <c r="P11" s="3475">
        <f t="shared" si="5"/>
        <v>2011416</v>
      </c>
      <c r="Q11" s="3475">
        <f t="shared" si="5"/>
        <v>2031480</v>
      </c>
      <c r="R11" s="3475">
        <f t="shared" si="5"/>
        <v>2051544</v>
      </c>
      <c r="S11" s="3475">
        <f t="shared" si="5"/>
        <v>2071608</v>
      </c>
      <c r="T11" s="3475">
        <f t="shared" si="5"/>
        <v>2091672</v>
      </c>
      <c r="U11" s="3475">
        <f t="shared" si="5"/>
        <v>2113408</v>
      </c>
      <c r="V11" s="3475">
        <f t="shared" si="5"/>
        <v>2135144</v>
      </c>
      <c r="W11" s="3475">
        <f t="shared" si="5"/>
        <v>2156880</v>
      </c>
      <c r="X11" s="3475">
        <f t="shared" si="5"/>
        <v>2178616</v>
      </c>
      <c r="Y11" s="3475">
        <f t="shared" si="5"/>
        <v>2200352</v>
      </c>
      <c r="Z11" s="3475">
        <f t="shared" si="5"/>
        <v>2222088</v>
      </c>
      <c r="AA11" s="3475">
        <f t="shared" si="5"/>
        <v>2243824</v>
      </c>
      <c r="AB11" s="3475">
        <f t="shared" si="5"/>
        <v>2265560</v>
      </c>
      <c r="AC11" s="3475">
        <f t="shared" si="5"/>
        <v>2288968</v>
      </c>
      <c r="AD11" s="3475">
        <f t="shared" si="5"/>
        <v>2312376</v>
      </c>
      <c r="AE11" s="3475">
        <f t="shared" si="5"/>
        <v>2335784</v>
      </c>
      <c r="AF11" s="3475">
        <f t="shared" si="5"/>
        <v>1501304</v>
      </c>
    </row>
    <row r="12" spans="1:32">
      <c r="A12" s="3898"/>
      <c r="B12" s="3903"/>
      <c r="C12" s="3898"/>
      <c r="D12" s="3899"/>
      <c r="E12" s="3898"/>
      <c r="F12" s="4003"/>
      <c r="G12" s="4003"/>
      <c r="H12" s="3474" t="s">
        <v>3446</v>
      </c>
      <c r="I12" s="3473">
        <f>$E$22</f>
        <v>0.05</v>
      </c>
      <c r="J12" s="3473">
        <f t="shared" ref="J12:AF12" si="6">$E$22</f>
        <v>0.05</v>
      </c>
      <c r="K12" s="3473">
        <f t="shared" si="6"/>
        <v>0.05</v>
      </c>
      <c r="L12" s="3473">
        <f t="shared" si="6"/>
        <v>0.05</v>
      </c>
      <c r="M12" s="3473">
        <f t="shared" si="6"/>
        <v>0.05</v>
      </c>
      <c r="N12" s="3473">
        <f t="shared" si="6"/>
        <v>0.05</v>
      </c>
      <c r="O12" s="3473">
        <f t="shared" si="6"/>
        <v>0.05</v>
      </c>
      <c r="P12" s="3473">
        <f t="shared" si="6"/>
        <v>0.05</v>
      </c>
      <c r="Q12" s="3473">
        <f t="shared" si="6"/>
        <v>0.05</v>
      </c>
      <c r="R12" s="3473">
        <f t="shared" si="6"/>
        <v>0.05</v>
      </c>
      <c r="S12" s="3473">
        <f t="shared" si="6"/>
        <v>0.05</v>
      </c>
      <c r="T12" s="3473">
        <f t="shared" si="6"/>
        <v>0.05</v>
      </c>
      <c r="U12" s="3473">
        <f t="shared" si="6"/>
        <v>0.05</v>
      </c>
      <c r="V12" s="3473">
        <f t="shared" si="6"/>
        <v>0.05</v>
      </c>
      <c r="W12" s="3473">
        <f t="shared" si="6"/>
        <v>0.05</v>
      </c>
      <c r="X12" s="3473">
        <f t="shared" si="6"/>
        <v>0.05</v>
      </c>
      <c r="Y12" s="3473">
        <f t="shared" si="6"/>
        <v>0.05</v>
      </c>
      <c r="Z12" s="3473">
        <f t="shared" si="6"/>
        <v>0.05</v>
      </c>
      <c r="AA12" s="3473">
        <f t="shared" si="6"/>
        <v>0.05</v>
      </c>
      <c r="AB12" s="3473">
        <f t="shared" si="6"/>
        <v>0.05</v>
      </c>
      <c r="AC12" s="3473">
        <f t="shared" si="6"/>
        <v>0.05</v>
      </c>
      <c r="AD12" s="3473">
        <f t="shared" si="6"/>
        <v>0.05</v>
      </c>
      <c r="AE12" s="3473">
        <f t="shared" si="6"/>
        <v>0.05</v>
      </c>
      <c r="AF12" s="3473">
        <f t="shared" si="6"/>
        <v>0.05</v>
      </c>
    </row>
    <row r="13" spans="1:32">
      <c r="A13" s="3898"/>
      <c r="B13" s="3904"/>
      <c r="C13" s="3898"/>
      <c r="D13" s="3899"/>
      <c r="E13" s="3898"/>
      <c r="F13" s="4004"/>
      <c r="G13" s="4004"/>
      <c r="H13" s="3472" t="s">
        <v>3445</v>
      </c>
      <c r="I13" s="3906">
        <f>ROUND(I11*(1-I12)+J11*(1-J12),2)</f>
        <v>1667820</v>
      </c>
      <c r="J13" s="3906"/>
      <c r="K13" s="3906">
        <f>ROUND(K11*(1-K12)+L11*(1-L12),2)</f>
        <v>1685148</v>
      </c>
      <c r="L13" s="3906"/>
      <c r="M13" s="3906">
        <f>ROUND(M11*(1-M12)+N11*(1-N12),2)</f>
        <v>1702476</v>
      </c>
      <c r="N13" s="3906"/>
      <c r="O13" s="3471">
        <f t="shared" ref="O13:AF13" si="7">ROUND(O11*(1-O12),2)</f>
        <v>859902</v>
      </c>
      <c r="P13" s="3471">
        <f t="shared" si="7"/>
        <v>1910845.2</v>
      </c>
      <c r="Q13" s="3471">
        <f t="shared" si="7"/>
        <v>1929906</v>
      </c>
      <c r="R13" s="3471">
        <f t="shared" si="7"/>
        <v>1948966.8</v>
      </c>
      <c r="S13" s="3471">
        <f t="shared" si="7"/>
        <v>1968027.6</v>
      </c>
      <c r="T13" s="3471">
        <f t="shared" si="7"/>
        <v>1987088.4</v>
      </c>
      <c r="U13" s="3471">
        <f t="shared" si="7"/>
        <v>2007737.6</v>
      </c>
      <c r="V13" s="3471">
        <f t="shared" si="7"/>
        <v>2028386.8</v>
      </c>
      <c r="W13" s="3471">
        <f t="shared" si="7"/>
        <v>2049036</v>
      </c>
      <c r="X13" s="3471">
        <f t="shared" si="7"/>
        <v>2069685.2</v>
      </c>
      <c r="Y13" s="3471">
        <f t="shared" si="7"/>
        <v>2090334.4</v>
      </c>
      <c r="Z13" s="3471">
        <f t="shared" si="7"/>
        <v>2110983.6</v>
      </c>
      <c r="AA13" s="3471">
        <f t="shared" si="7"/>
        <v>2131632.7999999998</v>
      </c>
      <c r="AB13" s="3471">
        <f t="shared" si="7"/>
        <v>2152282</v>
      </c>
      <c r="AC13" s="3471">
        <f t="shared" si="7"/>
        <v>2174519.6</v>
      </c>
      <c r="AD13" s="3471">
        <f t="shared" si="7"/>
        <v>2196757.2000000002</v>
      </c>
      <c r="AE13" s="3471">
        <f t="shared" si="7"/>
        <v>2218994.7999999998</v>
      </c>
      <c r="AF13" s="3471">
        <f t="shared" si="7"/>
        <v>1426238.8</v>
      </c>
    </row>
    <row r="14" spans="1:32" s="3506" customFormat="1" ht="23.1" customHeight="1">
      <c r="A14" s="3495"/>
      <c r="B14" s="3495"/>
      <c r="C14" s="3495"/>
      <c r="D14" s="3495"/>
      <c r="E14" s="3495"/>
      <c r="F14" s="3495"/>
      <c r="G14" s="3495"/>
      <c r="H14" s="3504" t="s">
        <v>3517</v>
      </c>
      <c r="I14" s="3907">
        <f>I7+I13</f>
        <v>154365925.69</v>
      </c>
      <c r="J14" s="3907"/>
      <c r="K14" s="3907">
        <f t="shared" ref="K14" si="8">K7+K13</f>
        <v>153963753.40000001</v>
      </c>
      <c r="L14" s="3907"/>
      <c r="M14" s="3907">
        <f t="shared" ref="M14" si="9">M7+M13</f>
        <v>149744277.36000001</v>
      </c>
      <c r="N14" s="3907"/>
      <c r="O14" s="3505">
        <f>O7+O13</f>
        <v>144817806.40000001</v>
      </c>
      <c r="P14" s="3505">
        <f t="shared" ref="P14:AF14" si="10">P7+P13</f>
        <v>150594840.14999998</v>
      </c>
      <c r="Q14" s="3505">
        <f t="shared" si="10"/>
        <v>154654846.78</v>
      </c>
      <c r="R14" s="3505">
        <f t="shared" si="10"/>
        <v>159255655.80000001</v>
      </c>
      <c r="S14" s="3505">
        <f t="shared" si="10"/>
        <v>163993917.26999998</v>
      </c>
      <c r="T14" s="3505">
        <f t="shared" si="10"/>
        <v>169332234.62</v>
      </c>
      <c r="U14" s="3505">
        <f t="shared" si="10"/>
        <v>173901003.96000001</v>
      </c>
      <c r="V14" s="3505">
        <f t="shared" si="10"/>
        <v>179078451.15000001</v>
      </c>
      <c r="W14" s="3505">
        <f t="shared" si="10"/>
        <v>184410602.28</v>
      </c>
      <c r="X14" s="3505">
        <f t="shared" si="10"/>
        <v>190418121.57999998</v>
      </c>
      <c r="Y14" s="3505">
        <f t="shared" si="10"/>
        <v>195557720.06</v>
      </c>
      <c r="Z14" s="3505">
        <f t="shared" si="10"/>
        <v>201382390.82999998</v>
      </c>
      <c r="AA14" s="3505">
        <f t="shared" si="10"/>
        <v>207381182.25</v>
      </c>
      <c r="AB14" s="3505">
        <f t="shared" si="10"/>
        <v>214140106.49000001</v>
      </c>
      <c r="AC14" s="3505">
        <f t="shared" si="10"/>
        <v>219923766.60999998</v>
      </c>
      <c r="AD14" s="3505">
        <f t="shared" si="10"/>
        <v>226478481.61999997</v>
      </c>
      <c r="AE14" s="3505">
        <f t="shared" si="10"/>
        <v>233229170.95000002</v>
      </c>
      <c r="AF14" s="3505">
        <f t="shared" si="10"/>
        <v>159617438</v>
      </c>
    </row>
    <row r="15" spans="1:32" s="3506" customFormat="1" ht="23.1" customHeight="1">
      <c r="A15" s="3495"/>
      <c r="B15" s="3495"/>
      <c r="C15" s="3495"/>
      <c r="D15" s="3495"/>
      <c r="E15" s="3495"/>
      <c r="F15" s="3495"/>
      <c r="G15" s="3495"/>
      <c r="H15" s="3504" t="s">
        <v>3521</v>
      </c>
      <c r="I15" s="3909">
        <f>I7/DATEDIF(I3,J4,"d")*90*$H$17</f>
        <v>564773.81556575338</v>
      </c>
      <c r="J15" s="3909"/>
      <c r="K15" s="3909">
        <f t="shared" ref="K15" si="11">K7/DATEDIF(K3,L4,"d")*90*$H$17</f>
        <v>564769.5529945055</v>
      </c>
      <c r="L15" s="3909"/>
      <c r="M15" s="3909">
        <f t="shared" ref="M15" si="12">M7/DATEDIF(M3,N4,"d")*90*$H$17</f>
        <v>549056.13141758239</v>
      </c>
      <c r="N15" s="3909"/>
      <c r="O15" s="3508">
        <f>O7/DATEDIF(O3,O4,"d")*90*$H$17</f>
        <v>533909.81027472531</v>
      </c>
      <c r="P15" s="3508">
        <f t="shared" ref="P15:AE15" si="13">P7/DATEDIF(P3,P4,"d")*90*$H$17</f>
        <v>549927.10460958898</v>
      </c>
      <c r="Q15" s="3508">
        <f t="shared" si="13"/>
        <v>566424.91772802197</v>
      </c>
      <c r="R15" s="3508">
        <f t="shared" si="13"/>
        <v>583417.66524725268</v>
      </c>
      <c r="S15" s="3508">
        <f t="shared" si="13"/>
        <v>600920.19520467019</v>
      </c>
      <c r="T15" s="3508">
        <f t="shared" si="13"/>
        <v>618947.80108767119</v>
      </c>
      <c r="U15" s="3508">
        <f t="shared" si="13"/>
        <v>637516.23512637359</v>
      </c>
      <c r="V15" s="3508">
        <f t="shared" si="13"/>
        <v>656641.72217719769</v>
      </c>
      <c r="W15" s="3508">
        <f t="shared" si="13"/>
        <v>676340.97384065937</v>
      </c>
      <c r="X15" s="3508">
        <f t="shared" si="13"/>
        <v>696631.20304931502</v>
      </c>
      <c r="Y15" s="3508">
        <f t="shared" si="13"/>
        <v>717530.13912362629</v>
      </c>
      <c r="Z15" s="3508">
        <f t="shared" si="13"/>
        <v>739056.04329807684</v>
      </c>
      <c r="AA15" s="3508">
        <f t="shared" si="13"/>
        <v>761227.72460851644</v>
      </c>
      <c r="AB15" s="3508">
        <f t="shared" si="13"/>
        <v>784064.55633287667</v>
      </c>
      <c r="AC15" s="3508">
        <f t="shared" si="13"/>
        <v>807586.49303159339</v>
      </c>
      <c r="AD15" s="3508">
        <f t="shared" si="13"/>
        <v>831814.08782142855</v>
      </c>
      <c r="AE15" s="3508">
        <f t="shared" si="13"/>
        <v>856768.51044642855</v>
      </c>
      <c r="AF15" s="3508">
        <f>AF7/DATEDIF(AF3,AF4,"d")*90*$H$17</f>
        <v>882471.56578512397</v>
      </c>
    </row>
    <row r="16" spans="1:32">
      <c r="A16" s="3502"/>
      <c r="B16" s="3502"/>
      <c r="C16" s="3502"/>
      <c r="D16" s="3502"/>
      <c r="E16" s="3502"/>
      <c r="F16" s="3502"/>
      <c r="G16" s="3502"/>
      <c r="H16" s="3502" t="s">
        <v>3520</v>
      </c>
      <c r="I16" s="3502"/>
      <c r="J16" s="3503"/>
      <c r="K16" s="3502"/>
      <c r="L16" s="3503"/>
      <c r="M16" s="3502"/>
      <c r="N16" s="3503"/>
      <c r="O16" s="3502"/>
      <c r="P16" s="3503"/>
      <c r="Q16" s="3503"/>
      <c r="R16" s="3503"/>
      <c r="S16" s="3503"/>
      <c r="T16" s="3503"/>
      <c r="U16" s="3503"/>
      <c r="V16" s="3503"/>
      <c r="W16" s="3503"/>
      <c r="X16" s="3503"/>
      <c r="Y16" s="3503"/>
      <c r="Z16" s="3503"/>
      <c r="AA16" s="3503"/>
      <c r="AB16" s="3503"/>
      <c r="AC16" s="3503"/>
      <c r="AD16" s="3503"/>
      <c r="AE16" s="3503"/>
      <c r="AF16" s="3503"/>
    </row>
    <row r="17" spans="5:32">
      <c r="H17" s="3507">
        <v>1.4999999999999999E-2</v>
      </c>
    </row>
    <row r="18" spans="5:32">
      <c r="H18" s="3507"/>
    </row>
    <row r="19" spans="5:32">
      <c r="H19" s="3507"/>
    </row>
    <row r="20" spans="5:32">
      <c r="E20" s="3495" t="s">
        <v>3504</v>
      </c>
      <c r="F20" s="3495" t="s">
        <v>3505</v>
      </c>
      <c r="G20" s="3495" t="s">
        <v>3503</v>
      </c>
      <c r="H20" s="3495" t="s">
        <v>3506</v>
      </c>
      <c r="I20" s="3905" t="s">
        <v>3471</v>
      </c>
      <c r="J20" s="3905"/>
      <c r="K20" s="3905" t="s">
        <v>3470</v>
      </c>
      <c r="L20" s="3905"/>
      <c r="M20" s="3905" t="s">
        <v>3469</v>
      </c>
      <c r="N20" s="3905"/>
      <c r="O20" s="3478" t="s">
        <v>3468</v>
      </c>
      <c r="P20" s="3478" t="s">
        <v>3467</v>
      </c>
      <c r="Q20" s="3478" t="s">
        <v>3466</v>
      </c>
      <c r="R20" s="3478" t="s">
        <v>3465</v>
      </c>
      <c r="S20" s="3478" t="s">
        <v>3464</v>
      </c>
      <c r="T20" s="3478" t="s">
        <v>3463</v>
      </c>
      <c r="U20" s="3478" t="s">
        <v>3462</v>
      </c>
      <c r="V20" s="3478" t="s">
        <v>3461</v>
      </c>
      <c r="W20" s="3478" t="s">
        <v>3460</v>
      </c>
      <c r="X20" s="3478" t="s">
        <v>3459</v>
      </c>
      <c r="Y20" s="3478" t="s">
        <v>3458</v>
      </c>
      <c r="Z20" s="3478" t="s">
        <v>3457</v>
      </c>
      <c r="AA20" s="3478" t="s">
        <v>3456</v>
      </c>
      <c r="AB20" s="3478" t="s">
        <v>3455</v>
      </c>
      <c r="AC20" s="3478" t="s">
        <v>3454</v>
      </c>
      <c r="AD20" s="3478" t="s">
        <v>3453</v>
      </c>
      <c r="AE20" s="3478" t="s">
        <v>3452</v>
      </c>
      <c r="AF20" s="3500" t="s">
        <v>3451</v>
      </c>
    </row>
    <row r="21" spans="5:32">
      <c r="E21" s="3497">
        <v>0.05</v>
      </c>
      <c r="F21" s="3497">
        <v>0.03</v>
      </c>
      <c r="G21" s="3496" t="str">
        <f>B2</f>
        <v>-1至6层（含夹层）</v>
      </c>
      <c r="H21" s="3474" t="s">
        <v>3507</v>
      </c>
      <c r="I21" s="3498">
        <f>租赁情况!K21</f>
        <v>10.27529166033902</v>
      </c>
      <c r="J21" s="3498">
        <f>I21</f>
        <v>10.27529166033902</v>
      </c>
      <c r="K21" s="3498">
        <f>租赁情况!K22</f>
        <v>10.27529166033902</v>
      </c>
      <c r="L21" s="3498">
        <f>K21</f>
        <v>10.27529166033902</v>
      </c>
      <c r="M21" s="3498">
        <f>L21*(1+F21)</f>
        <v>10.583550410149192</v>
      </c>
      <c r="N21" s="3499">
        <f>'比较法-办公 (租金)'!C50</f>
        <v>9.9</v>
      </c>
      <c r="O21" s="3499">
        <f>N21*(1+$F$21)</f>
        <v>10.197000000000001</v>
      </c>
      <c r="P21" s="3499">
        <f>O21*(1+$F$21)</f>
        <v>10.502910000000002</v>
      </c>
      <c r="Q21" s="3499">
        <f t="shared" ref="Q21:AF21" si="14">P21*(1+$F$21)</f>
        <v>10.817997300000002</v>
      </c>
      <c r="R21" s="3499">
        <f t="shared" si="14"/>
        <v>11.142537219000003</v>
      </c>
      <c r="S21" s="3499">
        <f t="shared" si="14"/>
        <v>11.476813335570004</v>
      </c>
      <c r="T21" s="3499">
        <f t="shared" si="14"/>
        <v>11.821117735637104</v>
      </c>
      <c r="U21" s="3499">
        <f t="shared" si="14"/>
        <v>12.175751267706218</v>
      </c>
      <c r="V21" s="3499">
        <f t="shared" si="14"/>
        <v>12.541023805737405</v>
      </c>
      <c r="W21" s="3499">
        <f t="shared" si="14"/>
        <v>12.917254519909527</v>
      </c>
      <c r="X21" s="3499">
        <f t="shared" si="14"/>
        <v>13.304772155506813</v>
      </c>
      <c r="Y21" s="3499">
        <f t="shared" si="14"/>
        <v>13.703915320172017</v>
      </c>
      <c r="Z21" s="3499">
        <f t="shared" si="14"/>
        <v>14.115032779777177</v>
      </c>
      <c r="AA21" s="3499">
        <f t="shared" si="14"/>
        <v>14.538483763170493</v>
      </c>
      <c r="AB21" s="3499">
        <f t="shared" si="14"/>
        <v>14.974638276065608</v>
      </c>
      <c r="AC21" s="3499">
        <f t="shared" si="14"/>
        <v>15.423877424347577</v>
      </c>
      <c r="AD21" s="3499">
        <f t="shared" si="14"/>
        <v>15.886593747078004</v>
      </c>
      <c r="AE21" s="3499">
        <f t="shared" si="14"/>
        <v>16.363191559490346</v>
      </c>
      <c r="AF21" s="3499">
        <f t="shared" si="14"/>
        <v>16.854087306275058</v>
      </c>
    </row>
    <row r="22" spans="5:32">
      <c r="E22" s="3497">
        <v>0.05</v>
      </c>
      <c r="F22" s="3497">
        <v>0.01</v>
      </c>
      <c r="G22" s="3496" t="str">
        <f>B8</f>
        <v>-2停车位</v>
      </c>
      <c r="H22" s="3474" t="s">
        <v>3508</v>
      </c>
      <c r="I22" s="3499">
        <f>'比较法-车位'!C39</f>
        <v>1155</v>
      </c>
      <c r="J22" s="3499">
        <f>I22</f>
        <v>1155</v>
      </c>
      <c r="K22" s="3499">
        <f>ROUND(J22*(1+$F$22),0)</f>
        <v>1167</v>
      </c>
      <c r="L22" s="3499">
        <f>K22</f>
        <v>1167</v>
      </c>
      <c r="M22" s="3499">
        <f>ROUND(L22*(1+$F$22),0)</f>
        <v>1179</v>
      </c>
      <c r="N22" s="3499">
        <f>M22</f>
        <v>1179</v>
      </c>
      <c r="O22" s="3499">
        <f>ROUND(N22*(1+$F$22),0)</f>
        <v>1191</v>
      </c>
      <c r="P22" s="3499">
        <f t="shared" ref="P22:AF22" si="15">ROUND(O22*(1+$F$22),0)</f>
        <v>1203</v>
      </c>
      <c r="Q22" s="3499">
        <f t="shared" si="15"/>
        <v>1215</v>
      </c>
      <c r="R22" s="3499">
        <f t="shared" si="15"/>
        <v>1227</v>
      </c>
      <c r="S22" s="3499">
        <f t="shared" si="15"/>
        <v>1239</v>
      </c>
      <c r="T22" s="3499">
        <f t="shared" si="15"/>
        <v>1251</v>
      </c>
      <c r="U22" s="3499">
        <f t="shared" si="15"/>
        <v>1264</v>
      </c>
      <c r="V22" s="3499">
        <f t="shared" si="15"/>
        <v>1277</v>
      </c>
      <c r="W22" s="3499">
        <f t="shared" si="15"/>
        <v>1290</v>
      </c>
      <c r="X22" s="3499">
        <f t="shared" si="15"/>
        <v>1303</v>
      </c>
      <c r="Y22" s="3499">
        <f t="shared" si="15"/>
        <v>1316</v>
      </c>
      <c r="Z22" s="3499">
        <f t="shared" si="15"/>
        <v>1329</v>
      </c>
      <c r="AA22" s="3499">
        <f t="shared" si="15"/>
        <v>1342</v>
      </c>
      <c r="AB22" s="3499">
        <f t="shared" si="15"/>
        <v>1355</v>
      </c>
      <c r="AC22" s="3499">
        <f t="shared" si="15"/>
        <v>1369</v>
      </c>
      <c r="AD22" s="3499">
        <f t="shared" si="15"/>
        <v>1383</v>
      </c>
      <c r="AE22" s="3499">
        <f t="shared" si="15"/>
        <v>1397</v>
      </c>
      <c r="AF22" s="3499">
        <f t="shared" si="15"/>
        <v>1411</v>
      </c>
    </row>
    <row r="23" spans="5:32">
      <c r="H23" s="3494"/>
    </row>
  </sheetData>
  <autoFilter ref="A1:AF13">
    <filterColumn colId="8" showButton="0"/>
    <filterColumn colId="10" showButton="0"/>
    <filterColumn colId="12" showButton="0"/>
    <filterColumn colId="14" showButton="0"/>
    <filterColumn colId="15" showButton="0"/>
    <filterColumn colId="16" showButton="0"/>
    <filterColumn colId="17" showButton="0"/>
    <filterColumn colId="18" showButton="0"/>
    <filterColumn colId="19" showButton="0"/>
    <filterColumn colId="20" showButton="0"/>
  </autoFilter>
  <mergeCells count="32">
    <mergeCell ref="I15:J15"/>
    <mergeCell ref="K15:L15"/>
    <mergeCell ref="M15:N15"/>
    <mergeCell ref="I20:J20"/>
    <mergeCell ref="K20:L20"/>
    <mergeCell ref="M20:N20"/>
    <mergeCell ref="A2:A7"/>
    <mergeCell ref="E2:E7"/>
    <mergeCell ref="C2:C7"/>
    <mergeCell ref="D2:D7"/>
    <mergeCell ref="F2:F7"/>
    <mergeCell ref="B2:B7"/>
    <mergeCell ref="G2:G7"/>
    <mergeCell ref="G8:G13"/>
    <mergeCell ref="I13:J13"/>
    <mergeCell ref="K13:L13"/>
    <mergeCell ref="M13:N13"/>
    <mergeCell ref="K7:L7"/>
    <mergeCell ref="M7:N7"/>
    <mergeCell ref="I1:J1"/>
    <mergeCell ref="K1:L1"/>
    <mergeCell ref="M1:N1"/>
    <mergeCell ref="I7:J7"/>
    <mergeCell ref="I14:J14"/>
    <mergeCell ref="K14:L14"/>
    <mergeCell ref="M14:N14"/>
    <mergeCell ref="A8:A13"/>
    <mergeCell ref="C8:C13"/>
    <mergeCell ref="D8:D13"/>
    <mergeCell ref="E8:E13"/>
    <mergeCell ref="F8:F13"/>
    <mergeCell ref="B8:B13"/>
  </mergeCells>
  <phoneticPr fontId="1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I28" sqref="I28"/>
    </sheetView>
  </sheetViews>
  <sheetFormatPr defaultColWidth="10.875" defaultRowHeight="11.25"/>
  <cols>
    <col min="1" max="1" width="8" style="3456" bestFit="1" customWidth="1"/>
    <col min="2" max="2" width="14.125" style="3456" bestFit="1" customWidth="1"/>
    <col min="3" max="3" width="9.625" style="3456" customWidth="1"/>
    <col min="4" max="4" width="5.375" style="3456" bestFit="1" customWidth="1"/>
    <col min="5" max="5" width="12.5" style="3456" bestFit="1" customWidth="1"/>
    <col min="6" max="6" width="8.625" style="3456" bestFit="1" customWidth="1"/>
    <col min="7" max="7" width="20.875" style="3456" bestFit="1" customWidth="1"/>
    <col min="8" max="8" width="22.5" style="3456" bestFit="1" customWidth="1"/>
    <col min="9" max="10" width="16.5" style="3456" bestFit="1" customWidth="1"/>
    <col min="11" max="11" width="22.5" style="3456" bestFit="1" customWidth="1"/>
    <col min="12" max="13" width="6.125" style="3456" bestFit="1" customWidth="1"/>
    <col min="14" max="16384" width="10.875" style="3456"/>
  </cols>
  <sheetData>
    <row r="1" spans="1:11">
      <c r="A1" s="3456" t="s">
        <v>3478</v>
      </c>
      <c r="B1" s="3547">
        <v>44562</v>
      </c>
      <c r="D1" s="3482" t="s">
        <v>3495</v>
      </c>
      <c r="E1" s="3482" t="s">
        <v>3483</v>
      </c>
      <c r="F1" s="3482" t="s">
        <v>3481</v>
      </c>
      <c r="G1" s="3482" t="s">
        <v>3493</v>
      </c>
      <c r="H1" s="3482" t="s">
        <v>3494</v>
      </c>
      <c r="I1" s="3482" t="s">
        <v>3484</v>
      </c>
      <c r="J1" s="3482" t="s">
        <v>3485</v>
      </c>
      <c r="K1" s="3486" t="s">
        <v>3496</v>
      </c>
    </row>
    <row r="2" spans="1:11">
      <c r="A2" s="3456" t="s">
        <v>3498</v>
      </c>
      <c r="B2" s="3456">
        <f>54/12</f>
        <v>4.5</v>
      </c>
      <c r="D2" s="3458"/>
      <c r="E2" s="3910" t="s">
        <v>3486</v>
      </c>
      <c r="F2" s="3910"/>
      <c r="G2" s="3910"/>
      <c r="H2" s="3910"/>
      <c r="I2" s="3910"/>
      <c r="J2" s="3910"/>
      <c r="K2" s="3463"/>
    </row>
    <row r="3" spans="1:11">
      <c r="A3" s="3456" t="s">
        <v>3499</v>
      </c>
      <c r="B3" s="3547">
        <v>46203</v>
      </c>
      <c r="D3" s="3483">
        <v>2022</v>
      </c>
      <c r="E3" s="3483" t="s">
        <v>3487</v>
      </c>
      <c r="F3" s="3483">
        <v>26143.67</v>
      </c>
      <c r="G3" s="4000">
        <v>372</v>
      </c>
      <c r="H3" s="4000">
        <v>341.28</v>
      </c>
      <c r="I3" s="4000">
        <f>ROUND(G3*F3*12,2)</f>
        <v>116705342.88</v>
      </c>
      <c r="J3" s="4000">
        <f>ROUND(K3*F3*12,2)</f>
        <v>3568924.68</v>
      </c>
      <c r="K3" s="3464">
        <f>H3/30</f>
        <v>11.375999999999999</v>
      </c>
    </row>
    <row r="4" spans="1:11">
      <c r="A4" s="3456" t="s">
        <v>3479</v>
      </c>
      <c r="B4" s="3456" t="s">
        <v>3480</v>
      </c>
      <c r="D4" s="3483">
        <v>2023</v>
      </c>
      <c r="E4" s="3483" t="s">
        <v>3488</v>
      </c>
      <c r="F4" s="3483">
        <v>26143.67</v>
      </c>
      <c r="G4" s="4000">
        <v>372</v>
      </c>
      <c r="H4" s="4000">
        <v>341.28</v>
      </c>
      <c r="I4" s="4000">
        <f t="shared" ref="I4:I6" si="0">ROUND(G4*F4*12,2)</f>
        <v>116705342.88</v>
      </c>
      <c r="J4" s="4000">
        <f t="shared" ref="J4:J6" si="1">ROUND(K4*F4*12,2)</f>
        <v>3568924.68</v>
      </c>
      <c r="K4" s="3464">
        <f t="shared" ref="K4:K22" si="2">H4/30</f>
        <v>11.375999999999999</v>
      </c>
    </row>
    <row r="5" spans="1:11">
      <c r="A5" s="3456" t="s">
        <v>3482</v>
      </c>
      <c r="B5" s="3456">
        <f>F19</f>
        <v>40826.119999999995</v>
      </c>
      <c r="D5" s="3483">
        <v>2024</v>
      </c>
      <c r="E5" s="3483" t="s">
        <v>3489</v>
      </c>
      <c r="F5" s="3483">
        <v>26143.67</v>
      </c>
      <c r="G5" s="4000">
        <v>396.8</v>
      </c>
      <c r="H5" s="4000">
        <v>364.04</v>
      </c>
      <c r="I5" s="4000">
        <f t="shared" si="0"/>
        <v>124485699.06999999</v>
      </c>
      <c r="J5" s="4000">
        <f t="shared" si="1"/>
        <v>3806936.65</v>
      </c>
      <c r="K5" s="3464">
        <f t="shared" si="2"/>
        <v>12.134666666666668</v>
      </c>
    </row>
    <row r="6" spans="1:11">
      <c r="D6" s="3483">
        <v>2025</v>
      </c>
      <c r="E6" s="3483" t="s">
        <v>3490</v>
      </c>
      <c r="F6" s="3483">
        <v>26143.67</v>
      </c>
      <c r="G6" s="4000">
        <v>396.8</v>
      </c>
      <c r="H6" s="4000">
        <v>364.04</v>
      </c>
      <c r="I6" s="4000">
        <f t="shared" si="0"/>
        <v>124485699.06999999</v>
      </c>
      <c r="J6" s="4000">
        <f t="shared" si="1"/>
        <v>3806936.65</v>
      </c>
      <c r="K6" s="3464">
        <f t="shared" si="2"/>
        <v>12.134666666666668</v>
      </c>
    </row>
    <row r="7" spans="1:11">
      <c r="D7" s="3458"/>
      <c r="E7" s="3910" t="s">
        <v>3491</v>
      </c>
      <c r="F7" s="3910"/>
      <c r="G7" s="3910"/>
      <c r="H7" s="3910"/>
      <c r="I7" s="3910"/>
      <c r="J7" s="3910"/>
      <c r="K7" s="3464">
        <f t="shared" si="2"/>
        <v>0</v>
      </c>
    </row>
    <row r="8" spans="1:11">
      <c r="D8" s="3483">
        <v>2022</v>
      </c>
      <c r="E8" s="3483" t="s">
        <v>3487</v>
      </c>
      <c r="F8" s="3483">
        <v>6311.44</v>
      </c>
      <c r="G8" s="4000">
        <v>412</v>
      </c>
      <c r="H8" s="4000">
        <v>377.98</v>
      </c>
      <c r="I8" s="4000">
        <f t="shared" ref="I8:I11" si="3">ROUND(G8*F8*12,2)</f>
        <v>31203759.359999999</v>
      </c>
      <c r="J8" s="4000">
        <f t="shared" ref="J8:J11" si="4">ROUND(K8*F8*12,2)</f>
        <v>954239.24</v>
      </c>
      <c r="K8" s="3464">
        <f t="shared" si="2"/>
        <v>12.599333333333334</v>
      </c>
    </row>
    <row r="9" spans="1:11">
      <c r="D9" s="3483">
        <v>2023</v>
      </c>
      <c r="E9" s="3483" t="s">
        <v>3488</v>
      </c>
      <c r="F9" s="3483">
        <v>6311.44</v>
      </c>
      <c r="G9" s="4000">
        <v>412</v>
      </c>
      <c r="H9" s="4000">
        <v>377.98</v>
      </c>
      <c r="I9" s="4000">
        <f t="shared" si="3"/>
        <v>31203759.359999999</v>
      </c>
      <c r="J9" s="4000">
        <f t="shared" si="4"/>
        <v>954239.24</v>
      </c>
      <c r="K9" s="3464">
        <f t="shared" si="2"/>
        <v>12.599333333333334</v>
      </c>
    </row>
    <row r="10" spans="1:11">
      <c r="D10" s="3483">
        <v>2024</v>
      </c>
      <c r="E10" s="3483" t="s">
        <v>3489</v>
      </c>
      <c r="F10" s="3483">
        <v>6311.44</v>
      </c>
      <c r="G10" s="4000">
        <v>439.47</v>
      </c>
      <c r="H10" s="4000">
        <v>403.18</v>
      </c>
      <c r="I10" s="4000">
        <f t="shared" si="3"/>
        <v>33284262.440000001</v>
      </c>
      <c r="J10" s="4000">
        <f t="shared" si="4"/>
        <v>1017858.55</v>
      </c>
      <c r="K10" s="3464">
        <f t="shared" si="2"/>
        <v>13.439333333333334</v>
      </c>
    </row>
    <row r="11" spans="1:11">
      <c r="D11" s="3483">
        <v>2025</v>
      </c>
      <c r="E11" s="3483" t="s">
        <v>3490</v>
      </c>
      <c r="F11" s="3483">
        <v>6311.44</v>
      </c>
      <c r="G11" s="4000">
        <v>439.47</v>
      </c>
      <c r="H11" s="4000">
        <v>403.18</v>
      </c>
      <c r="I11" s="4000">
        <f t="shared" si="3"/>
        <v>33284262.440000001</v>
      </c>
      <c r="J11" s="4000">
        <f t="shared" si="4"/>
        <v>1017858.55</v>
      </c>
      <c r="K11" s="3464">
        <f t="shared" si="2"/>
        <v>13.439333333333334</v>
      </c>
    </row>
    <row r="12" spans="1:11">
      <c r="D12" s="3458"/>
      <c r="E12" s="3910" t="s">
        <v>3492</v>
      </c>
      <c r="F12" s="3910"/>
      <c r="G12" s="3910"/>
      <c r="H12" s="3910"/>
      <c r="I12" s="3910"/>
      <c r="J12" s="3910"/>
      <c r="K12" s="3464">
        <f t="shared" si="2"/>
        <v>0</v>
      </c>
    </row>
    <row r="13" spans="1:11">
      <c r="D13" s="3483">
        <v>2022</v>
      </c>
      <c r="E13" s="3483" t="s">
        <v>3487</v>
      </c>
      <c r="F13" s="3483">
        <v>8371.01</v>
      </c>
      <c r="G13" s="4000">
        <v>63.85</v>
      </c>
      <c r="H13" s="4000">
        <v>58.58</v>
      </c>
      <c r="I13" s="4001">
        <f>ROUND(G13*F13*12,3)</f>
        <v>6413867.8619999997</v>
      </c>
      <c r="J13" s="4001">
        <f>ROUND(K13*F13*12,3)</f>
        <v>196149.50599999999</v>
      </c>
      <c r="K13" s="3464">
        <f t="shared" si="2"/>
        <v>1.9526666666666666</v>
      </c>
    </row>
    <row r="14" spans="1:11">
      <c r="D14" s="3483">
        <v>2023</v>
      </c>
      <c r="E14" s="3483" t="s">
        <v>3488</v>
      </c>
      <c r="F14" s="3483">
        <v>8371.01</v>
      </c>
      <c r="G14" s="4000">
        <v>63.85</v>
      </c>
      <c r="H14" s="4000">
        <v>58.58</v>
      </c>
      <c r="I14" s="4001">
        <f t="shared" ref="I14:I16" si="5">ROUND(G14*F14*12,3)</f>
        <v>6413867.8619999997</v>
      </c>
      <c r="J14" s="4001">
        <f t="shared" ref="J14:J16" si="6">ROUND(K14*F14*12,3)</f>
        <v>196149.50599999999</v>
      </c>
      <c r="K14" s="3464">
        <f t="shared" si="2"/>
        <v>1.9526666666666666</v>
      </c>
    </row>
    <row r="15" spans="1:11">
      <c r="D15" s="3483">
        <v>2024</v>
      </c>
      <c r="E15" s="3483" t="s">
        <v>3489</v>
      </c>
      <c r="F15" s="3483">
        <v>8371.01</v>
      </c>
      <c r="G15" s="4000">
        <v>68.099999999999994</v>
      </c>
      <c r="H15" s="4000">
        <v>62.48</v>
      </c>
      <c r="I15" s="4001">
        <f t="shared" si="5"/>
        <v>6840789.3720000004</v>
      </c>
      <c r="J15" s="4001">
        <f t="shared" si="6"/>
        <v>209208.28200000001</v>
      </c>
      <c r="K15" s="3464">
        <f t="shared" si="2"/>
        <v>2.0826666666666664</v>
      </c>
    </row>
    <row r="16" spans="1:11">
      <c r="D16" s="3483">
        <v>2025</v>
      </c>
      <c r="E16" s="3483" t="s">
        <v>3490</v>
      </c>
      <c r="F16" s="3483">
        <v>8371.01</v>
      </c>
      <c r="G16" s="4000">
        <v>68.099999999999994</v>
      </c>
      <c r="H16" s="4000">
        <v>62.48</v>
      </c>
      <c r="I16" s="4001">
        <f t="shared" si="5"/>
        <v>6840789.3720000004</v>
      </c>
      <c r="J16" s="4001">
        <f t="shared" si="6"/>
        <v>209208.28200000001</v>
      </c>
      <c r="K16" s="3464">
        <f t="shared" si="2"/>
        <v>2.0826666666666664</v>
      </c>
    </row>
    <row r="17" spans="4:13">
      <c r="D17" s="3483"/>
      <c r="E17" s="3483" t="s">
        <v>3427</v>
      </c>
      <c r="F17" s="3483">
        <f>F6+F11+F16</f>
        <v>40826.119999999995</v>
      </c>
      <c r="G17" s="3484"/>
      <c r="H17" s="3484"/>
      <c r="I17" s="3485"/>
      <c r="J17" s="3485"/>
      <c r="K17" s="3464">
        <f t="shared" si="2"/>
        <v>0</v>
      </c>
    </row>
    <row r="18" spans="4:13">
      <c r="D18" s="3486" t="s">
        <v>3495</v>
      </c>
      <c r="E18" s="3486" t="s">
        <v>3483</v>
      </c>
      <c r="F18" s="3486" t="s">
        <v>3481</v>
      </c>
      <c r="G18" s="3486" t="s">
        <v>3493</v>
      </c>
      <c r="H18" s="3486" t="s">
        <v>3494</v>
      </c>
      <c r="I18" s="3486" t="s">
        <v>3484</v>
      </c>
      <c r="J18" s="3486" t="s">
        <v>3485</v>
      </c>
      <c r="K18" s="3486" t="s">
        <v>3496</v>
      </c>
    </row>
    <row r="19" spans="4:13">
      <c r="D19" s="3487">
        <v>2022</v>
      </c>
      <c r="E19" s="3487" t="s">
        <v>3487</v>
      </c>
      <c r="F19" s="3487">
        <f>F3+F8+F13</f>
        <v>40826.119999999995</v>
      </c>
      <c r="G19" s="3488">
        <f>(G3*F3+G8*F8+G13*F13)/F19</f>
        <v>315.00048274242079</v>
      </c>
      <c r="H19" s="3488">
        <f>(H3*F3+H8*F8+H13*F13)/F19</f>
        <v>288.98860716129769</v>
      </c>
      <c r="I19" s="3489">
        <f>I3+I8+I13</f>
        <v>154322970.102</v>
      </c>
      <c r="J19" s="3489">
        <f>J3+J8+J13</f>
        <v>4719313.426</v>
      </c>
      <c r="K19" s="3464">
        <f t="shared" si="2"/>
        <v>9.632953572043256</v>
      </c>
    </row>
    <row r="20" spans="4:13">
      <c r="D20" s="3487">
        <v>2023</v>
      </c>
      <c r="E20" s="3487" t="s">
        <v>3488</v>
      </c>
      <c r="F20" s="3487">
        <f t="shared" ref="F20:F22" si="7">F4+F9+F14</f>
        <v>40826.119999999995</v>
      </c>
      <c r="G20" s="3488">
        <f t="shared" ref="G20:G22" si="8">(G4*F4+G9*F9+G14*F14)/F20</f>
        <v>315.00048274242079</v>
      </c>
      <c r="H20" s="3488">
        <f t="shared" ref="H20:H22" si="9">(H4*F4+H9*F9+H14*F14)/F20</f>
        <v>288.98860716129769</v>
      </c>
      <c r="I20" s="3489">
        <f t="shared" ref="I20:J22" si="10">I4+I9+I14</f>
        <v>154322970.102</v>
      </c>
      <c r="J20" s="3489">
        <f t="shared" si="10"/>
        <v>4719313.426</v>
      </c>
      <c r="K20" s="3464">
        <f t="shared" si="2"/>
        <v>9.632953572043256</v>
      </c>
    </row>
    <row r="21" spans="4:13">
      <c r="D21" s="3487">
        <v>2024</v>
      </c>
      <c r="E21" s="3487" t="s">
        <v>3489</v>
      </c>
      <c r="F21" s="3487">
        <f t="shared" si="7"/>
        <v>40826.119999999995</v>
      </c>
      <c r="G21" s="3488">
        <f t="shared" si="8"/>
        <v>335.99966329888804</v>
      </c>
      <c r="H21" s="3488">
        <f t="shared" si="9"/>
        <v>308.25874981017063</v>
      </c>
      <c r="I21" s="3489">
        <f t="shared" si="10"/>
        <v>164610750.882</v>
      </c>
      <c r="J21" s="3489">
        <f t="shared" si="10"/>
        <v>5034003.4819999998</v>
      </c>
      <c r="K21" s="3464">
        <f t="shared" si="2"/>
        <v>10.27529166033902</v>
      </c>
      <c r="L21" s="3548"/>
      <c r="M21" s="3549">
        <v>3.2800000000000003E-2</v>
      </c>
    </row>
    <row r="22" spans="4:13">
      <c r="D22" s="3487">
        <v>2025</v>
      </c>
      <c r="E22" s="3487" t="s">
        <v>3490</v>
      </c>
      <c r="F22" s="3487">
        <f t="shared" si="7"/>
        <v>40826.119999999995</v>
      </c>
      <c r="G22" s="3488">
        <f t="shared" si="8"/>
        <v>335.99966329888804</v>
      </c>
      <c r="H22" s="3488">
        <f t="shared" si="9"/>
        <v>308.25874981017063</v>
      </c>
      <c r="I22" s="3489">
        <f t="shared" si="10"/>
        <v>164610750.882</v>
      </c>
      <c r="J22" s="3489">
        <f t="shared" si="10"/>
        <v>5034003.4819999998</v>
      </c>
      <c r="K22" s="3464">
        <f t="shared" si="2"/>
        <v>10.27529166033902</v>
      </c>
      <c r="L22" s="3550">
        <f>K22/K20-1</f>
        <v>6.6681322970346013E-2</v>
      </c>
      <c r="M22" s="3550">
        <f>(1+M21)^2-1</f>
        <v>6.667583999999982E-2</v>
      </c>
    </row>
  </sheetData>
  <mergeCells count="3">
    <mergeCell ref="E2:J2"/>
    <mergeCell ref="E7:J7"/>
    <mergeCell ref="E12:J12"/>
  </mergeCells>
  <phoneticPr fontId="1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L46" sqref="L46"/>
    </sheetView>
  </sheetViews>
  <sheetFormatPr defaultColWidth="9" defaultRowHeight="14.25"/>
  <cols>
    <col min="1" max="1" width="10.5" style="357" customWidth="1"/>
    <col min="2" max="2" width="15.875" style="357" customWidth="1"/>
    <col min="3" max="3" width="15.625" style="357" customWidth="1"/>
    <col min="4" max="4" width="12.125" style="357" customWidth="1"/>
    <col min="5" max="5" width="16.375" style="357" customWidth="1"/>
    <col min="6" max="6" width="12.125" style="357" customWidth="1"/>
    <col min="7" max="7" width="16" style="357" customWidth="1"/>
    <col min="8" max="8" width="12.125" style="357" customWidth="1"/>
    <col min="9" max="9" width="16.125" style="357" customWidth="1"/>
    <col min="10" max="10" width="12.125" style="357" customWidth="1"/>
    <col min="11" max="11" width="12.125" style="444" customWidth="1"/>
    <col min="12" max="12" width="12.125" style="445" customWidth="1"/>
    <col min="13" max="15" width="12.125" style="357" customWidth="1"/>
    <col min="16" max="16" width="12.5" style="905" bestFit="1" customWidth="1"/>
    <col min="17" max="17" width="19.5" style="357" customWidth="1"/>
    <col min="18" max="22" width="11.375" style="357" bestFit="1"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t="s">
        <v>3570</v>
      </c>
      <c r="F1" s="1878" t="s">
        <v>3501</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48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9.9</v>
      </c>
      <c r="C3" s="354" t="s">
        <v>1665</v>
      </c>
      <c r="D3" s="353">
        <f>IF(D1="",'数据-汇总表'!E3,SUMIF('数据-汇总表'!$C19:$C33,D1,'数据-汇总表'!$E19:$E33))</f>
        <v>48955.32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1666</v>
      </c>
      <c r="B4" s="356"/>
      <c r="C4" s="3842" t="s">
        <v>1667</v>
      </c>
      <c r="D4" s="3843"/>
      <c r="E4" s="3844" t="s">
        <v>1668</v>
      </c>
      <c r="F4" s="3845"/>
      <c r="G4" s="3842" t="s">
        <v>1669</v>
      </c>
      <c r="H4" s="3843"/>
      <c r="I4" s="3842" t="s">
        <v>1670</v>
      </c>
      <c r="J4" s="3843"/>
      <c r="K4" s="559" t="s">
        <v>1671</v>
      </c>
      <c r="L4" s="2714"/>
      <c r="M4" s="2715"/>
      <c r="N4" s="2715"/>
      <c r="O4" s="2715"/>
      <c r="P4" s="3876" t="s">
        <v>1672</v>
      </c>
      <c r="Q4" s="3877"/>
      <c r="R4" s="3880" t="s">
        <v>1668</v>
      </c>
      <c r="S4" s="3881"/>
      <c r="T4" s="3880" t="s">
        <v>1669</v>
      </c>
      <c r="U4" s="3881"/>
      <c r="V4" s="3882" t="s">
        <v>1670</v>
      </c>
      <c r="W4" s="3882"/>
      <c r="X4" s="3455"/>
      <c r="Y4" s="3880" t="s">
        <v>1672</v>
      </c>
      <c r="Z4" s="3881"/>
      <c r="AA4" s="3890" t="s">
        <v>1668</v>
      </c>
      <c r="AB4" s="3890" t="s">
        <v>1669</v>
      </c>
      <c r="AC4" s="3873" t="s">
        <v>1670</v>
      </c>
    </row>
    <row r="5" spans="1:29" ht="14.1" customHeight="1">
      <c r="A5" s="358"/>
      <c r="B5" s="359"/>
      <c r="C5" s="3861" t="s">
        <v>1673</v>
      </c>
      <c r="D5" s="3862"/>
      <c r="E5" s="3885" t="s">
        <v>3633</v>
      </c>
      <c r="F5" s="3886"/>
      <c r="G5" s="3885" t="s">
        <v>3634</v>
      </c>
      <c r="H5" s="3886"/>
      <c r="I5" s="3888" t="s">
        <v>3635</v>
      </c>
      <c r="J5" s="3889"/>
      <c r="K5" s="559"/>
      <c r="L5" s="2714"/>
      <c r="M5" s="2715"/>
      <c r="N5" s="2715"/>
      <c r="O5" s="2715"/>
      <c r="P5" s="3878"/>
      <c r="Q5" s="3849"/>
      <c r="R5" s="3854"/>
      <c r="S5" s="3855"/>
      <c r="T5" s="3854"/>
      <c r="U5" s="3855"/>
      <c r="V5" s="3858"/>
      <c r="W5" s="3858"/>
      <c r="X5" s="3450"/>
      <c r="Y5" s="3854"/>
      <c r="Z5" s="3855"/>
      <c r="AA5" s="3840"/>
      <c r="AB5" s="3840"/>
      <c r="AC5" s="3874"/>
    </row>
    <row r="6" spans="1:29" ht="15.75" thickBot="1">
      <c r="A6" s="360"/>
      <c r="B6" s="361"/>
      <c r="C6" s="3859" t="s">
        <v>1677</v>
      </c>
      <c r="D6" s="3860"/>
      <c r="E6" s="3883"/>
      <c r="F6" s="3884"/>
      <c r="G6" s="3883"/>
      <c r="H6" s="3884"/>
      <c r="I6" s="3883"/>
      <c r="J6" s="3884"/>
      <c r="K6" s="559" t="s">
        <v>1678</v>
      </c>
      <c r="L6" s="2714"/>
      <c r="M6" s="2715"/>
      <c r="N6" s="2715"/>
      <c r="O6" s="2715"/>
      <c r="P6" s="3879"/>
      <c r="Q6" s="3851"/>
      <c r="R6" s="3854"/>
      <c r="S6" s="3855"/>
      <c r="T6" s="3856"/>
      <c r="U6" s="3857"/>
      <c r="V6" s="3858"/>
      <c r="W6" s="3858"/>
      <c r="X6" s="3450"/>
      <c r="Y6" s="3856"/>
      <c r="Z6" s="3857"/>
      <c r="AA6" s="3841"/>
      <c r="AB6" s="3841"/>
      <c r="AC6" s="3875"/>
    </row>
    <row r="7" spans="1:29" s="108" customFormat="1" ht="15.75" thickBot="1">
      <c r="A7" s="362" t="s">
        <v>1679</v>
      </c>
      <c r="B7" s="363"/>
      <c r="C7" s="364">
        <f>'数据-取费表'!B2</f>
        <v>45291</v>
      </c>
      <c r="D7" s="365">
        <v>100</v>
      </c>
      <c r="E7" s="366">
        <f>C7</f>
        <v>45291</v>
      </c>
      <c r="F7" s="367">
        <f>SUMIF(59:59,YEAR(E7)&amp;"-"&amp;MONTH(E7),60:60)</f>
        <v>100</v>
      </c>
      <c r="G7" s="366">
        <f>C7</f>
        <v>45291</v>
      </c>
      <c r="H7" s="365">
        <f>SUMIF(59:59,YEAR(G7)&amp;"-"&amp;MONTH(G7),60:60)</f>
        <v>100</v>
      </c>
      <c r="I7" s="366">
        <f>C7</f>
        <v>45291</v>
      </c>
      <c r="J7" s="365">
        <f>SUMIF(59:59,YEAR(I7)&amp;"-"&amp;MONTH(I7),60:60)</f>
        <v>100</v>
      </c>
      <c r="K7" s="560"/>
      <c r="L7" s="2716"/>
      <c r="M7" s="2717"/>
      <c r="N7" s="2717"/>
      <c r="O7" s="2717"/>
      <c r="P7" s="3887" t="s">
        <v>1680</v>
      </c>
      <c r="Q7" s="3865"/>
      <c r="R7" s="700" t="s">
        <v>14</v>
      </c>
      <c r="S7" s="701">
        <f t="shared" ref="S7:S15" si="0">F7</f>
        <v>100</v>
      </c>
      <c r="T7" s="700" t="s">
        <v>14</v>
      </c>
      <c r="U7" s="701">
        <f t="shared" ref="U7:U15" si="1">H7</f>
        <v>100</v>
      </c>
      <c r="V7" s="700" t="s">
        <v>14</v>
      </c>
      <c r="W7" s="701">
        <f t="shared" ref="W7:W15" si="2">J7</f>
        <v>100</v>
      </c>
      <c r="X7" s="702"/>
      <c r="Y7" s="3863" t="s">
        <v>1680</v>
      </c>
      <c r="Z7" s="3864"/>
      <c r="AA7" s="703">
        <f>D7/F7</f>
        <v>1</v>
      </c>
      <c r="AB7" s="703">
        <f>D7/H7</f>
        <v>1</v>
      </c>
      <c r="AC7" s="1958">
        <f>D7/J7</f>
        <v>1</v>
      </c>
    </row>
    <row r="8" spans="1:29" s="108" customFormat="1" ht="15.75" thickBot="1">
      <c r="A8" s="362" t="s">
        <v>1681</v>
      </c>
      <c r="B8" s="363"/>
      <c r="C8" s="368" t="s">
        <v>3572</v>
      </c>
      <c r="D8" s="365">
        <v>100</v>
      </c>
      <c r="E8" s="368" t="s">
        <v>3572</v>
      </c>
      <c r="F8" s="367">
        <f>SUMIF(62:62,E8,63:63)-SUMIF(62:62,C8,63:63)+100</f>
        <v>100</v>
      </c>
      <c r="G8" s="368" t="s">
        <v>3572</v>
      </c>
      <c r="H8" s="365">
        <f>SUMIF(62:62,G8,63:63)-SUMIF(62:62,C8,63:63)+100</f>
        <v>100</v>
      </c>
      <c r="I8" s="368" t="s">
        <v>3572</v>
      </c>
      <c r="J8" s="365">
        <f>SUMIF(62:62,I8,63:63)-SUMIF(62:62,C8,63:63)+100</f>
        <v>100</v>
      </c>
      <c r="K8" s="560"/>
      <c r="L8" s="2716"/>
      <c r="M8" s="2717"/>
      <c r="N8" s="2717"/>
      <c r="O8" s="2717"/>
      <c r="P8" s="3887" t="s">
        <v>1683</v>
      </c>
      <c r="Q8" s="3864"/>
      <c r="R8" s="700" t="s">
        <v>14</v>
      </c>
      <c r="S8" s="701">
        <f t="shared" si="0"/>
        <v>100</v>
      </c>
      <c r="T8" s="700" t="s">
        <v>14</v>
      </c>
      <c r="U8" s="701">
        <f t="shared" si="1"/>
        <v>100</v>
      </c>
      <c r="V8" s="700" t="s">
        <v>14</v>
      </c>
      <c r="W8" s="701">
        <f t="shared" si="2"/>
        <v>100</v>
      </c>
      <c r="X8" s="702"/>
      <c r="Y8" s="3863" t="s">
        <v>1683</v>
      </c>
      <c r="Z8" s="3864"/>
      <c r="AA8" s="703">
        <f t="shared" ref="AA8:AA47" si="3">D8/F8</f>
        <v>1</v>
      </c>
      <c r="AB8" s="703">
        <f t="shared" ref="AB8:AB47" si="4">D8/H8</f>
        <v>1</v>
      </c>
      <c r="AC8" s="1958">
        <f t="shared" ref="AC8:AC47" si="5">D8/J8</f>
        <v>1</v>
      </c>
    </row>
    <row r="9" spans="1:29" s="108" customFormat="1" ht="15">
      <c r="A9" s="369" t="s">
        <v>1684</v>
      </c>
      <c r="B9" s="3977" t="s">
        <v>1685</v>
      </c>
      <c r="C9" s="3978" t="s">
        <v>3573</v>
      </c>
      <c r="D9" s="3979">
        <v>100</v>
      </c>
      <c r="E9" s="3980" t="s">
        <v>21</v>
      </c>
      <c r="F9" s="3979">
        <f>SUMIF(64:64,E9,65:65)-SUMIF(64:64,C9,65:65)+100</f>
        <v>97</v>
      </c>
      <c r="G9" s="3980" t="s">
        <v>21</v>
      </c>
      <c r="H9" s="3979">
        <f>SUMIF(64:64,G9,65:65)-SUMIF(64:64,C9,65:65)+100</f>
        <v>97</v>
      </c>
      <c r="I9" s="3980" t="s">
        <v>21</v>
      </c>
      <c r="J9" s="3979">
        <f>SUMIF(64:64,I9,65:65)-SUMIF(64:64,C9,65:65)+100</f>
        <v>97</v>
      </c>
      <c r="K9" s="560"/>
      <c r="L9" s="2716"/>
      <c r="M9" s="2717"/>
      <c r="N9" s="2717"/>
      <c r="O9" s="2717"/>
      <c r="P9" s="3838" t="s">
        <v>1686</v>
      </c>
      <c r="Q9" s="3449" t="str">
        <f t="shared" ref="Q9:Q15" si="6">B9</f>
        <v>用途</v>
      </c>
      <c r="R9" s="700" t="s">
        <v>14</v>
      </c>
      <c r="S9" s="701">
        <f t="shared" si="0"/>
        <v>97</v>
      </c>
      <c r="T9" s="700" t="s">
        <v>14</v>
      </c>
      <c r="U9" s="701">
        <f t="shared" si="1"/>
        <v>97</v>
      </c>
      <c r="V9" s="700" t="s">
        <v>14</v>
      </c>
      <c r="W9" s="701">
        <f t="shared" si="2"/>
        <v>97</v>
      </c>
      <c r="X9" s="702"/>
      <c r="Y9" s="3702" t="s">
        <v>1687</v>
      </c>
      <c r="Z9" s="3448" t="str">
        <f t="shared" ref="Z9:Z15" si="7">Q9</f>
        <v>用途</v>
      </c>
      <c r="AA9" s="703">
        <f t="shared" si="3"/>
        <v>1.0309278350515463</v>
      </c>
      <c r="AB9" s="703">
        <f t="shared" si="4"/>
        <v>1.0309278350515463</v>
      </c>
      <c r="AC9" s="1958">
        <f t="shared" si="5"/>
        <v>1.0309278350515463</v>
      </c>
    </row>
    <row r="10" spans="1:29" s="378" customFormat="1" ht="27">
      <c r="A10" s="374"/>
      <c r="B10" s="3981" t="s">
        <v>1688</v>
      </c>
      <c r="C10" s="3982" t="s">
        <v>3621</v>
      </c>
      <c r="D10" s="3983">
        <v>100</v>
      </c>
      <c r="E10" s="3982" t="s">
        <v>3636</v>
      </c>
      <c r="F10" s="3983">
        <f>SUMIF(66:66,E10,67:67)-SUMIF(66:66,C10,67:67)+100</f>
        <v>100</v>
      </c>
      <c r="G10" s="3982" t="s">
        <v>3627</v>
      </c>
      <c r="H10" s="3983">
        <f>SUMIF(66:66,G10,67:67)-SUMIF(66:66,C10,67:67)+100</f>
        <v>100</v>
      </c>
      <c r="I10" s="3982" t="str">
        <f>E10</f>
        <v>30-40（年）</v>
      </c>
      <c r="J10" s="3983">
        <f>SUMIF(66:66,I10,67:67)-SUMIF(66:66,C10,67:67)+100</f>
        <v>100</v>
      </c>
      <c r="K10" s="560"/>
      <c r="L10" s="2718"/>
      <c r="M10" s="2719"/>
      <c r="N10" s="2719"/>
      <c r="O10" s="2719"/>
      <c r="P10" s="3838"/>
      <c r="Q10" s="3449" t="str">
        <f t="shared" si="6"/>
        <v>土地使用年限（年）</v>
      </c>
      <c r="R10" s="700" t="s">
        <v>14</v>
      </c>
      <c r="S10" s="701">
        <f t="shared" si="0"/>
        <v>100</v>
      </c>
      <c r="T10" s="700" t="s">
        <v>14</v>
      </c>
      <c r="U10" s="701">
        <f t="shared" si="1"/>
        <v>100</v>
      </c>
      <c r="V10" s="700" t="s">
        <v>14</v>
      </c>
      <c r="W10" s="701">
        <f t="shared" si="2"/>
        <v>100</v>
      </c>
      <c r="X10" s="702"/>
      <c r="Y10" s="3702"/>
      <c r="Z10" s="3448"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8"/>
      <c r="Q11" s="3449" t="str">
        <f t="shared" si="6"/>
        <v>容积率</v>
      </c>
      <c r="R11" s="700" t="s">
        <v>14</v>
      </c>
      <c r="S11" s="701">
        <f t="shared" si="0"/>
        <v>100</v>
      </c>
      <c r="T11" s="700" t="s">
        <v>14</v>
      </c>
      <c r="U11" s="701">
        <f t="shared" si="1"/>
        <v>100</v>
      </c>
      <c r="V11" s="700" t="s">
        <v>14</v>
      </c>
      <c r="W11" s="701">
        <f t="shared" si="2"/>
        <v>100</v>
      </c>
      <c r="X11" s="702"/>
      <c r="Y11" s="3702"/>
      <c r="Z11" s="3448"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8"/>
      <c r="Q12" s="3449">
        <f t="shared" si="6"/>
        <v>111</v>
      </c>
      <c r="R12" s="700" t="s">
        <v>14</v>
      </c>
      <c r="S12" s="701">
        <f t="shared" si="0"/>
        <v>100</v>
      </c>
      <c r="T12" s="700" t="s">
        <v>14</v>
      </c>
      <c r="U12" s="701">
        <f t="shared" si="1"/>
        <v>100</v>
      </c>
      <c r="V12" s="700" t="s">
        <v>14</v>
      </c>
      <c r="W12" s="701">
        <f t="shared" si="2"/>
        <v>100</v>
      </c>
      <c r="X12" s="702"/>
      <c r="Y12" s="3702"/>
      <c r="Z12" s="3448">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8"/>
      <c r="Q13" s="3449">
        <f t="shared" si="6"/>
        <v>111</v>
      </c>
      <c r="R13" s="700" t="s">
        <v>14</v>
      </c>
      <c r="S13" s="701">
        <f t="shared" si="0"/>
        <v>100</v>
      </c>
      <c r="T13" s="700" t="s">
        <v>14</v>
      </c>
      <c r="U13" s="701">
        <f t="shared" si="1"/>
        <v>100</v>
      </c>
      <c r="V13" s="700" t="s">
        <v>14</v>
      </c>
      <c r="W13" s="701">
        <f t="shared" si="2"/>
        <v>100</v>
      </c>
      <c r="X13" s="702"/>
      <c r="Y13" s="3702"/>
      <c r="Z13" s="3448">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8"/>
      <c r="Q14" s="3449">
        <f t="shared" si="6"/>
        <v>111</v>
      </c>
      <c r="R14" s="700" t="s">
        <v>14</v>
      </c>
      <c r="S14" s="701">
        <f t="shared" si="0"/>
        <v>100</v>
      </c>
      <c r="T14" s="700" t="s">
        <v>14</v>
      </c>
      <c r="U14" s="701">
        <f t="shared" si="1"/>
        <v>100</v>
      </c>
      <c r="V14" s="700" t="s">
        <v>14</v>
      </c>
      <c r="W14" s="701">
        <f t="shared" si="2"/>
        <v>100</v>
      </c>
      <c r="X14" s="702"/>
      <c r="Y14" s="3702"/>
      <c r="Z14" s="3448">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3"/>
      <c r="F15" s="392">
        <f>SUMIF(77:77,E16,78:78)-SUMIF(77:77,C16,78:78)+100</f>
        <v>100</v>
      </c>
      <c r="G15" s="393"/>
      <c r="H15" s="392">
        <f>SUMIF(77:77,G16,78:78)-SUMIF(77:77,C16,78:78)+100</f>
        <v>100</v>
      </c>
      <c r="I15" s="393"/>
      <c r="J15" s="392">
        <f>SUMIF(77:77,I16,78:78)-SUMIF(77:77,C16,78:78)+100</f>
        <v>100</v>
      </c>
      <c r="K15" s="563">
        <v>2</v>
      </c>
      <c r="L15" s="2721"/>
      <c r="M15" s="2715"/>
      <c r="N15" s="2715"/>
      <c r="O15" s="2715"/>
      <c r="P15" s="3836" t="s">
        <v>1691</v>
      </c>
      <c r="Q15" s="3453" t="str">
        <f t="shared" si="6"/>
        <v>办公集聚程度</v>
      </c>
      <c r="R15" s="704" t="s">
        <v>14</v>
      </c>
      <c r="S15" s="705">
        <f t="shared" si="0"/>
        <v>100</v>
      </c>
      <c r="T15" s="704" t="s">
        <v>14</v>
      </c>
      <c r="U15" s="705">
        <f t="shared" si="1"/>
        <v>100</v>
      </c>
      <c r="V15" s="704" t="s">
        <v>14</v>
      </c>
      <c r="W15" s="705">
        <f t="shared" si="2"/>
        <v>100</v>
      </c>
      <c r="X15" s="3450"/>
      <c r="Y15" s="3829" t="s">
        <v>1691</v>
      </c>
      <c r="Z15" s="3451" t="str">
        <f t="shared" si="7"/>
        <v>办公集聚程度</v>
      </c>
      <c r="AA15" s="3454">
        <f t="shared" si="3"/>
        <v>1</v>
      </c>
      <c r="AB15" s="3454">
        <f t="shared" si="4"/>
        <v>1</v>
      </c>
      <c r="AC15" s="1961">
        <f t="shared" si="5"/>
        <v>1</v>
      </c>
    </row>
    <row r="16" spans="1:29" ht="15">
      <c r="A16" s="379"/>
      <c r="B16" s="578"/>
      <c r="C16" s="1903" t="s">
        <v>3574</v>
      </c>
      <c r="D16" s="399"/>
      <c r="E16" s="1903" t="s">
        <v>3574</v>
      </c>
      <c r="F16" s="399"/>
      <c r="G16" s="1903" t="s">
        <v>3574</v>
      </c>
      <c r="H16" s="401"/>
      <c r="I16" s="1903" t="s">
        <v>3574</v>
      </c>
      <c r="J16" s="399"/>
      <c r="K16" s="564"/>
      <c r="L16" s="2721"/>
      <c r="M16" s="2715"/>
      <c r="N16" s="2715"/>
      <c r="O16" s="2715"/>
      <c r="P16" s="3837"/>
      <c r="Q16" s="3453"/>
      <c r="R16" s="704"/>
      <c r="S16" s="705"/>
      <c r="T16" s="704"/>
      <c r="U16" s="705"/>
      <c r="V16" s="704"/>
      <c r="W16" s="705"/>
      <c r="X16" s="3450"/>
      <c r="Y16" s="3830"/>
      <c r="Z16" s="3451"/>
      <c r="AA16" s="3454">
        <v>1</v>
      </c>
      <c r="AB16" s="3454">
        <v>1</v>
      </c>
      <c r="AC16" s="1961">
        <v>1</v>
      </c>
    </row>
    <row r="17" spans="1:29" ht="71.25">
      <c r="A17" s="379"/>
      <c r="B17" s="579" t="s">
        <v>1259</v>
      </c>
      <c r="C17" s="1962" t="str">
        <f>估价对象房地状况!C6</f>
        <v>估价对象周边道路状况、公共交通通达情况、停车便捷程度，综合评价交通便捷度较好</v>
      </c>
      <c r="D17" s="401">
        <v>100</v>
      </c>
      <c r="E17" s="403"/>
      <c r="F17" s="401">
        <f>SUMIF(79:79,E18,80:80)-SUMIF(79:79,C18,80:80)+100</f>
        <v>100</v>
      </c>
      <c r="G17" s="403"/>
      <c r="H17" s="406">
        <f>SUMIF(79:79,G18,80:80)-SUMIF(79:79,C18,80:80)+100</f>
        <v>100</v>
      </c>
      <c r="I17" s="403"/>
      <c r="J17" s="406">
        <f>SUMIF(79:79,I18,80:80)-SUMIF(79:79,C18,80:80)+100</f>
        <v>100</v>
      </c>
      <c r="K17" s="563">
        <v>2</v>
      </c>
      <c r="L17" s="2721"/>
      <c r="M17" s="2715"/>
      <c r="N17" s="2715"/>
      <c r="O17" s="2715"/>
      <c r="P17" s="3837"/>
      <c r="Q17" s="3453" t="str">
        <f>B17</f>
        <v>交通便捷度</v>
      </c>
      <c r="R17" s="704" t="s">
        <v>14</v>
      </c>
      <c r="S17" s="705">
        <f>F17</f>
        <v>100</v>
      </c>
      <c r="T17" s="704" t="s">
        <v>14</v>
      </c>
      <c r="U17" s="705">
        <f>H17</f>
        <v>100</v>
      </c>
      <c r="V17" s="704" t="s">
        <v>14</v>
      </c>
      <c r="W17" s="705">
        <f>J17</f>
        <v>100</v>
      </c>
      <c r="X17" s="3450"/>
      <c r="Y17" s="3830"/>
      <c r="Z17" s="3451" t="str">
        <f>Q17</f>
        <v>交通便捷度</v>
      </c>
      <c r="AA17" s="3454">
        <f t="shared" si="3"/>
        <v>1</v>
      </c>
      <c r="AB17" s="3454">
        <f t="shared" si="4"/>
        <v>1</v>
      </c>
      <c r="AC17" s="1961">
        <f t="shared" si="5"/>
        <v>1</v>
      </c>
    </row>
    <row r="18" spans="1:29" ht="15">
      <c r="A18" s="379"/>
      <c r="B18" s="580"/>
      <c r="C18" s="1903" t="s">
        <v>3574</v>
      </c>
      <c r="D18" s="401"/>
      <c r="E18" s="1902" t="s">
        <v>3574</v>
      </c>
      <c r="F18" s="401"/>
      <c r="G18" s="1902" t="s">
        <v>3574</v>
      </c>
      <c r="H18" s="399"/>
      <c r="I18" s="1902" t="s">
        <v>3574</v>
      </c>
      <c r="J18" s="399"/>
      <c r="K18" s="564"/>
      <c r="L18" s="2721"/>
      <c r="M18" s="2715"/>
      <c r="N18" s="2715"/>
      <c r="O18" s="2715"/>
      <c r="P18" s="3837"/>
      <c r="Q18" s="3453"/>
      <c r="R18" s="704"/>
      <c r="S18" s="705"/>
      <c r="T18" s="704"/>
      <c r="U18" s="705"/>
      <c r="V18" s="704"/>
      <c r="W18" s="705"/>
      <c r="X18" s="3450"/>
      <c r="Y18" s="3830"/>
      <c r="Z18" s="3451"/>
      <c r="AA18" s="3454">
        <v>1</v>
      </c>
      <c r="AB18" s="3454">
        <v>1</v>
      </c>
      <c r="AC18" s="1961">
        <v>1</v>
      </c>
    </row>
    <row r="19" spans="1:29" ht="42.75">
      <c r="A19" s="379"/>
      <c r="B19" s="579" t="s">
        <v>1812</v>
      </c>
      <c r="C19" s="1962" t="str">
        <f>估价对象房地状况!C7</f>
        <v>估价对象所在区域公共配套设施齐备情况</v>
      </c>
      <c r="D19" s="406">
        <v>100</v>
      </c>
      <c r="E19" s="408"/>
      <c r="F19" s="406">
        <f>SUMIF(81:81,E20,82:82)-SUMIF(81:81,C20,82:82)+100</f>
        <v>100</v>
      </c>
      <c r="G19" s="408"/>
      <c r="H19" s="401">
        <f>SUMIF(81:81,G20,82:82)-SUMIF(81:81,C20,82:82)+100</f>
        <v>100</v>
      </c>
      <c r="I19" s="408"/>
      <c r="J19" s="401">
        <f>SUMIF(81:81,I20,82:82)-SUMIF(81:81,C20,82:82)+100</f>
        <v>100</v>
      </c>
      <c r="K19" s="563">
        <v>2</v>
      </c>
      <c r="L19" s="2721"/>
      <c r="M19" s="2715"/>
      <c r="N19" s="2715"/>
      <c r="O19" s="2715"/>
      <c r="P19" s="3837"/>
      <c r="Q19" s="3453" t="str">
        <f>B19</f>
        <v>公共配套设施</v>
      </c>
      <c r="R19" s="704" t="s">
        <v>14</v>
      </c>
      <c r="S19" s="705">
        <f>F19</f>
        <v>100</v>
      </c>
      <c r="T19" s="704" t="s">
        <v>14</v>
      </c>
      <c r="U19" s="705">
        <f>H19</f>
        <v>100</v>
      </c>
      <c r="V19" s="704" t="s">
        <v>14</v>
      </c>
      <c r="W19" s="705">
        <f>J19</f>
        <v>100</v>
      </c>
      <c r="X19" s="3450"/>
      <c r="Y19" s="3830"/>
      <c r="Z19" s="3451" t="str">
        <f>Q19</f>
        <v>公共配套设施</v>
      </c>
      <c r="AA19" s="3454">
        <f t="shared" si="3"/>
        <v>1</v>
      </c>
      <c r="AB19" s="3454">
        <f t="shared" si="4"/>
        <v>1</v>
      </c>
      <c r="AC19" s="1961">
        <f t="shared" si="5"/>
        <v>1</v>
      </c>
    </row>
    <row r="20" spans="1:29" ht="15">
      <c r="A20" s="379"/>
      <c r="B20" s="580"/>
      <c r="C20" s="1903" t="s">
        <v>3574</v>
      </c>
      <c r="D20" s="399"/>
      <c r="E20" s="1897" t="s">
        <v>3574</v>
      </c>
      <c r="F20" s="399"/>
      <c r="G20" s="1897" t="s">
        <v>3574</v>
      </c>
      <c r="H20" s="399"/>
      <c r="I20" s="1897" t="s">
        <v>3574</v>
      </c>
      <c r="J20" s="399"/>
      <c r="K20" s="564"/>
      <c r="L20" s="2721"/>
      <c r="M20" s="2715"/>
      <c r="N20" s="2715"/>
      <c r="O20" s="2715"/>
      <c r="P20" s="3837"/>
      <c r="Q20" s="3453"/>
      <c r="R20" s="704"/>
      <c r="S20" s="705"/>
      <c r="T20" s="704"/>
      <c r="U20" s="705"/>
      <c r="V20" s="704"/>
      <c r="W20" s="705"/>
      <c r="X20" s="3450"/>
      <c r="Y20" s="3830"/>
      <c r="Z20" s="3451"/>
      <c r="AA20" s="3454">
        <v>1</v>
      </c>
      <c r="AB20" s="3454">
        <v>1</v>
      </c>
      <c r="AC20" s="1961">
        <v>1</v>
      </c>
    </row>
    <row r="21" spans="1:29" ht="28.5">
      <c r="A21" s="379"/>
      <c r="B21" s="581" t="s">
        <v>1813</v>
      </c>
      <c r="C21" s="1962" t="str">
        <f>估价对象房地状况!C8</f>
        <v>估价对象所在区域基础设施水平</v>
      </c>
      <c r="D21" s="401">
        <v>100</v>
      </c>
      <c r="E21" s="408"/>
      <c r="F21" s="406">
        <f>SUMIF(83:83,E22,84:84)-SUMIF(83:83,C22,84:84)+100</f>
        <v>100</v>
      </c>
      <c r="G21" s="408"/>
      <c r="H21" s="401">
        <f>SUMIF(83:83,G22,84:84)-SUMIF(83:83,C22,84:84)+100</f>
        <v>100</v>
      </c>
      <c r="I21" s="408"/>
      <c r="J21" s="401">
        <f>SUMIF(83:83,I22,84:84)-SUMIF(83:83,C22,84:84)+100</f>
        <v>100</v>
      </c>
      <c r="K21" s="563">
        <v>2</v>
      </c>
      <c r="L21" s="2721"/>
      <c r="M21" s="2715"/>
      <c r="N21" s="2715"/>
      <c r="O21" s="2715"/>
      <c r="P21" s="3837"/>
      <c r="Q21" s="3453" t="str">
        <f>B21</f>
        <v>基础设施水平</v>
      </c>
      <c r="R21" s="704" t="s">
        <v>14</v>
      </c>
      <c r="S21" s="705">
        <f>F21</f>
        <v>100</v>
      </c>
      <c r="T21" s="704" t="s">
        <v>14</v>
      </c>
      <c r="U21" s="705">
        <f>H21</f>
        <v>100</v>
      </c>
      <c r="V21" s="704" t="s">
        <v>14</v>
      </c>
      <c r="W21" s="705">
        <f>J21</f>
        <v>100</v>
      </c>
      <c r="X21" s="3450"/>
      <c r="Y21" s="3830"/>
      <c r="Z21" s="3451" t="str">
        <f>Q21</f>
        <v>基础设施水平</v>
      </c>
      <c r="AA21" s="3454">
        <f t="shared" ref="AA21" si="8">D21/F21</f>
        <v>1</v>
      </c>
      <c r="AB21" s="3454">
        <f t="shared" ref="AB21" si="9">D21/H21</f>
        <v>1</v>
      </c>
      <c r="AC21" s="1961">
        <f t="shared" ref="AC21" si="10">D21/J21</f>
        <v>1</v>
      </c>
    </row>
    <row r="22" spans="1:29" ht="15">
      <c r="A22" s="379"/>
      <c r="B22" s="581"/>
      <c r="C22" s="1963" t="s">
        <v>3575</v>
      </c>
      <c r="D22" s="399"/>
      <c r="E22" s="1903" t="s">
        <v>3575</v>
      </c>
      <c r="F22" s="399"/>
      <c r="G22" s="1903" t="s">
        <v>3575</v>
      </c>
      <c r="H22" s="399"/>
      <c r="I22" s="1903" t="s">
        <v>3575</v>
      </c>
      <c r="J22" s="399"/>
      <c r="K22" s="1129"/>
      <c r="L22" s="2721"/>
      <c r="M22" s="2715"/>
      <c r="N22" s="2715"/>
      <c r="O22" s="2715"/>
      <c r="P22" s="3837"/>
      <c r="Q22" s="3453"/>
      <c r="R22" s="704"/>
      <c r="S22" s="705"/>
      <c r="T22" s="704"/>
      <c r="U22" s="705"/>
      <c r="V22" s="704"/>
      <c r="W22" s="705"/>
      <c r="X22" s="3450"/>
      <c r="Y22" s="3830"/>
      <c r="Z22" s="3451"/>
      <c r="AA22" s="3454">
        <v>1</v>
      </c>
      <c r="AB22" s="3454">
        <v>1</v>
      </c>
      <c r="AC22" s="1961">
        <v>1</v>
      </c>
    </row>
    <row r="23" spans="1:29" ht="42.75">
      <c r="A23" s="379"/>
      <c r="B23" s="579" t="s">
        <v>1814</v>
      </c>
      <c r="C23" s="1962" t="str">
        <f>估价对象房地状况!C9</f>
        <v>区域自然环境：；人文环境；综合评价环境状况一般</v>
      </c>
      <c r="D23" s="401">
        <v>100</v>
      </c>
      <c r="E23" s="403"/>
      <c r="F23" s="401">
        <f>SUMIF(85:85,E24,86:86)-SUMIF(85:85,C24,86:86)+100</f>
        <v>100</v>
      </c>
      <c r="G23" s="403"/>
      <c r="H23" s="401">
        <f>SUMIF(85:85,G24,86:86)-SUMIF(85:85,C24,86:86)+100</f>
        <v>100</v>
      </c>
      <c r="I23" s="403"/>
      <c r="J23" s="401">
        <f>SUMIF(85:85,I24,86:86)-SUMIF(85:85,C24,86:86)+100</f>
        <v>100</v>
      </c>
      <c r="K23" s="563">
        <v>2</v>
      </c>
      <c r="L23" s="2721"/>
      <c r="M23" s="2715"/>
      <c r="N23" s="2715"/>
      <c r="O23" s="2715"/>
      <c r="P23" s="3837"/>
      <c r="Q23" s="3453" t="str">
        <f>B23</f>
        <v>环境质量</v>
      </c>
      <c r="R23" s="704" t="s">
        <v>14</v>
      </c>
      <c r="S23" s="705">
        <f>F23</f>
        <v>100</v>
      </c>
      <c r="T23" s="704" t="s">
        <v>14</v>
      </c>
      <c r="U23" s="705">
        <f>H23</f>
        <v>100</v>
      </c>
      <c r="V23" s="704" t="s">
        <v>14</v>
      </c>
      <c r="W23" s="705">
        <f>J23</f>
        <v>100</v>
      </c>
      <c r="X23" s="3450"/>
      <c r="Y23" s="3830"/>
      <c r="Z23" s="3451" t="str">
        <f>Q23</f>
        <v>环境质量</v>
      </c>
      <c r="AA23" s="3454">
        <f t="shared" si="3"/>
        <v>1</v>
      </c>
      <c r="AB23" s="3454">
        <f t="shared" si="4"/>
        <v>1</v>
      </c>
      <c r="AC23" s="1961">
        <f t="shared" si="5"/>
        <v>1</v>
      </c>
    </row>
    <row r="24" spans="1:29" ht="15">
      <c r="A24" s="379"/>
      <c r="B24" s="581"/>
      <c r="C24" s="1903" t="s">
        <v>3574</v>
      </c>
      <c r="D24" s="399"/>
      <c r="E24" s="1897" t="s">
        <v>3574</v>
      </c>
      <c r="F24" s="399"/>
      <c r="G24" s="1897" t="s">
        <v>3574</v>
      </c>
      <c r="H24" s="399"/>
      <c r="I24" s="1897" t="s">
        <v>3574</v>
      </c>
      <c r="J24" s="399"/>
      <c r="K24" s="564"/>
      <c r="L24" s="2721"/>
      <c r="M24" s="2715"/>
      <c r="N24" s="2715"/>
      <c r="O24" s="2715"/>
      <c r="P24" s="3837"/>
      <c r="Q24" s="3453"/>
      <c r="R24" s="704"/>
      <c r="S24" s="705"/>
      <c r="T24" s="704"/>
      <c r="U24" s="705"/>
      <c r="V24" s="704"/>
      <c r="W24" s="705"/>
      <c r="X24" s="3450"/>
      <c r="Y24" s="3830"/>
      <c r="Z24" s="3451"/>
      <c r="AA24" s="3454">
        <v>1</v>
      </c>
      <c r="AB24" s="3454">
        <v>1</v>
      </c>
      <c r="AC24" s="1961">
        <v>1</v>
      </c>
    </row>
    <row r="25" spans="1:29" ht="28.5">
      <c r="A25" s="358"/>
      <c r="B25" s="579" t="s">
        <v>1815</v>
      </c>
      <c r="C25" s="1907" t="s">
        <v>3576</v>
      </c>
      <c r="D25" s="386">
        <v>100</v>
      </c>
      <c r="E25" s="3606" t="s">
        <v>3638</v>
      </c>
      <c r="F25" s="386">
        <f>SUMIF(87:87,E26,88:88)-SUMIF(87:87,C26,88:88)+100</f>
        <v>101</v>
      </c>
      <c r="G25" s="3610" t="s">
        <v>3637</v>
      </c>
      <c r="H25" s="386">
        <f>SUMIF(87:87,G26,88:88)-SUMIF(87:87,C26,88:88)+100</f>
        <v>100</v>
      </c>
      <c r="I25" s="3984" t="s">
        <v>3642</v>
      </c>
      <c r="J25" s="386">
        <f>SUMIF(87:87,I26,88:88)-SUMIF(87:87,C26,88:88)+100</f>
        <v>102</v>
      </c>
      <c r="K25" s="563">
        <v>1</v>
      </c>
      <c r="L25" s="2721"/>
      <c r="M25" s="2715"/>
      <c r="N25" s="2715"/>
      <c r="O25" s="2715"/>
      <c r="P25" s="3837"/>
      <c r="Q25" s="3453" t="str">
        <f>B25</f>
        <v>毗邻道路的类型与等级</v>
      </c>
      <c r="R25" s="704" t="s">
        <v>14</v>
      </c>
      <c r="S25" s="705">
        <f>F25</f>
        <v>101</v>
      </c>
      <c r="T25" s="704" t="s">
        <v>14</v>
      </c>
      <c r="U25" s="705">
        <f>H25</f>
        <v>100</v>
      </c>
      <c r="V25" s="704" t="s">
        <v>14</v>
      </c>
      <c r="W25" s="705">
        <f>J25</f>
        <v>102</v>
      </c>
      <c r="X25" s="3450"/>
      <c r="Y25" s="3830"/>
      <c r="Z25" s="3451" t="str">
        <f>Q25</f>
        <v>毗邻道路的类型与等级</v>
      </c>
      <c r="AA25" s="3454">
        <f t="shared" si="3"/>
        <v>0.99009900990099009</v>
      </c>
      <c r="AB25" s="3454">
        <f t="shared" si="4"/>
        <v>1</v>
      </c>
      <c r="AC25" s="1961">
        <f t="shared" si="5"/>
        <v>0.98039215686274506</v>
      </c>
    </row>
    <row r="26" spans="1:29" ht="15">
      <c r="A26" s="358"/>
      <c r="B26" s="580"/>
      <c r="C26" s="582" t="s">
        <v>3580</v>
      </c>
      <c r="D26" s="386"/>
      <c r="E26" s="565" t="s">
        <v>3579</v>
      </c>
      <c r="F26" s="386"/>
      <c r="G26" s="582" t="s">
        <v>3580</v>
      </c>
      <c r="H26" s="386"/>
      <c r="I26" s="3985" t="s">
        <v>3578</v>
      </c>
      <c r="J26" s="386"/>
      <c r="K26" s="564"/>
      <c r="L26" s="2721"/>
      <c r="M26" s="2715"/>
      <c r="N26" s="2715"/>
      <c r="O26" s="2715"/>
      <c r="P26" s="3837"/>
      <c r="Q26" s="3453"/>
      <c r="R26" s="704"/>
      <c r="S26" s="705"/>
      <c r="T26" s="704"/>
      <c r="U26" s="705"/>
      <c r="V26" s="704"/>
      <c r="W26" s="705"/>
      <c r="X26" s="3450"/>
      <c r="Y26" s="3830"/>
      <c r="Z26" s="3451"/>
      <c r="AA26" s="3454">
        <v>1</v>
      </c>
      <c r="AB26" s="3454">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37"/>
      <c r="Q27" s="3453" t="str">
        <f t="shared" ref="Q27:Q47" si="11">B27</f>
        <v>楼层</v>
      </c>
      <c r="R27" s="704" t="s">
        <v>14</v>
      </c>
      <c r="S27" s="705">
        <f>F27</f>
        <v>100</v>
      </c>
      <c r="T27" s="704" t="s">
        <v>14</v>
      </c>
      <c r="U27" s="705">
        <f>H27</f>
        <v>100</v>
      </c>
      <c r="V27" s="704" t="s">
        <v>14</v>
      </c>
      <c r="W27" s="705">
        <f>J27</f>
        <v>100</v>
      </c>
      <c r="X27" s="3450"/>
      <c r="Y27" s="3830"/>
      <c r="Z27" s="3451" t="str">
        <f>Q27</f>
        <v>楼层</v>
      </c>
      <c r="AA27" s="3454">
        <f t="shared" si="3"/>
        <v>1</v>
      </c>
      <c r="AB27" s="3454">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37"/>
      <c r="Q28" s="3449" t="str">
        <f t="shared" si="11"/>
        <v>朝向</v>
      </c>
      <c r="R28" s="700" t="s">
        <v>14</v>
      </c>
      <c r="S28" s="701">
        <f>F28</f>
        <v>100</v>
      </c>
      <c r="T28" s="700" t="s">
        <v>14</v>
      </c>
      <c r="U28" s="701">
        <f>H28</f>
        <v>100</v>
      </c>
      <c r="V28" s="700" t="s">
        <v>14</v>
      </c>
      <c r="W28" s="701">
        <f>J28</f>
        <v>100</v>
      </c>
      <c r="X28" s="702"/>
      <c r="Y28" s="3830"/>
      <c r="Z28" s="3448" t="str">
        <f>Q28</f>
        <v>朝向</v>
      </c>
      <c r="AA28" s="3454">
        <f>D28/F28</f>
        <v>1</v>
      </c>
      <c r="AB28" s="3454">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37"/>
      <c r="Q29" s="3453">
        <f t="shared" si="11"/>
        <v>111</v>
      </c>
      <c r="R29" s="704" t="s">
        <v>14</v>
      </c>
      <c r="S29" s="705">
        <f t="shared" ref="S29:S47" si="12">F29</f>
        <v>100</v>
      </c>
      <c r="T29" s="704" t="s">
        <v>14</v>
      </c>
      <c r="U29" s="705">
        <f t="shared" ref="U29:U47" si="13">H29</f>
        <v>100</v>
      </c>
      <c r="V29" s="704" t="s">
        <v>14</v>
      </c>
      <c r="W29" s="705">
        <f t="shared" ref="W29:W47" si="14">J29</f>
        <v>100</v>
      </c>
      <c r="X29" s="3450"/>
      <c r="Y29" s="3830"/>
      <c r="Z29" s="3451">
        <f t="shared" ref="Z29:Z47" si="15">Q29</f>
        <v>111</v>
      </c>
      <c r="AA29" s="3454">
        <f t="shared" si="3"/>
        <v>1</v>
      </c>
      <c r="AB29" s="3454">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37"/>
      <c r="Q30" s="3453">
        <f t="shared" si="11"/>
        <v>111</v>
      </c>
      <c r="R30" s="704" t="s">
        <v>14</v>
      </c>
      <c r="S30" s="705">
        <f t="shared" si="12"/>
        <v>100</v>
      </c>
      <c r="T30" s="704" t="s">
        <v>14</v>
      </c>
      <c r="U30" s="705">
        <f t="shared" si="13"/>
        <v>100</v>
      </c>
      <c r="V30" s="704" t="s">
        <v>14</v>
      </c>
      <c r="W30" s="705">
        <f t="shared" si="14"/>
        <v>100</v>
      </c>
      <c r="X30" s="3450"/>
      <c r="Y30" s="3830"/>
      <c r="Z30" s="3451">
        <f t="shared" si="15"/>
        <v>111</v>
      </c>
      <c r="AA30" s="3454">
        <f t="shared" si="3"/>
        <v>1</v>
      </c>
      <c r="AB30" s="3454">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37"/>
      <c r="Q31" s="3453">
        <f t="shared" si="11"/>
        <v>111</v>
      </c>
      <c r="R31" s="704" t="s">
        <v>14</v>
      </c>
      <c r="S31" s="705">
        <f t="shared" si="12"/>
        <v>100</v>
      </c>
      <c r="T31" s="704" t="s">
        <v>14</v>
      </c>
      <c r="U31" s="705">
        <f t="shared" si="13"/>
        <v>100</v>
      </c>
      <c r="V31" s="704" t="s">
        <v>14</v>
      </c>
      <c r="W31" s="705">
        <f t="shared" si="14"/>
        <v>100</v>
      </c>
      <c r="X31" s="3450"/>
      <c r="Y31" s="3830"/>
      <c r="Z31" s="3451">
        <f t="shared" si="15"/>
        <v>111</v>
      </c>
      <c r="AA31" s="3454">
        <f t="shared" si="3"/>
        <v>1</v>
      </c>
      <c r="AB31" s="3454">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37"/>
      <c r="Q32" s="3453">
        <f t="shared" si="11"/>
        <v>111</v>
      </c>
      <c r="R32" s="704" t="s">
        <v>14</v>
      </c>
      <c r="S32" s="705">
        <f t="shared" si="12"/>
        <v>100</v>
      </c>
      <c r="T32" s="704" t="s">
        <v>14</v>
      </c>
      <c r="U32" s="705">
        <f t="shared" si="13"/>
        <v>100</v>
      </c>
      <c r="V32" s="704" t="s">
        <v>14</v>
      </c>
      <c r="W32" s="705">
        <f t="shared" si="14"/>
        <v>100</v>
      </c>
      <c r="X32" s="3450"/>
      <c r="Y32" s="3830"/>
      <c r="Z32" s="3451">
        <f t="shared" si="15"/>
        <v>111</v>
      </c>
      <c r="AA32" s="3454">
        <f t="shared" si="3"/>
        <v>1</v>
      </c>
      <c r="AB32" s="3454">
        <f t="shared" si="4"/>
        <v>1</v>
      </c>
      <c r="AC32" s="1961">
        <f t="shared" si="5"/>
        <v>1</v>
      </c>
    </row>
    <row r="33" spans="1:29" ht="15">
      <c r="A33" s="391" t="s">
        <v>1694</v>
      </c>
      <c r="B33" s="63" t="s">
        <v>1817</v>
      </c>
      <c r="C33" s="1909" t="s">
        <v>3601</v>
      </c>
      <c r="D33" s="418">
        <v>100</v>
      </c>
      <c r="E33" s="1966" t="s">
        <v>3625</v>
      </c>
      <c r="F33" s="412">
        <f>SUMIF(101:101,E33,102:102)-SUMIF(101:101,C33,102:102)+100</f>
        <v>101</v>
      </c>
      <c r="G33" s="1966" t="s">
        <v>3625</v>
      </c>
      <c r="H33" s="386">
        <f>SUMIF(101:101,G33,102:102)-SUMIF(101:101,C33,102:102)+100</f>
        <v>101</v>
      </c>
      <c r="I33" s="1966" t="s">
        <v>3625</v>
      </c>
      <c r="J33" s="418">
        <f>SUMIF(101:101,I33,102:102)-SUMIF(101:101,C33,102:102)+100</f>
        <v>101</v>
      </c>
      <c r="K33" s="561">
        <v>1</v>
      </c>
      <c r="L33" s="2721"/>
      <c r="M33" s="2715"/>
      <c r="N33" s="2715"/>
      <c r="O33" s="2715"/>
      <c r="P33" s="3831" t="s">
        <v>1696</v>
      </c>
      <c r="Q33" s="3453" t="str">
        <f t="shared" si="11"/>
        <v>建筑类型</v>
      </c>
      <c r="R33" s="704" t="s">
        <v>14</v>
      </c>
      <c r="S33" s="705">
        <f t="shared" si="12"/>
        <v>101</v>
      </c>
      <c r="T33" s="704" t="s">
        <v>14</v>
      </c>
      <c r="U33" s="705">
        <f t="shared" si="13"/>
        <v>101</v>
      </c>
      <c r="V33" s="704" t="s">
        <v>14</v>
      </c>
      <c r="W33" s="705">
        <f t="shared" si="14"/>
        <v>101</v>
      </c>
      <c r="X33" s="3450"/>
      <c r="Y33" s="3834" t="s">
        <v>1696</v>
      </c>
      <c r="Z33" s="3451" t="str">
        <f t="shared" si="15"/>
        <v>建筑类型</v>
      </c>
      <c r="AA33" s="3454">
        <f t="shared" si="3"/>
        <v>0.99009900990099009</v>
      </c>
      <c r="AB33" s="3454">
        <f t="shared" si="4"/>
        <v>0.99009900990099009</v>
      </c>
      <c r="AC33" s="1961">
        <f t="shared" si="5"/>
        <v>0.99009900990099009</v>
      </c>
    </row>
    <row r="34" spans="1:29" s="422" customFormat="1" ht="15">
      <c r="A34" s="419"/>
      <c r="B34" s="375" t="s">
        <v>1697</v>
      </c>
      <c r="C34" s="3986">
        <f>产权面积明细!F23</f>
        <v>5409</v>
      </c>
      <c r="D34" s="3983">
        <v>100</v>
      </c>
      <c r="E34" s="3987">
        <v>880</v>
      </c>
      <c r="F34" s="3988">
        <f>LOOKUP(E34,104:104,105:105)-LOOKUP(C34,104:104,105:105)+100</f>
        <v>100</v>
      </c>
      <c r="G34" s="3989">
        <v>2895</v>
      </c>
      <c r="H34" s="3983">
        <f>LOOKUP(G34,104:104,105:105)-LOOKUP(C34,104:104,105:105)+100</f>
        <v>100</v>
      </c>
      <c r="I34" s="3989">
        <v>1000</v>
      </c>
      <c r="J34" s="3983">
        <f>LOOKUP(I34,104:104,105:105)-LOOKUP(C34,104:104,105:105)+100</f>
        <v>100</v>
      </c>
      <c r="K34" s="562"/>
      <c r="L34" s="2720"/>
      <c r="M34" s="2722"/>
      <c r="N34" s="2722"/>
      <c r="O34" s="2722"/>
      <c r="P34" s="3832"/>
      <c r="Q34" s="706" t="str">
        <f t="shared" si="11"/>
        <v>项目建筑规模</v>
      </c>
      <c r="R34" s="707" t="s">
        <v>14</v>
      </c>
      <c r="S34" s="708">
        <f t="shared" si="12"/>
        <v>100</v>
      </c>
      <c r="T34" s="707" t="s">
        <v>14</v>
      </c>
      <c r="U34" s="708">
        <f t="shared" si="13"/>
        <v>100</v>
      </c>
      <c r="V34" s="707" t="s">
        <v>14</v>
      </c>
      <c r="W34" s="708">
        <f t="shared" si="14"/>
        <v>100</v>
      </c>
      <c r="X34" s="709"/>
      <c r="Y34" s="3834"/>
      <c r="Z34" s="710" t="str">
        <f t="shared" si="15"/>
        <v>项目建筑规模</v>
      </c>
      <c r="AA34" s="3454">
        <f t="shared" si="3"/>
        <v>1</v>
      </c>
      <c r="AB34" s="3454">
        <f t="shared" si="4"/>
        <v>1</v>
      </c>
      <c r="AC34" s="1961">
        <f t="shared" si="5"/>
        <v>1</v>
      </c>
    </row>
    <row r="35" spans="1:29" ht="15">
      <c r="A35" s="423"/>
      <c r="B35" s="375" t="s">
        <v>1698</v>
      </c>
      <c r="C35" s="1911" t="s">
        <v>3587</v>
      </c>
      <c r="D35" s="386">
        <v>100</v>
      </c>
      <c r="E35" s="411" t="s">
        <v>3587</v>
      </c>
      <c r="F35" s="412">
        <f>SUMIF(106:106,E35,107:107)-SUMIF(106:106,C35,107:107)+100</f>
        <v>100</v>
      </c>
      <c r="G35" s="411" t="s">
        <v>3587</v>
      </c>
      <c r="H35" s="386">
        <f>SUMIF(106:106,G35,107:107)-SUMIF(106:106,C35,107:107)+100</f>
        <v>100</v>
      </c>
      <c r="I35" s="411" t="s">
        <v>3587</v>
      </c>
      <c r="J35" s="386">
        <f>SUMIF(106:106,I35,107:107)-SUMIF(106:106,C35,107:107)+100</f>
        <v>100</v>
      </c>
      <c r="K35" s="561"/>
      <c r="L35" s="2721"/>
      <c r="M35" s="2715"/>
      <c r="N35" s="2715"/>
      <c r="O35" s="2715"/>
      <c r="P35" s="3832"/>
      <c r="Q35" s="3453" t="str">
        <f t="shared" si="11"/>
        <v>建筑结构</v>
      </c>
      <c r="R35" s="704" t="s">
        <v>14</v>
      </c>
      <c r="S35" s="705">
        <f t="shared" si="12"/>
        <v>100</v>
      </c>
      <c r="T35" s="704" t="s">
        <v>14</v>
      </c>
      <c r="U35" s="705">
        <f t="shared" si="13"/>
        <v>100</v>
      </c>
      <c r="V35" s="704" t="s">
        <v>14</v>
      </c>
      <c r="W35" s="705">
        <f t="shared" si="14"/>
        <v>100</v>
      </c>
      <c r="X35" s="3450"/>
      <c r="Y35" s="3834"/>
      <c r="Z35" s="3451" t="str">
        <f t="shared" si="15"/>
        <v>建筑结构</v>
      </c>
      <c r="AA35" s="3454">
        <f t="shared" si="3"/>
        <v>1</v>
      </c>
      <c r="AB35" s="3454">
        <f t="shared" si="4"/>
        <v>1</v>
      </c>
      <c r="AC35" s="1961">
        <f t="shared" si="5"/>
        <v>1</v>
      </c>
    </row>
    <row r="36" spans="1:29" ht="15">
      <c r="A36" s="423"/>
      <c r="B36" s="375" t="s">
        <v>1785</v>
      </c>
      <c r="C36" s="1911" t="s">
        <v>3589</v>
      </c>
      <c r="D36" s="386">
        <v>100</v>
      </c>
      <c r="E36" s="411" t="s">
        <v>3589</v>
      </c>
      <c r="F36" s="412">
        <f>SUMIF(108:108,E36,109:109)-SUMIF(108:108,C36,109:109)+100</f>
        <v>100</v>
      </c>
      <c r="G36" s="411" t="s">
        <v>3589</v>
      </c>
      <c r="H36" s="386">
        <f>SUMIF(108:108,G36,109:109)-SUMIF(108:108,C36,109:109)+100</f>
        <v>100</v>
      </c>
      <c r="I36" s="411" t="s">
        <v>3589</v>
      </c>
      <c r="J36" s="386">
        <f>SUMIF(108:108,I36,109:109)-SUMIF(108:108,C36,109:109)+100</f>
        <v>100</v>
      </c>
      <c r="K36" s="561"/>
      <c r="L36" s="2721"/>
      <c r="M36" s="2715"/>
      <c r="N36" s="2715"/>
      <c r="O36" s="2715"/>
      <c r="P36" s="3832"/>
      <c r="Q36" s="3453" t="str">
        <f t="shared" si="11"/>
        <v>公共部分装修</v>
      </c>
      <c r="R36" s="704" t="s">
        <v>14</v>
      </c>
      <c r="S36" s="705">
        <f t="shared" si="12"/>
        <v>100</v>
      </c>
      <c r="T36" s="704" t="s">
        <v>14</v>
      </c>
      <c r="U36" s="705">
        <f t="shared" si="13"/>
        <v>100</v>
      </c>
      <c r="V36" s="704" t="s">
        <v>14</v>
      </c>
      <c r="W36" s="705">
        <f t="shared" si="14"/>
        <v>100</v>
      </c>
      <c r="X36" s="3450"/>
      <c r="Y36" s="3834"/>
      <c r="Z36" s="3451" t="str">
        <f t="shared" si="15"/>
        <v>公共部分装修</v>
      </c>
      <c r="AA36" s="3454">
        <f t="shared" si="3"/>
        <v>1</v>
      </c>
      <c r="AB36" s="3454">
        <f t="shared" si="4"/>
        <v>1</v>
      </c>
      <c r="AC36" s="1961">
        <f t="shared" si="5"/>
        <v>1</v>
      </c>
    </row>
    <row r="37" spans="1:29" ht="15">
      <c r="A37" s="423"/>
      <c r="B37" s="375" t="s">
        <v>1786</v>
      </c>
      <c r="C37" s="3595">
        <f>'收益预测(整体) '!D39</f>
        <v>0.86</v>
      </c>
      <c r="D37" s="386">
        <v>100</v>
      </c>
      <c r="E37" s="425">
        <f>(1-(2024-2009)/60)*0.5+0.85*0.5</f>
        <v>0.8</v>
      </c>
      <c r="F37" s="412">
        <f>LOOKUP(E37,111:111,112:112)-LOOKUP(C37,111:111,112:112)+100</f>
        <v>100</v>
      </c>
      <c r="G37" s="425">
        <f>(1-(2024-2019)/60)*0.5+0.95*0.5</f>
        <v>0.93333333333333335</v>
      </c>
      <c r="H37" s="412">
        <f>LOOKUP(G37,111:111,112:112)-LOOKUP(C37,111:111,112:112)+100</f>
        <v>102</v>
      </c>
      <c r="I37" s="425">
        <f>(1-(2024-2005)/60)*0.5+0.85*0.5</f>
        <v>0.76666666666666661</v>
      </c>
      <c r="J37" s="386">
        <f>LOOKUP(I37,111:111,112:112)-LOOKUP(C37,111:111,112:112)+100</f>
        <v>98</v>
      </c>
      <c r="K37" s="561">
        <v>2</v>
      </c>
      <c r="L37" s="2721"/>
      <c r="M37" s="2715"/>
      <c r="N37" s="2715"/>
      <c r="O37" s="2715"/>
      <c r="P37" s="3832"/>
      <c r="Q37" s="3453" t="str">
        <f t="shared" si="11"/>
        <v>成新度</v>
      </c>
      <c r="R37" s="704" t="s">
        <v>14</v>
      </c>
      <c r="S37" s="705">
        <f t="shared" si="12"/>
        <v>100</v>
      </c>
      <c r="T37" s="704" t="s">
        <v>14</v>
      </c>
      <c r="U37" s="705">
        <f t="shared" si="13"/>
        <v>102</v>
      </c>
      <c r="V37" s="704" t="s">
        <v>14</v>
      </c>
      <c r="W37" s="705">
        <f t="shared" si="14"/>
        <v>98</v>
      </c>
      <c r="X37" s="3450"/>
      <c r="Y37" s="3834"/>
      <c r="Z37" s="3451" t="str">
        <f t="shared" si="15"/>
        <v>成新度</v>
      </c>
      <c r="AA37" s="3454">
        <f t="shared" si="3"/>
        <v>1</v>
      </c>
      <c r="AB37" s="3454">
        <f t="shared" si="4"/>
        <v>0.98039215686274506</v>
      </c>
      <c r="AC37" s="1961">
        <f t="shared" si="5"/>
        <v>1.0204081632653061</v>
      </c>
    </row>
    <row r="38" spans="1:29" s="108" customFormat="1" ht="15">
      <c r="A38" s="424"/>
      <c r="B38" s="375" t="s">
        <v>1818</v>
      </c>
      <c r="C38" s="1911" t="s">
        <v>3591</v>
      </c>
      <c r="D38" s="127">
        <v>100</v>
      </c>
      <c r="E38" s="411" t="s">
        <v>3591</v>
      </c>
      <c r="F38" s="412">
        <f>SUMIF(113:113,E38,114:114)-SUMIF(113:113,C38,114:114)+100</f>
        <v>100</v>
      </c>
      <c r="G38" s="411" t="s">
        <v>3591</v>
      </c>
      <c r="H38" s="386">
        <f>SUMIF(113:113,G38,114:114)-SUMIF(113:113,C38,114:114)+100</f>
        <v>100</v>
      </c>
      <c r="I38" s="411" t="s">
        <v>3591</v>
      </c>
      <c r="J38" s="386">
        <f>SUMIF(113:113,I38,114:114)-SUMIF(113:113,C38,114:114)+100</f>
        <v>100</v>
      </c>
      <c r="K38" s="561">
        <v>1</v>
      </c>
      <c r="L38" s="2716"/>
      <c r="M38" s="2717"/>
      <c r="N38" s="2717"/>
      <c r="O38" s="2717"/>
      <c r="P38" s="3832"/>
      <c r="Q38" s="3449" t="str">
        <f t="shared" si="11"/>
        <v>写字楼等级</v>
      </c>
      <c r="R38" s="700" t="s">
        <v>14</v>
      </c>
      <c r="S38" s="701">
        <f t="shared" si="12"/>
        <v>100</v>
      </c>
      <c r="T38" s="700" t="s">
        <v>14</v>
      </c>
      <c r="U38" s="701">
        <f t="shared" si="13"/>
        <v>100</v>
      </c>
      <c r="V38" s="700" t="s">
        <v>14</v>
      </c>
      <c r="W38" s="701">
        <f t="shared" si="14"/>
        <v>100</v>
      </c>
      <c r="X38" s="702"/>
      <c r="Y38" s="3834"/>
      <c r="Z38" s="3448" t="str">
        <f t="shared" si="15"/>
        <v>写字楼等级</v>
      </c>
      <c r="AA38" s="703">
        <f t="shared" si="3"/>
        <v>1</v>
      </c>
      <c r="AB38" s="703">
        <f t="shared" si="4"/>
        <v>1</v>
      </c>
      <c r="AC38" s="1958">
        <f t="shared" si="5"/>
        <v>1</v>
      </c>
    </row>
    <row r="39" spans="1:29" ht="15">
      <c r="A39" s="423"/>
      <c r="B39" s="375" t="s">
        <v>1819</v>
      </c>
      <c r="C39" s="1911" t="s">
        <v>3594</v>
      </c>
      <c r="D39" s="386">
        <v>100</v>
      </c>
      <c r="E39" s="1911" t="s">
        <v>3594</v>
      </c>
      <c r="F39" s="412">
        <f>SUMIF(115:115,E39,116:116)-SUMIF(115:115,C39,116:116)+100</f>
        <v>100</v>
      </c>
      <c r="G39" s="1911" t="s">
        <v>3594</v>
      </c>
      <c r="H39" s="386">
        <f>SUMIF(115:115,G39,116:116)-SUMIF(115:115,C39,116:116)+100</f>
        <v>100</v>
      </c>
      <c r="I39" s="1911" t="s">
        <v>3594</v>
      </c>
      <c r="J39" s="386">
        <f>SUMIF(115:115,I39,116:116)-SUMIF(115:115,C39,116:116)+100</f>
        <v>100</v>
      </c>
      <c r="K39" s="561">
        <v>1</v>
      </c>
      <c r="L39" s="2721"/>
      <c r="M39" s="2715"/>
      <c r="N39" s="2715"/>
      <c r="O39" s="2715"/>
      <c r="P39" s="3832" t="s">
        <v>1696</v>
      </c>
      <c r="Q39" s="3453" t="str">
        <f t="shared" si="11"/>
        <v>物业管理</v>
      </c>
      <c r="R39" s="704" t="s">
        <v>14</v>
      </c>
      <c r="S39" s="705">
        <f t="shared" si="12"/>
        <v>100</v>
      </c>
      <c r="T39" s="704" t="s">
        <v>14</v>
      </c>
      <c r="U39" s="705">
        <f t="shared" si="13"/>
        <v>100</v>
      </c>
      <c r="V39" s="704" t="s">
        <v>14</v>
      </c>
      <c r="W39" s="705">
        <f t="shared" si="14"/>
        <v>100</v>
      </c>
      <c r="X39" s="3450"/>
      <c r="Y39" s="3834" t="s">
        <v>1696</v>
      </c>
      <c r="Z39" s="3451" t="str">
        <f t="shared" si="15"/>
        <v>物业管理</v>
      </c>
      <c r="AA39" s="3454">
        <f t="shared" si="3"/>
        <v>1</v>
      </c>
      <c r="AB39" s="3454">
        <f t="shared" si="4"/>
        <v>1</v>
      </c>
      <c r="AC39" s="1961">
        <f t="shared" si="5"/>
        <v>1</v>
      </c>
    </row>
    <row r="40" spans="1:29" ht="15">
      <c r="A40" s="423"/>
      <c r="B40" s="375" t="s">
        <v>1787</v>
      </c>
      <c r="C40" s="1911" t="s">
        <v>3575</v>
      </c>
      <c r="D40" s="386">
        <v>100</v>
      </c>
      <c r="E40" s="1911" t="s">
        <v>3575</v>
      </c>
      <c r="F40" s="412">
        <f>SUMIF(117:117,E40,118:118)-SUMIF(117:117,C40,118:118)+100</f>
        <v>100</v>
      </c>
      <c r="G40" s="1911" t="s">
        <v>3575</v>
      </c>
      <c r="H40" s="386">
        <f>SUMIF(117:117,G40,118:118)-SUMIF(117:117,C40,118:118)+100</f>
        <v>100</v>
      </c>
      <c r="I40" s="1911" t="s">
        <v>3575</v>
      </c>
      <c r="J40" s="386">
        <f>SUMIF(117:117,I40,118:118)-SUMIF(117:117,C40,118:118)+100</f>
        <v>100</v>
      </c>
      <c r="K40" s="561">
        <v>1</v>
      </c>
      <c r="L40" s="2721"/>
      <c r="M40" s="2715"/>
      <c r="N40" s="2715"/>
      <c r="O40" s="2715"/>
      <c r="P40" s="3832"/>
      <c r="Q40" s="3453" t="str">
        <f t="shared" si="11"/>
        <v>市政基础设施</v>
      </c>
      <c r="R40" s="704" t="s">
        <v>14</v>
      </c>
      <c r="S40" s="705">
        <f t="shared" si="12"/>
        <v>100</v>
      </c>
      <c r="T40" s="704" t="s">
        <v>14</v>
      </c>
      <c r="U40" s="705">
        <f t="shared" si="13"/>
        <v>100</v>
      </c>
      <c r="V40" s="704" t="s">
        <v>14</v>
      </c>
      <c r="W40" s="705">
        <f t="shared" si="14"/>
        <v>100</v>
      </c>
      <c r="X40" s="3450"/>
      <c r="Y40" s="3834"/>
      <c r="Z40" s="3451" t="str">
        <f t="shared" si="15"/>
        <v>市政基础设施</v>
      </c>
      <c r="AA40" s="3454">
        <f t="shared" si="3"/>
        <v>1</v>
      </c>
      <c r="AB40" s="3454">
        <f t="shared" si="4"/>
        <v>1</v>
      </c>
      <c r="AC40" s="1961">
        <f t="shared" si="5"/>
        <v>1</v>
      </c>
    </row>
    <row r="41" spans="1:29" ht="15">
      <c r="A41" s="423"/>
      <c r="B41" s="375" t="s">
        <v>1789</v>
      </c>
      <c r="C41" s="3596"/>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2"/>
      <c r="Q41" s="3453" t="str">
        <f t="shared" si="11"/>
        <v>层高</v>
      </c>
      <c r="R41" s="704" t="s">
        <v>14</v>
      </c>
      <c r="S41" s="705">
        <f t="shared" si="12"/>
        <v>100</v>
      </c>
      <c r="T41" s="704" t="s">
        <v>14</v>
      </c>
      <c r="U41" s="705">
        <f t="shared" si="13"/>
        <v>100</v>
      </c>
      <c r="V41" s="704" t="s">
        <v>14</v>
      </c>
      <c r="W41" s="705">
        <f t="shared" si="14"/>
        <v>100</v>
      </c>
      <c r="X41" s="3450"/>
      <c r="Y41" s="3834"/>
      <c r="Z41" s="3451" t="str">
        <f t="shared" si="15"/>
        <v>层高</v>
      </c>
      <c r="AA41" s="3454">
        <f t="shared" si="3"/>
        <v>1</v>
      </c>
      <c r="AB41" s="3454">
        <f t="shared" si="4"/>
        <v>1</v>
      </c>
      <c r="AC41" s="1961">
        <f t="shared" si="5"/>
        <v>1</v>
      </c>
    </row>
    <row r="42" spans="1:29" s="422" customFormat="1" ht="15">
      <c r="A42" s="419"/>
      <c r="B42" s="3452" t="s">
        <v>1820</v>
      </c>
      <c r="C42" s="3597"/>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2"/>
      <c r="Q42" s="706" t="str">
        <f t="shared" si="11"/>
        <v>单套建筑面积</v>
      </c>
      <c r="R42" s="707" t="s">
        <v>14</v>
      </c>
      <c r="S42" s="708">
        <f t="shared" si="12"/>
        <v>100</v>
      </c>
      <c r="T42" s="707" t="s">
        <v>14</v>
      </c>
      <c r="U42" s="708">
        <f t="shared" si="13"/>
        <v>100</v>
      </c>
      <c r="V42" s="707" t="s">
        <v>14</v>
      </c>
      <c r="W42" s="708">
        <f t="shared" si="14"/>
        <v>100</v>
      </c>
      <c r="X42" s="709"/>
      <c r="Y42" s="3834"/>
      <c r="Z42" s="710" t="str">
        <f t="shared" si="15"/>
        <v>单套建筑面积</v>
      </c>
      <c r="AA42" s="3454">
        <f t="shared" si="3"/>
        <v>1</v>
      </c>
      <c r="AB42" s="3454">
        <f t="shared" si="4"/>
        <v>1</v>
      </c>
      <c r="AC42" s="1961">
        <f t="shared" si="5"/>
        <v>1</v>
      </c>
    </row>
    <row r="43" spans="1:29" ht="15">
      <c r="A43" s="423"/>
      <c r="B43" s="375" t="s">
        <v>1792</v>
      </c>
      <c r="C43" s="1911" t="s">
        <v>3589</v>
      </c>
      <c r="D43" s="386">
        <v>100</v>
      </c>
      <c r="E43" s="1911" t="s">
        <v>3589</v>
      </c>
      <c r="F43" s="412">
        <f>SUMIF(123:123,E43,124:124)-SUMIF(123:123,C43,124:124)+100</f>
        <v>100</v>
      </c>
      <c r="G43" s="1911" t="s">
        <v>3589</v>
      </c>
      <c r="H43" s="386">
        <f>SUMIF(123:123,G43,124:124)-SUMIF(123:123,C43,124:124)+100</f>
        <v>100</v>
      </c>
      <c r="I43" s="1911" t="s">
        <v>3589</v>
      </c>
      <c r="J43" s="386">
        <f>SUMIF(123:123,I43,124:124)-SUMIF(123:123,C43,124:124)+100</f>
        <v>100</v>
      </c>
      <c r="K43" s="561">
        <v>1</v>
      </c>
      <c r="L43" s="2721"/>
      <c r="M43" s="2715"/>
      <c r="N43" s="2715"/>
      <c r="O43" s="2715"/>
      <c r="P43" s="3832"/>
      <c r="Q43" s="3453" t="str">
        <f t="shared" si="11"/>
        <v>内部装修</v>
      </c>
      <c r="R43" s="704" t="s">
        <v>14</v>
      </c>
      <c r="S43" s="705">
        <f t="shared" si="12"/>
        <v>100</v>
      </c>
      <c r="T43" s="704" t="s">
        <v>14</v>
      </c>
      <c r="U43" s="705">
        <f t="shared" si="13"/>
        <v>100</v>
      </c>
      <c r="V43" s="704" t="s">
        <v>14</v>
      </c>
      <c r="W43" s="705">
        <f t="shared" si="14"/>
        <v>100</v>
      </c>
      <c r="X43" s="3450"/>
      <c r="Y43" s="3834"/>
      <c r="Z43" s="3451" t="str">
        <f t="shared" si="15"/>
        <v>内部装修</v>
      </c>
      <c r="AA43" s="3454">
        <f t="shared" si="3"/>
        <v>1</v>
      </c>
      <c r="AB43" s="3454">
        <f t="shared" si="4"/>
        <v>1</v>
      </c>
      <c r="AC43" s="1961">
        <f t="shared" si="5"/>
        <v>1</v>
      </c>
    </row>
    <row r="44" spans="1:29" ht="15">
      <c r="A44" s="423"/>
      <c r="B44" s="375" t="s">
        <v>1707</v>
      </c>
      <c r="C44" s="1911" t="s">
        <v>3574</v>
      </c>
      <c r="D44" s="386">
        <v>100</v>
      </c>
      <c r="E44" s="1911" t="s">
        <v>3574</v>
      </c>
      <c r="F44" s="412">
        <f>SUMIF(125:125,E44,126:126)-SUMIF(125:125,C44,126:126)+100</f>
        <v>100</v>
      </c>
      <c r="G44" s="1911" t="s">
        <v>3574</v>
      </c>
      <c r="H44" s="386">
        <f>SUMIF(125:125,G44,126:126)-SUMIF(125:125,C44,126:126)+100</f>
        <v>100</v>
      </c>
      <c r="I44" s="1911" t="s">
        <v>3574</v>
      </c>
      <c r="J44" s="386">
        <f>SUMIF(125:125,I44,126:126)-SUMIF(125:125,C44,126:126)+100</f>
        <v>100</v>
      </c>
      <c r="K44" s="561">
        <v>1</v>
      </c>
      <c r="L44" s="2721"/>
      <c r="M44" s="2715"/>
      <c r="N44" s="2715"/>
      <c r="O44" s="2715"/>
      <c r="P44" s="3832"/>
      <c r="Q44" s="3453" t="str">
        <f t="shared" si="11"/>
        <v>内部装修维护情况</v>
      </c>
      <c r="R44" s="704" t="s">
        <v>14</v>
      </c>
      <c r="S44" s="705">
        <f t="shared" si="12"/>
        <v>100</v>
      </c>
      <c r="T44" s="704" t="s">
        <v>14</v>
      </c>
      <c r="U44" s="705">
        <f t="shared" si="13"/>
        <v>100</v>
      </c>
      <c r="V44" s="704" t="s">
        <v>14</v>
      </c>
      <c r="W44" s="705">
        <f t="shared" si="14"/>
        <v>100</v>
      </c>
      <c r="X44" s="3450"/>
      <c r="Y44" s="3834"/>
      <c r="Z44" s="3451" t="str">
        <f t="shared" si="15"/>
        <v>内部装修维护情况</v>
      </c>
      <c r="AA44" s="3454">
        <f t="shared" si="3"/>
        <v>1</v>
      </c>
      <c r="AB44" s="3454">
        <f t="shared" si="4"/>
        <v>1</v>
      </c>
      <c r="AC44" s="1961">
        <f t="shared" si="5"/>
        <v>1</v>
      </c>
    </row>
    <row r="45" spans="1:29" s="108" customFormat="1" ht="15">
      <c r="A45" s="424"/>
      <c r="B45" s="3592" t="s">
        <v>3622</v>
      </c>
      <c r="C45" s="3598" t="s">
        <v>3623</v>
      </c>
      <c r="D45" s="127">
        <v>100</v>
      </c>
      <c r="E45" s="3598" t="s">
        <v>3623</v>
      </c>
      <c r="F45" s="376">
        <f>SUMIF(127:127,E45,128:128)-SUMIF(127:127,C45,128:128)+100</f>
        <v>100</v>
      </c>
      <c r="G45" s="3598" t="s">
        <v>3623</v>
      </c>
      <c r="H45" s="127">
        <f>SUMIF(127:127,G45,128:128)-SUMIF(127:127,C45,128:128)+100</f>
        <v>100</v>
      </c>
      <c r="I45" s="3598" t="s">
        <v>3623</v>
      </c>
      <c r="J45" s="127">
        <f>SUMIF(127:127,I45,128:128)-SUMIF(127:127,C45,128:128)+100</f>
        <v>100</v>
      </c>
      <c r="K45" s="562"/>
      <c r="L45" s="2716"/>
      <c r="M45" s="2717"/>
      <c r="N45" s="2717"/>
      <c r="O45" s="2717"/>
      <c r="P45" s="3832"/>
      <c r="Q45" s="3449" t="str">
        <f t="shared" si="11"/>
        <v>房屋状态</v>
      </c>
      <c r="R45" s="700" t="s">
        <v>14</v>
      </c>
      <c r="S45" s="701">
        <f t="shared" si="12"/>
        <v>100</v>
      </c>
      <c r="T45" s="700" t="s">
        <v>14</v>
      </c>
      <c r="U45" s="701">
        <f t="shared" si="13"/>
        <v>100</v>
      </c>
      <c r="V45" s="700" t="s">
        <v>14</v>
      </c>
      <c r="W45" s="701">
        <f t="shared" si="14"/>
        <v>100</v>
      </c>
      <c r="X45" s="702"/>
      <c r="Y45" s="3834"/>
      <c r="Z45" s="3448" t="str">
        <f t="shared" si="15"/>
        <v>房屋状态</v>
      </c>
      <c r="AA45" s="703">
        <f t="shared" si="3"/>
        <v>1</v>
      </c>
      <c r="AB45" s="703">
        <f t="shared" si="4"/>
        <v>1</v>
      </c>
      <c r="AC45" s="1958">
        <f t="shared" si="5"/>
        <v>1</v>
      </c>
    </row>
    <row r="46" spans="1:29" ht="15">
      <c r="A46" s="423"/>
      <c r="B46" s="3592"/>
      <c r="C46" s="3597"/>
      <c r="D46" s="386">
        <v>100</v>
      </c>
      <c r="E46" s="383"/>
      <c r="F46" s="412">
        <f>SUMIF(129:129,E46,130:130)-SUMIF(129:129,C46,130:130)+100</f>
        <v>100</v>
      </c>
      <c r="G46" s="383"/>
      <c r="H46" s="386">
        <f>SUMIF(129:129,G46,130:130)-SUMIF(129:129,C46,130:130)+100</f>
        <v>100</v>
      </c>
      <c r="I46" s="3600"/>
      <c r="J46" s="386">
        <f>SUMIF(129:129,I46,130:130)-SUMIF(129:129,C46,130:130)+100</f>
        <v>100</v>
      </c>
      <c r="K46" s="562"/>
      <c r="L46" s="2721"/>
      <c r="M46" s="2715"/>
      <c r="N46" s="2715"/>
      <c r="O46" s="2715"/>
      <c r="P46" s="3832"/>
      <c r="Q46" s="3453">
        <f t="shared" si="11"/>
        <v>0</v>
      </c>
      <c r="R46" s="704" t="s">
        <v>14</v>
      </c>
      <c r="S46" s="705">
        <f t="shared" si="12"/>
        <v>100</v>
      </c>
      <c r="T46" s="704" t="s">
        <v>14</v>
      </c>
      <c r="U46" s="705">
        <f t="shared" si="13"/>
        <v>100</v>
      </c>
      <c r="V46" s="704" t="s">
        <v>14</v>
      </c>
      <c r="W46" s="705">
        <f t="shared" si="14"/>
        <v>100</v>
      </c>
      <c r="X46" s="3450"/>
      <c r="Y46" s="3834"/>
      <c r="Z46" s="3451">
        <f t="shared" si="15"/>
        <v>0</v>
      </c>
      <c r="AA46" s="3454">
        <f t="shared" si="3"/>
        <v>1</v>
      </c>
      <c r="AB46" s="3454">
        <f t="shared" si="4"/>
        <v>1</v>
      </c>
      <c r="AC46" s="1961">
        <f t="shared" si="5"/>
        <v>1</v>
      </c>
    </row>
    <row r="47" spans="1:29" ht="15.75" thickBot="1">
      <c r="A47" s="429"/>
      <c r="B47" s="3593"/>
      <c r="C47" s="3599"/>
      <c r="D47" s="389">
        <v>100</v>
      </c>
      <c r="E47" s="383"/>
      <c r="F47" s="390">
        <f>SUMIF(131:131,E47,132:132)-SUMIF(131:131,C47,132:132)+100</f>
        <v>100</v>
      </c>
      <c r="G47" s="383"/>
      <c r="H47" s="389">
        <f>SUMIF(131:131,G47,132:132)-SUMIF(131:131,C47,132:132)+100</f>
        <v>100</v>
      </c>
      <c r="I47" s="3601"/>
      <c r="J47" s="389">
        <f>SUMIF(131:131,I47,132:132)-SUMIF(131:131,C47,132:132)+100</f>
        <v>100</v>
      </c>
      <c r="K47" s="562"/>
      <c r="L47" s="2721"/>
      <c r="M47" s="2715"/>
      <c r="N47" s="2715"/>
      <c r="O47" s="2715"/>
      <c r="P47" s="3833"/>
      <c r="Q47" s="3453">
        <f t="shared" si="11"/>
        <v>0</v>
      </c>
      <c r="R47" s="704" t="s">
        <v>14</v>
      </c>
      <c r="S47" s="705">
        <f t="shared" si="12"/>
        <v>100</v>
      </c>
      <c r="T47" s="704" t="s">
        <v>14</v>
      </c>
      <c r="U47" s="705">
        <f t="shared" si="13"/>
        <v>100</v>
      </c>
      <c r="V47" s="704" t="s">
        <v>14</v>
      </c>
      <c r="W47" s="705">
        <f t="shared" si="14"/>
        <v>100</v>
      </c>
      <c r="X47" s="3450"/>
      <c r="Y47" s="3835"/>
      <c r="Z47" s="3451">
        <f t="shared" si="15"/>
        <v>0</v>
      </c>
      <c r="AA47" s="3454">
        <f t="shared" si="3"/>
        <v>1</v>
      </c>
      <c r="AB47" s="3454">
        <f t="shared" si="4"/>
        <v>1</v>
      </c>
      <c r="AC47" s="1961">
        <f t="shared" si="5"/>
        <v>1</v>
      </c>
    </row>
    <row r="48" spans="1:29" ht="15">
      <c r="A48" s="430" t="s">
        <v>1708</v>
      </c>
      <c r="B48" s="431"/>
      <c r="C48" s="1153" t="s">
        <v>0</v>
      </c>
      <c r="D48" s="1154"/>
      <c r="E48" s="1155">
        <v>9.3000000000000007</v>
      </c>
      <c r="F48" s="1156"/>
      <c r="G48" s="1157">
        <v>10</v>
      </c>
      <c r="H48" s="1158"/>
      <c r="I48" s="1155">
        <v>10</v>
      </c>
      <c r="J48" s="436"/>
      <c r="K48" s="713"/>
      <c r="L48" s="2723"/>
      <c r="M48" s="2715"/>
      <c r="N48" s="2715"/>
      <c r="O48" s="2715"/>
      <c r="P48" s="3838" t="str">
        <f>A48</f>
        <v>成交单价（元/平方米）</v>
      </c>
      <c r="Q48" s="3827"/>
      <c r="R48" s="3828">
        <f>E48</f>
        <v>9.3000000000000007</v>
      </c>
      <c r="S48" s="3828"/>
      <c r="T48" s="3828">
        <f>G48</f>
        <v>10</v>
      </c>
      <c r="U48" s="3828"/>
      <c r="V48" s="3828">
        <f>I48</f>
        <v>10</v>
      </c>
      <c r="W48" s="3828"/>
      <c r="X48" s="397"/>
      <c r="Y48" s="711"/>
      <c r="Z48" s="397"/>
      <c r="AA48" s="397"/>
      <c r="AB48" s="397"/>
      <c r="AC48" s="578"/>
    </row>
    <row r="49" spans="1:29" ht="15.75" thickBot="1">
      <c r="A49" s="437" t="s">
        <v>1709</v>
      </c>
      <c r="B49" s="438"/>
      <c r="C49" s="1159">
        <f>R50</f>
        <v>9.9</v>
      </c>
      <c r="D49" s="2316" t="s">
        <v>2138</v>
      </c>
      <c r="E49" s="1160">
        <f>R49</f>
        <v>9.4</v>
      </c>
      <c r="F49" s="2317"/>
      <c r="G49" s="1159">
        <f>T49</f>
        <v>10</v>
      </c>
      <c r="H49" s="2317"/>
      <c r="I49" s="1160">
        <f>V49</f>
        <v>10.199999999999999</v>
      </c>
      <c r="J49" s="2317"/>
      <c r="K49" s="2319">
        <f>F49+H49+J49</f>
        <v>0</v>
      </c>
      <c r="L49" s="2723"/>
      <c r="M49" s="2715"/>
      <c r="N49" s="2715"/>
      <c r="O49" s="2715"/>
      <c r="P49" s="3838" t="str">
        <f>A49</f>
        <v>比较价值（元/平方米）</v>
      </c>
      <c r="Q49" s="3827"/>
      <c r="R49" s="3828">
        <f>IF(F1="售价",ROUND(PRODUCT(R48,AA7:AA47),0),ROUND(PRODUCT(R48,AA7:AA47),1))</f>
        <v>9.4</v>
      </c>
      <c r="S49" s="3828"/>
      <c r="T49" s="3828">
        <f>IF(F1="售价",ROUND(PRODUCT(T48,AB7:AB47),0),ROUND(PRODUCT(T48,AB7:AB47),1))</f>
        <v>10</v>
      </c>
      <c r="U49" s="3828"/>
      <c r="V49" s="3828">
        <f>IF(F1="售价",ROUND(PRODUCT(V48,AC7:AC47),0),ROUND(PRODUCT(V48,AC7:AC47),1))</f>
        <v>10.199999999999999</v>
      </c>
      <c r="W49" s="3828"/>
      <c r="X49" s="397"/>
      <c r="Y49" s="397"/>
      <c r="Z49" s="397"/>
      <c r="AA49" s="397"/>
      <c r="AB49" s="397"/>
      <c r="AC49" s="578"/>
    </row>
    <row r="50" spans="1:29" ht="15.75" thickBot="1">
      <c r="A50" s="441" t="s">
        <v>1710</v>
      </c>
      <c r="B50" s="442"/>
      <c r="C50" s="1162">
        <f>R50</f>
        <v>9.9</v>
      </c>
      <c r="D50" s="1162"/>
      <c r="E50" s="1162"/>
      <c r="F50" s="1162"/>
      <c r="G50" s="1162"/>
      <c r="H50" s="1162"/>
      <c r="I50" s="1162"/>
      <c r="J50" s="443"/>
      <c r="K50" s="714"/>
      <c r="L50" s="2723"/>
      <c r="M50" s="2715"/>
      <c r="N50" s="2715"/>
      <c r="O50" s="2715"/>
      <c r="P50" s="3870" t="str">
        <f>A50</f>
        <v>估价对象XX用房的比较价值（楼面单价，元/平方米）</v>
      </c>
      <c r="Q50" s="3871"/>
      <c r="R50" s="3872">
        <f>IF(F1="售价",ROUND(IF(D49="简单平均",AVERAGE(R49:V49),R49*F49+T49*H49+V49*J49),0),ROUND(IF(D49="简单平均",AVERAGE(R49:V49),R49*F49+T49*H49+V49*J49),1))</f>
        <v>9.9</v>
      </c>
      <c r="S50" s="3872"/>
      <c r="T50" s="3872"/>
      <c r="U50" s="3872"/>
      <c r="V50" s="3872"/>
      <c r="W50" s="387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1.0752688172043001E-2</v>
      </c>
      <c r="F53" s="449" t="str">
        <f>IF(OR(E53&gt;=0.3,E53&lt;=-0.3),"超过30%","")</f>
        <v/>
      </c>
      <c r="G53" s="448">
        <f>IF(G48&lt;G49,G49/G48-1,G48/G49-1)</f>
        <v>0</v>
      </c>
      <c r="H53" s="449" t="str">
        <f>IF(OR(G53&gt;=0.3,G53&lt;=-0.3),"超过30%","")</f>
        <v/>
      </c>
      <c r="I53" s="448">
        <f>IF(I48&lt;I49,I49/I48-1,I48/I49-1)</f>
        <v>2.0000000000000018E-2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6.3829787234042534E-2</v>
      </c>
      <c r="F54" s="449" t="str">
        <f>IF(OR(E54&gt;=0.2,E54&lt;=-0.2),"超过20%","")</f>
        <v/>
      </c>
      <c r="G54" s="448">
        <f>IF(G49&lt;I49,I49/G49-1,G49/I49-1)</f>
        <v>2.0000000000000018E-2</v>
      </c>
      <c r="H54" s="449" t="str">
        <f>IF(OR(G54&gt;=0.2,G54&lt;=-0.2),"超过20%","")</f>
        <v/>
      </c>
      <c r="I54" s="448">
        <f>IF(I49&lt;E49,E49/I49-1,I49/E49-1)</f>
        <v>8.5106382978723305E-2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7.5268817204301008E-2</v>
      </c>
      <c r="F55" s="449" t="str">
        <f>IF(OR(E55&gt;=0.3,E55&lt;=-0.3),"超过30%","")</f>
        <v/>
      </c>
      <c r="G55" s="448">
        <f>IF(G48&lt;I48,I48/G48-1,G48/I48-1)</f>
        <v>0</v>
      </c>
      <c r="H55" s="449" t="str">
        <f>IF(OR(G55&gt;=0.3,G55&lt;=-0.3),"超过30%","")</f>
        <v/>
      </c>
      <c r="I55" s="448">
        <f>IF(I48&lt;E48,E48/I48-1,I48/E48-1)</f>
        <v>7.5268817204301008E-2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1714</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2023-12</v>
      </c>
      <c r="D59" s="1184">
        <f>EDATE(C59,-1)</f>
        <v>45231</v>
      </c>
      <c r="E59" s="1184">
        <f>EDATE(D59,-1)</f>
        <v>45200</v>
      </c>
      <c r="F59" s="1184">
        <f t="shared" ref="F59:V59" si="16">EDATE(E59,-1)</f>
        <v>45170</v>
      </c>
      <c r="G59" s="1184">
        <f t="shared" si="16"/>
        <v>45139</v>
      </c>
      <c r="H59" s="1184">
        <f t="shared" si="16"/>
        <v>45108</v>
      </c>
      <c r="I59" s="1184">
        <f t="shared" si="16"/>
        <v>45078</v>
      </c>
      <c r="J59" s="1184">
        <f t="shared" si="16"/>
        <v>45047</v>
      </c>
      <c r="K59" s="1184">
        <f t="shared" si="16"/>
        <v>45017</v>
      </c>
      <c r="L59" s="1184">
        <f t="shared" si="16"/>
        <v>44986</v>
      </c>
      <c r="M59" s="1184">
        <f t="shared" si="16"/>
        <v>44958</v>
      </c>
      <c r="N59" s="1184">
        <f t="shared" si="16"/>
        <v>44927</v>
      </c>
      <c r="O59" s="1184">
        <f t="shared" si="16"/>
        <v>44896</v>
      </c>
      <c r="P59" s="3605">
        <f t="shared" si="16"/>
        <v>44866</v>
      </c>
      <c r="Q59" s="3605">
        <f t="shared" si="16"/>
        <v>44835</v>
      </c>
      <c r="R59" s="3605">
        <f t="shared" si="16"/>
        <v>44805</v>
      </c>
      <c r="S59" s="3605">
        <f t="shared" si="16"/>
        <v>44774</v>
      </c>
      <c r="T59" s="3605">
        <f t="shared" si="16"/>
        <v>44743</v>
      </c>
      <c r="U59" s="3605">
        <f t="shared" si="16"/>
        <v>44713</v>
      </c>
      <c r="V59" s="3605">
        <f t="shared" si="16"/>
        <v>44682</v>
      </c>
      <c r="W59" s="2740"/>
      <c r="X59" s="2740"/>
      <c r="Y59" s="2740"/>
      <c r="Z59" s="2740"/>
      <c r="AA59" s="2740"/>
      <c r="AB59" s="2740"/>
      <c r="AC59" s="2740"/>
    </row>
    <row r="60" spans="1:29" s="108" customFormat="1" ht="15">
      <c r="A60" s="458"/>
      <c r="B60" s="459"/>
      <c r="C60" s="1182">
        <v>100</v>
      </c>
      <c r="D60" s="3558">
        <v>100</v>
      </c>
      <c r="E60" s="3558">
        <v>100</v>
      </c>
      <c r="F60" s="3558">
        <v>100</v>
      </c>
      <c r="G60" s="3558">
        <v>100</v>
      </c>
      <c r="H60" s="3558">
        <v>100</v>
      </c>
      <c r="I60" s="3558">
        <v>100</v>
      </c>
      <c r="J60" s="3558">
        <v>100</v>
      </c>
      <c r="K60" s="3558">
        <v>100</v>
      </c>
      <c r="L60" s="3558">
        <v>100</v>
      </c>
      <c r="M60" s="3558">
        <v>100</v>
      </c>
      <c r="N60" s="461">
        <v>99</v>
      </c>
      <c r="O60" s="462">
        <v>99</v>
      </c>
      <c r="P60" s="462">
        <v>99</v>
      </c>
      <c r="Q60" s="462">
        <v>99</v>
      </c>
      <c r="R60" s="462">
        <v>99</v>
      </c>
      <c r="S60" s="462">
        <v>99</v>
      </c>
      <c r="T60" s="462">
        <v>99</v>
      </c>
      <c r="U60" s="462">
        <v>99</v>
      </c>
      <c r="V60" s="462">
        <v>99</v>
      </c>
      <c r="W60" s="2660"/>
      <c r="X60" s="2660"/>
      <c r="Y60" s="2660"/>
      <c r="Z60" s="2660"/>
      <c r="AA60" s="2660"/>
      <c r="AB60" s="2660"/>
      <c r="AC60" s="2660"/>
    </row>
    <row r="61" spans="1:29" s="108" customFormat="1" ht="15.75" thickBot="1">
      <c r="A61" s="464" t="s">
        <v>1716</v>
      </c>
      <c r="B61" s="465"/>
      <c r="C61" s="466"/>
      <c r="D61" s="3559"/>
      <c r="E61" s="3559"/>
      <c r="F61" s="3559"/>
      <c r="G61" s="3559"/>
      <c r="H61" s="3559"/>
      <c r="I61" s="3559"/>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560"/>
      <c r="E62" s="31"/>
      <c r="F62" s="31"/>
      <c r="G62" s="31"/>
      <c r="H62" s="31"/>
      <c r="I62" s="31"/>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3558"/>
      <c r="E63" s="3558"/>
      <c r="F63" s="3558"/>
      <c r="G63" s="3558"/>
      <c r="H63" s="3558"/>
      <c r="I63" s="3558"/>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3561" t="s">
        <v>21</v>
      </c>
      <c r="E64" s="3562"/>
      <c r="F64" s="3562"/>
      <c r="G64" s="3562"/>
      <c r="H64" s="3562"/>
      <c r="I64" s="3562"/>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3563">
        <v>97</v>
      </c>
      <c r="E65" s="3563"/>
      <c r="F65" s="3563"/>
      <c r="G65" s="3563"/>
      <c r="H65" s="3563"/>
      <c r="I65" s="3563"/>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564" t="str">
        <f>C10</f>
        <v>20-30（年）</v>
      </c>
      <c r="D66" s="3564" t="str">
        <f>E10</f>
        <v>30-40（年）</v>
      </c>
      <c r="E66" s="3564" t="str">
        <f>G10</f>
        <v>40-50（年）</v>
      </c>
      <c r="F66" s="3564"/>
      <c r="G66" s="3565"/>
      <c r="H66" s="3565"/>
      <c r="I66" s="3565"/>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563"/>
      <c r="D67" s="3563"/>
      <c r="E67" s="3563"/>
      <c r="F67" s="3563"/>
      <c r="G67" s="3563"/>
      <c r="H67" s="3563"/>
      <c r="I67" s="3563"/>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566" t="s">
        <v>3577</v>
      </c>
      <c r="D87" s="3566" t="s">
        <v>3578</v>
      </c>
      <c r="E87" s="3566" t="s">
        <v>3579</v>
      </c>
      <c r="F87" s="3567" t="s">
        <v>3580</v>
      </c>
      <c r="G87" s="3567" t="s">
        <v>3581</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3567" t="s">
        <v>3582</v>
      </c>
      <c r="D93" s="3567" t="s">
        <v>3583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568">
        <v>100</v>
      </c>
      <c r="D94" s="3568">
        <v>95</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3567"/>
      <c r="D95" s="3567"/>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3568"/>
      <c r="D96" s="3568"/>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61" t="s">
        <v>3584</v>
      </c>
      <c r="D101" s="3561" t="s">
        <v>3585</v>
      </c>
      <c r="E101" s="3561" t="s">
        <v>3586</v>
      </c>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0(含)-1500</v>
      </c>
      <c r="D103" s="527" t="str">
        <f t="shared" ref="D103:L103" si="23">D104&amp;"(含)"&amp;"-"&amp;E104</f>
        <v>1500(含)-3000</v>
      </c>
      <c r="E103" s="527" t="str">
        <f t="shared" si="23"/>
        <v>3000(含)-4500</v>
      </c>
      <c r="F103" s="527" t="str">
        <f t="shared" si="23"/>
        <v>4500(含)-6000</v>
      </c>
      <c r="G103" s="527" t="str">
        <f t="shared" si="23"/>
        <v>6000(含)-7500</v>
      </c>
      <c r="H103" s="527" t="str">
        <f t="shared" si="23"/>
        <v>7500(含)-9000</v>
      </c>
      <c r="I103" s="527" t="str">
        <f t="shared" si="23"/>
        <v>9000(含)-10500</v>
      </c>
      <c r="J103" s="527" t="str">
        <f t="shared" si="23"/>
        <v>10500(含)-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f>C104+1500</f>
        <v>1500</v>
      </c>
      <c r="E104" s="6">
        <f t="shared" ref="E104:J104" si="24">D104+1500</f>
        <v>3000</v>
      </c>
      <c r="F104" s="6">
        <f t="shared" si="24"/>
        <v>4500</v>
      </c>
      <c r="G104" s="6">
        <f t="shared" si="24"/>
        <v>6000</v>
      </c>
      <c r="H104" s="6">
        <f t="shared" si="24"/>
        <v>7500</v>
      </c>
      <c r="I104" s="6">
        <f t="shared" si="24"/>
        <v>9000</v>
      </c>
      <c r="J104" s="6">
        <f t="shared" si="24"/>
        <v>10500</v>
      </c>
      <c r="K104" s="3569"/>
      <c r="L104" s="3570"/>
      <c r="M104" s="3571"/>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568"/>
      <c r="D105" s="3563"/>
      <c r="E105" s="3563"/>
      <c r="F105" s="3563"/>
      <c r="G105" s="3563"/>
      <c r="H105" s="3563"/>
      <c r="I105" s="3563"/>
      <c r="J105" s="3563"/>
      <c r="K105" s="3563"/>
      <c r="L105" s="3563"/>
      <c r="M105" s="3572"/>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t="s">
        <v>3588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t="s">
        <v>3590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t="s">
        <v>3592</v>
      </c>
      <c r="D113" s="503" t="s">
        <v>3593</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t="s">
        <v>3595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66" t="s">
        <v>3575</v>
      </c>
      <c r="D117" s="3566" t="s">
        <v>3596</v>
      </c>
      <c r="E117" s="3566" t="s">
        <v>3597</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66" t="s">
        <v>3589</v>
      </c>
      <c r="D123" s="3566" t="s">
        <v>3598</v>
      </c>
      <c r="E123" s="3566" t="s">
        <v>3599</v>
      </c>
      <c r="F123" s="3573" t="s">
        <v>3600</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房屋状态</v>
      </c>
      <c r="C127" s="3574" t="s">
        <v>3623</v>
      </c>
      <c r="D127" s="3574" t="s">
        <v>3624</v>
      </c>
      <c r="E127" s="3574"/>
      <c r="F127" s="3574"/>
      <c r="G127" s="3574"/>
      <c r="H127" s="3574"/>
      <c r="I127" s="3574"/>
      <c r="J127" s="3574"/>
      <c r="K127" s="3575"/>
      <c r="L127" s="3576"/>
      <c r="M127" s="3577"/>
      <c r="N127" s="3578"/>
      <c r="O127" s="3578"/>
      <c r="P127" s="2762"/>
      <c r="Q127" s="3579"/>
      <c r="R127" s="2746"/>
      <c r="S127" s="2746"/>
      <c r="T127" s="2746"/>
      <c r="U127" s="2746"/>
      <c r="V127" s="2746"/>
      <c r="W127" s="2746"/>
      <c r="X127" s="2746"/>
      <c r="Y127" s="2746"/>
      <c r="Z127" s="2746"/>
      <c r="AA127" s="2746"/>
      <c r="AB127" s="2746"/>
      <c r="AC127" s="2746"/>
    </row>
    <row r="128" spans="1:29" s="422" customFormat="1" ht="15.75" thickBot="1">
      <c r="A128" s="502"/>
      <c r="B128" s="492"/>
      <c r="C128" s="3563">
        <v>100</v>
      </c>
      <c r="D128" s="3563">
        <v>99</v>
      </c>
      <c r="E128" s="3563"/>
      <c r="F128" s="3563"/>
      <c r="G128" s="3563"/>
      <c r="H128" s="3563"/>
      <c r="I128" s="3563"/>
      <c r="J128" s="3563"/>
      <c r="K128" s="3580"/>
      <c r="L128" s="3580"/>
      <c r="M128" s="3581"/>
      <c r="N128" s="3578"/>
      <c r="O128" s="3578"/>
      <c r="P128" s="2762"/>
      <c r="Q128" s="3579"/>
      <c r="R128" s="2746"/>
      <c r="S128" s="2746"/>
      <c r="T128" s="2746"/>
      <c r="U128" s="2746"/>
      <c r="V128" s="2746"/>
      <c r="W128" s="2746"/>
      <c r="X128" s="2746"/>
      <c r="Y128" s="2746"/>
      <c r="Z128" s="2746"/>
      <c r="AA128" s="2746"/>
      <c r="AB128" s="2746"/>
      <c r="AC128" s="2746"/>
    </row>
    <row r="129" spans="1:29" ht="15" thickTop="1">
      <c r="A129" s="548"/>
      <c r="B129" s="487">
        <f>B46</f>
        <v>0</v>
      </c>
      <c r="C129" s="3582"/>
      <c r="D129" s="3582"/>
      <c r="E129" s="3582"/>
      <c r="F129" s="3582"/>
      <c r="G129" s="3582"/>
      <c r="H129" s="3582"/>
      <c r="I129" s="3582"/>
      <c r="J129" s="3582"/>
      <c r="K129" s="3582"/>
      <c r="L129" s="3582"/>
      <c r="M129" s="3582"/>
      <c r="N129" s="3582"/>
      <c r="O129" s="3582"/>
      <c r="P129" s="3582"/>
      <c r="Q129" s="3582"/>
      <c r="R129" s="2724"/>
      <c r="S129" s="2724"/>
      <c r="T129" s="2724"/>
      <c r="U129" s="2724"/>
      <c r="V129" s="2724"/>
      <c r="W129" s="2724"/>
      <c r="X129" s="2724"/>
      <c r="Y129" s="2724"/>
      <c r="Z129" s="2724"/>
      <c r="AA129" s="2724"/>
      <c r="AB129" s="2724"/>
      <c r="AC129" s="2724"/>
    </row>
    <row r="130" spans="1:29" ht="15.75" thickBot="1">
      <c r="A130" s="483"/>
      <c r="B130" s="492"/>
      <c r="C130" s="3568"/>
      <c r="D130" s="3568"/>
      <c r="E130" s="3568"/>
      <c r="F130" s="3568"/>
      <c r="G130" s="3568"/>
      <c r="H130" s="3568"/>
      <c r="I130" s="3568"/>
      <c r="J130" s="3568"/>
      <c r="K130" s="3568"/>
      <c r="L130" s="3568"/>
      <c r="M130" s="3568"/>
      <c r="N130" s="3568"/>
      <c r="O130" s="3568"/>
      <c r="P130" s="3568"/>
      <c r="Q130" s="3568"/>
      <c r="R130" s="2724"/>
      <c r="S130" s="2724"/>
      <c r="T130" s="2724"/>
      <c r="U130" s="2724"/>
      <c r="V130" s="2724"/>
      <c r="W130" s="2724"/>
      <c r="X130" s="2724"/>
      <c r="Y130" s="2724"/>
      <c r="Z130" s="2724"/>
      <c r="AA130" s="2724"/>
      <c r="AB130" s="2724"/>
      <c r="AC130" s="2724"/>
    </row>
    <row r="131" spans="1:29" ht="15" thickTop="1">
      <c r="A131" s="548"/>
      <c r="B131" s="495">
        <f>B47</f>
        <v>0</v>
      </c>
      <c r="C131" s="3560"/>
      <c r="D131" s="3560"/>
      <c r="E131" s="31"/>
      <c r="F131" s="31"/>
      <c r="G131" s="3583"/>
      <c r="H131" s="3583"/>
      <c r="I131" s="3583"/>
      <c r="J131" s="3583"/>
      <c r="K131" s="31"/>
      <c r="L131" s="3584"/>
      <c r="M131" s="3585"/>
      <c r="N131" s="3586"/>
      <c r="O131" s="3586"/>
      <c r="P131" s="2761"/>
      <c r="Q131" s="3587"/>
      <c r="R131" s="2724"/>
      <c r="S131" s="2724"/>
      <c r="T131" s="2724"/>
      <c r="U131" s="2724"/>
      <c r="V131" s="2724"/>
      <c r="W131" s="2724"/>
      <c r="X131" s="2724"/>
      <c r="Y131" s="2724"/>
      <c r="Z131" s="2724"/>
      <c r="AA131" s="2724"/>
      <c r="AB131" s="2724"/>
      <c r="AC131" s="2724"/>
    </row>
    <row r="132" spans="1:29" ht="15.75" thickBot="1">
      <c r="A132" s="1927"/>
      <c r="B132" s="518"/>
      <c r="C132" s="3588"/>
      <c r="D132" s="3588"/>
      <c r="E132" s="3588"/>
      <c r="F132" s="3588"/>
      <c r="G132" s="3589"/>
      <c r="H132" s="3589"/>
      <c r="I132" s="3589"/>
      <c r="J132" s="3589"/>
      <c r="K132" s="3589"/>
      <c r="L132" s="3589"/>
      <c r="M132" s="3590"/>
      <c r="N132" s="3591"/>
      <c r="O132" s="3591"/>
      <c r="P132" s="2761"/>
      <c r="Q132" s="3587"/>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48955.32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842" t="s">
        <v>1770</v>
      </c>
      <c r="D4" s="3843"/>
      <c r="E4" s="3844" t="s">
        <v>1771</v>
      </c>
      <c r="F4" s="3845"/>
      <c r="G4" s="3842" t="s">
        <v>1772</v>
      </c>
      <c r="H4" s="3843"/>
      <c r="I4" s="3842" t="s">
        <v>1773</v>
      </c>
      <c r="J4" s="3843"/>
      <c r="K4" s="559" t="s">
        <v>1774</v>
      </c>
      <c r="L4" s="912"/>
      <c r="M4" s="913"/>
      <c r="N4" s="913"/>
      <c r="O4" s="913"/>
      <c r="P4" s="3846" t="s">
        <v>1775</v>
      </c>
      <c r="Q4" s="3847"/>
      <c r="R4" s="3852" t="s">
        <v>1771</v>
      </c>
      <c r="S4" s="3853"/>
      <c r="T4" s="3852" t="s">
        <v>1772</v>
      </c>
      <c r="U4" s="3853"/>
      <c r="V4" s="3858" t="s">
        <v>1773</v>
      </c>
      <c r="W4" s="3858"/>
      <c r="X4" s="1354"/>
      <c r="Y4" s="3852" t="s">
        <v>1775</v>
      </c>
      <c r="Z4" s="3853"/>
      <c r="AA4" s="3839" t="s">
        <v>1771</v>
      </c>
      <c r="AB4" s="3840" t="s">
        <v>1772</v>
      </c>
      <c r="AC4" s="3839" t="s">
        <v>1773</v>
      </c>
    </row>
    <row r="5" spans="1:29" ht="15">
      <c r="A5" s="358"/>
      <c r="B5" s="359"/>
      <c r="C5" s="3861" t="s">
        <v>1673</v>
      </c>
      <c r="D5" s="3862"/>
      <c r="E5" s="3868" t="s">
        <v>1674</v>
      </c>
      <c r="F5" s="3869"/>
      <c r="G5" s="3861" t="s">
        <v>1675</v>
      </c>
      <c r="H5" s="3862"/>
      <c r="I5" s="3861" t="s">
        <v>1676</v>
      </c>
      <c r="J5" s="3862"/>
      <c r="K5" s="559"/>
      <c r="L5" s="912"/>
      <c r="M5" s="913"/>
      <c r="N5" s="913"/>
      <c r="O5" s="913"/>
      <c r="P5" s="3848"/>
      <c r="Q5" s="3849"/>
      <c r="R5" s="3854"/>
      <c r="S5" s="3855"/>
      <c r="T5" s="3854"/>
      <c r="U5" s="3855"/>
      <c r="V5" s="3858"/>
      <c r="W5" s="3858"/>
      <c r="X5" s="1354"/>
      <c r="Y5" s="3854"/>
      <c r="Z5" s="3855"/>
      <c r="AA5" s="3840"/>
      <c r="AB5" s="3840"/>
      <c r="AC5" s="3840"/>
    </row>
    <row r="6" spans="1:29" ht="15.75" thickBot="1">
      <c r="A6" s="360"/>
      <c r="B6" s="361"/>
      <c r="C6" s="3859" t="s">
        <v>1677</v>
      </c>
      <c r="D6" s="3860"/>
      <c r="E6" s="3866" t="s">
        <v>1677</v>
      </c>
      <c r="F6" s="3867"/>
      <c r="G6" s="3859" t="s">
        <v>1677</v>
      </c>
      <c r="H6" s="3860"/>
      <c r="I6" s="3859" t="s">
        <v>1677</v>
      </c>
      <c r="J6" s="3860"/>
      <c r="K6" s="559" t="s">
        <v>1678</v>
      </c>
      <c r="L6" s="912"/>
      <c r="M6" s="913"/>
      <c r="N6" s="913"/>
      <c r="O6" s="913"/>
      <c r="P6" s="3850"/>
      <c r="Q6" s="3851"/>
      <c r="R6" s="3854"/>
      <c r="S6" s="3855"/>
      <c r="T6" s="3856"/>
      <c r="U6" s="3857"/>
      <c r="V6" s="3858"/>
      <c r="W6" s="3858"/>
      <c r="X6" s="1354"/>
      <c r="Y6" s="3856"/>
      <c r="Z6" s="3857"/>
      <c r="AA6" s="3841"/>
      <c r="AB6" s="3841"/>
      <c r="AC6" s="3841"/>
    </row>
    <row r="7" spans="1:29" s="108" customFormat="1" ht="15.75" thickBot="1">
      <c r="A7" s="362" t="s">
        <v>1679</v>
      </c>
      <c r="B7" s="363"/>
      <c r="C7" s="364">
        <f>'数据-取费表'!B2</f>
        <v>45291</v>
      </c>
      <c r="D7" s="365">
        <v>100</v>
      </c>
      <c r="E7" s="366"/>
      <c r="F7" s="367">
        <f>SUMIF(52:52,YEAR(E7)&amp;"-"&amp;MONTH(E7),53:53)</f>
        <v>0</v>
      </c>
      <c r="G7" s="366"/>
      <c r="H7" s="365">
        <f>SUMIF(52:52,YEAR(G7)&amp;"-"&amp;MONTH(G7),53:53)</f>
        <v>0</v>
      </c>
      <c r="I7" s="366"/>
      <c r="J7" s="365">
        <f>SUMIF(52:52,YEAR(I7)&amp;"-"&amp;MONTH(I7),53:53)</f>
        <v>0</v>
      </c>
      <c r="K7" s="560"/>
      <c r="L7" s="914"/>
      <c r="M7" s="915"/>
      <c r="N7" s="915"/>
      <c r="O7" s="915"/>
      <c r="P7" s="3863" t="s">
        <v>1680</v>
      </c>
      <c r="Q7" s="3865"/>
      <c r="R7" s="700" t="s">
        <v>14</v>
      </c>
      <c r="S7" s="701">
        <f t="shared" ref="S7:S15" si="0">F7</f>
        <v>0</v>
      </c>
      <c r="T7" s="700" t="s">
        <v>14</v>
      </c>
      <c r="U7" s="701">
        <f t="shared" ref="U7:U15" si="1">H7</f>
        <v>0</v>
      </c>
      <c r="V7" s="700" t="s">
        <v>14</v>
      </c>
      <c r="W7" s="701">
        <f t="shared" ref="W7:W15" si="2">J7</f>
        <v>0</v>
      </c>
      <c r="X7" s="702"/>
      <c r="Y7" s="3863" t="s">
        <v>1680</v>
      </c>
      <c r="Z7" s="386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63" t="s">
        <v>1683</v>
      </c>
      <c r="Q8" s="3864"/>
      <c r="R8" s="700" t="s">
        <v>14</v>
      </c>
      <c r="S8" s="701">
        <f t="shared" si="0"/>
        <v>100</v>
      </c>
      <c r="T8" s="700" t="s">
        <v>14</v>
      </c>
      <c r="U8" s="701">
        <f t="shared" si="1"/>
        <v>100</v>
      </c>
      <c r="V8" s="700" t="s">
        <v>14</v>
      </c>
      <c r="W8" s="701">
        <f t="shared" si="2"/>
        <v>100</v>
      </c>
      <c r="X8" s="702"/>
      <c r="Y8" s="3863" t="s">
        <v>1683</v>
      </c>
      <c r="Z8" s="386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27" t="s">
        <v>1686</v>
      </c>
      <c r="Q9" s="1342" t="str">
        <f t="shared" ref="Q9:Q15" si="6">B9</f>
        <v>用途</v>
      </c>
      <c r="R9" s="700" t="s">
        <v>14</v>
      </c>
      <c r="S9" s="701">
        <f t="shared" si="0"/>
        <v>100</v>
      </c>
      <c r="T9" s="700" t="s">
        <v>14</v>
      </c>
      <c r="U9" s="701">
        <f t="shared" si="1"/>
        <v>100</v>
      </c>
      <c r="V9" s="700" t="s">
        <v>14</v>
      </c>
      <c r="W9" s="701">
        <f t="shared" si="2"/>
        <v>100</v>
      </c>
      <c r="X9" s="702"/>
      <c r="Y9" s="370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827"/>
      <c r="Q10" s="1342" t="str">
        <f t="shared" si="6"/>
        <v>土地使用年限（年）</v>
      </c>
      <c r="R10" s="700" t="s">
        <v>14</v>
      </c>
      <c r="S10" s="701">
        <f t="shared" si="0"/>
        <v>100</v>
      </c>
      <c r="T10" s="700" t="s">
        <v>14</v>
      </c>
      <c r="U10" s="701">
        <f t="shared" si="1"/>
        <v>100</v>
      </c>
      <c r="V10" s="700" t="s">
        <v>14</v>
      </c>
      <c r="W10" s="701">
        <f t="shared" si="2"/>
        <v>100</v>
      </c>
      <c r="X10" s="702"/>
      <c r="Y10" s="370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27"/>
      <c r="Q11" s="1342" t="str">
        <f t="shared" si="6"/>
        <v>容积率</v>
      </c>
      <c r="R11" s="700" t="s">
        <v>14</v>
      </c>
      <c r="S11" s="701">
        <f t="shared" si="0"/>
        <v>100</v>
      </c>
      <c r="T11" s="700" t="s">
        <v>14</v>
      </c>
      <c r="U11" s="701">
        <f t="shared" si="1"/>
        <v>100</v>
      </c>
      <c r="V11" s="700" t="s">
        <v>14</v>
      </c>
      <c r="W11" s="701">
        <f t="shared" si="2"/>
        <v>100</v>
      </c>
      <c r="X11" s="702"/>
      <c r="Y11" s="370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27"/>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27"/>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27"/>
      <c r="Q14" s="1342">
        <f t="shared" si="6"/>
        <v>111</v>
      </c>
      <c r="R14" s="700" t="s">
        <v>14</v>
      </c>
      <c r="S14" s="701">
        <f t="shared" si="0"/>
        <v>100</v>
      </c>
      <c r="T14" s="700" t="s">
        <v>14</v>
      </c>
      <c r="U14" s="701">
        <f t="shared" si="1"/>
        <v>100</v>
      </c>
      <c r="V14" s="700" t="s">
        <v>14</v>
      </c>
      <c r="W14" s="701">
        <f t="shared" si="2"/>
        <v>100</v>
      </c>
      <c r="X14" s="702"/>
      <c r="Y14" s="370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29" t="s">
        <v>1691</v>
      </c>
      <c r="Q15" s="1351" t="str">
        <f t="shared" si="6"/>
        <v>产业集聚程度</v>
      </c>
      <c r="R15" s="704" t="s">
        <v>14</v>
      </c>
      <c r="S15" s="705">
        <f t="shared" si="0"/>
        <v>100</v>
      </c>
      <c r="T15" s="704" t="s">
        <v>14</v>
      </c>
      <c r="U15" s="705">
        <f t="shared" si="1"/>
        <v>100</v>
      </c>
      <c r="V15" s="704" t="s">
        <v>14</v>
      </c>
      <c r="W15" s="705">
        <f t="shared" si="2"/>
        <v>100</v>
      </c>
      <c r="X15" s="1354"/>
      <c r="Y15" s="382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30"/>
      <c r="Q16" s="1351"/>
      <c r="R16" s="704"/>
      <c r="S16" s="705"/>
      <c r="T16" s="704"/>
      <c r="U16" s="705"/>
      <c r="V16" s="704"/>
      <c r="W16" s="705"/>
      <c r="X16" s="1354"/>
      <c r="Y16" s="383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30"/>
      <c r="Q17" s="1351" t="str">
        <f>B17</f>
        <v>交通便捷度</v>
      </c>
      <c r="R17" s="704" t="s">
        <v>14</v>
      </c>
      <c r="S17" s="705">
        <f>F17</f>
        <v>100</v>
      </c>
      <c r="T17" s="704" t="s">
        <v>14</v>
      </c>
      <c r="U17" s="705">
        <f>H17</f>
        <v>100</v>
      </c>
      <c r="V17" s="704" t="s">
        <v>14</v>
      </c>
      <c r="W17" s="705">
        <f>J17</f>
        <v>100</v>
      </c>
      <c r="X17" s="1354"/>
      <c r="Y17" s="383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30"/>
      <c r="Q18" s="1351"/>
      <c r="R18" s="704"/>
      <c r="S18" s="705"/>
      <c r="T18" s="704"/>
      <c r="U18" s="705"/>
      <c r="V18" s="704"/>
      <c r="W18" s="705"/>
      <c r="X18" s="1354"/>
      <c r="Y18" s="383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30"/>
      <c r="Q19" s="1351" t="str">
        <f>B19</f>
        <v>公共配套设施</v>
      </c>
      <c r="R19" s="704" t="s">
        <v>14</v>
      </c>
      <c r="S19" s="705">
        <f>F19</f>
        <v>100</v>
      </c>
      <c r="T19" s="704" t="s">
        <v>14</v>
      </c>
      <c r="U19" s="705">
        <f>H19</f>
        <v>100</v>
      </c>
      <c r="V19" s="704" t="s">
        <v>14</v>
      </c>
      <c r="W19" s="705">
        <f>J19</f>
        <v>100</v>
      </c>
      <c r="X19" s="1354"/>
      <c r="Y19" s="383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30"/>
      <c r="Q20" s="1351"/>
      <c r="R20" s="704"/>
      <c r="S20" s="705"/>
      <c r="T20" s="704"/>
      <c r="U20" s="705"/>
      <c r="V20" s="704"/>
      <c r="W20" s="705"/>
      <c r="X20" s="1354"/>
      <c r="Y20" s="383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30"/>
      <c r="Q21" s="1351" t="str">
        <f>B21</f>
        <v>基础设施水平</v>
      </c>
      <c r="R21" s="704" t="s">
        <v>14</v>
      </c>
      <c r="S21" s="705">
        <f>F21</f>
        <v>100</v>
      </c>
      <c r="T21" s="704" t="s">
        <v>14</v>
      </c>
      <c r="U21" s="705">
        <f>H21</f>
        <v>100</v>
      </c>
      <c r="V21" s="704" t="s">
        <v>14</v>
      </c>
      <c r="W21" s="705">
        <f>J21</f>
        <v>100</v>
      </c>
      <c r="X21" s="1354"/>
      <c r="Y21" s="383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30"/>
      <c r="Q22" s="1351"/>
      <c r="R22" s="704"/>
      <c r="S22" s="705"/>
      <c r="T22" s="704"/>
      <c r="U22" s="705"/>
      <c r="V22" s="704"/>
      <c r="W22" s="705"/>
      <c r="X22" s="1354"/>
      <c r="Y22" s="383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30"/>
      <c r="Q23" s="1351" t="str">
        <f>B23</f>
        <v>环境质量</v>
      </c>
      <c r="R23" s="704" t="s">
        <v>14</v>
      </c>
      <c r="S23" s="705">
        <f>F23</f>
        <v>100</v>
      </c>
      <c r="T23" s="704" t="s">
        <v>14</v>
      </c>
      <c r="U23" s="705">
        <f>H23</f>
        <v>100</v>
      </c>
      <c r="V23" s="704" t="s">
        <v>14</v>
      </c>
      <c r="W23" s="705">
        <f>J23</f>
        <v>100</v>
      </c>
      <c r="X23" s="1354"/>
      <c r="Y23" s="383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30"/>
      <c r="Q24" s="1351"/>
      <c r="R24" s="704"/>
      <c r="S24" s="705"/>
      <c r="T24" s="704"/>
      <c r="U24" s="705"/>
      <c r="V24" s="704"/>
      <c r="W24" s="705"/>
      <c r="X24" s="1354"/>
      <c r="Y24" s="383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30"/>
      <c r="Q25" s="1351">
        <f>B25</f>
        <v>111</v>
      </c>
      <c r="R25" s="704" t="s">
        <v>14</v>
      </c>
      <c r="S25" s="705">
        <f>F25</f>
        <v>100</v>
      </c>
      <c r="T25" s="704" t="s">
        <v>14</v>
      </c>
      <c r="U25" s="705">
        <f>H25</f>
        <v>100</v>
      </c>
      <c r="V25" s="704" t="s">
        <v>14</v>
      </c>
      <c r="W25" s="705">
        <f>J25</f>
        <v>100</v>
      </c>
      <c r="X25" s="1354"/>
      <c r="Y25" s="383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30"/>
      <c r="Q26" s="1351">
        <f t="shared" ref="Q26:Q40" si="11">B26</f>
        <v>111</v>
      </c>
      <c r="R26" s="704" t="s">
        <v>14</v>
      </c>
      <c r="S26" s="705">
        <f>F26</f>
        <v>100</v>
      </c>
      <c r="T26" s="704" t="s">
        <v>14</v>
      </c>
      <c r="U26" s="705">
        <f>H26</f>
        <v>100</v>
      </c>
      <c r="V26" s="704" t="s">
        <v>14</v>
      </c>
      <c r="W26" s="705">
        <f>J26</f>
        <v>100</v>
      </c>
      <c r="X26" s="1354"/>
      <c r="Y26" s="383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30"/>
      <c r="Q27" s="1342">
        <f t="shared" si="11"/>
        <v>111</v>
      </c>
      <c r="R27" s="700" t="s">
        <v>14</v>
      </c>
      <c r="S27" s="701">
        <f>F27</f>
        <v>100</v>
      </c>
      <c r="T27" s="700" t="s">
        <v>14</v>
      </c>
      <c r="U27" s="701">
        <f>H27</f>
        <v>100</v>
      </c>
      <c r="V27" s="700" t="s">
        <v>14</v>
      </c>
      <c r="W27" s="701">
        <f>J27</f>
        <v>100</v>
      </c>
      <c r="X27" s="702"/>
      <c r="Y27" s="383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30"/>
      <c r="Q28" s="1351">
        <f t="shared" si="11"/>
        <v>111</v>
      </c>
      <c r="R28" s="704" t="s">
        <v>14</v>
      </c>
      <c r="S28" s="705">
        <f t="shared" ref="S28:S40" si="12">F28</f>
        <v>100</v>
      </c>
      <c r="T28" s="704" t="s">
        <v>14</v>
      </c>
      <c r="U28" s="705">
        <f t="shared" ref="U28:U40" si="13">H28</f>
        <v>100</v>
      </c>
      <c r="V28" s="704" t="s">
        <v>14</v>
      </c>
      <c r="W28" s="705">
        <f t="shared" ref="W28:W40" si="14">J28</f>
        <v>100</v>
      </c>
      <c r="X28" s="1354"/>
      <c r="Y28" s="383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911" t="s">
        <v>1696</v>
      </c>
      <c r="Q29" s="1351" t="str">
        <f t="shared" si="11"/>
        <v>建筑类型</v>
      </c>
      <c r="R29" s="704" t="s">
        <v>14</v>
      </c>
      <c r="S29" s="705">
        <f t="shared" si="12"/>
        <v>100</v>
      </c>
      <c r="T29" s="704" t="s">
        <v>14</v>
      </c>
      <c r="U29" s="705">
        <f t="shared" si="13"/>
        <v>100</v>
      </c>
      <c r="V29" s="704" t="s">
        <v>14</v>
      </c>
      <c r="W29" s="705">
        <f t="shared" si="14"/>
        <v>100</v>
      </c>
      <c r="X29" s="1354"/>
      <c r="Y29" s="383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34"/>
      <c r="Q30" s="706" t="str">
        <f t="shared" si="11"/>
        <v>项目建筑规模</v>
      </c>
      <c r="R30" s="707" t="s">
        <v>14</v>
      </c>
      <c r="S30" s="708" t="e">
        <f t="shared" si="12"/>
        <v>#N/A</v>
      </c>
      <c r="T30" s="707" t="s">
        <v>14</v>
      </c>
      <c r="U30" s="708" t="e">
        <f t="shared" si="13"/>
        <v>#N/A</v>
      </c>
      <c r="V30" s="707" t="s">
        <v>14</v>
      </c>
      <c r="W30" s="708" t="e">
        <f t="shared" si="14"/>
        <v>#N/A</v>
      </c>
      <c r="X30" s="709"/>
      <c r="Y30" s="383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34"/>
      <c r="Q31" s="1351" t="str">
        <f t="shared" si="11"/>
        <v>建筑结构</v>
      </c>
      <c r="R31" s="704" t="s">
        <v>14</v>
      </c>
      <c r="S31" s="705">
        <f t="shared" si="12"/>
        <v>100</v>
      </c>
      <c r="T31" s="704" t="s">
        <v>14</v>
      </c>
      <c r="U31" s="705">
        <f t="shared" si="13"/>
        <v>100</v>
      </c>
      <c r="V31" s="704" t="s">
        <v>14</v>
      </c>
      <c r="W31" s="705">
        <f t="shared" si="14"/>
        <v>100</v>
      </c>
      <c r="X31" s="1354"/>
      <c r="Y31" s="383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34"/>
      <c r="Q32" s="1351" t="str">
        <f t="shared" si="11"/>
        <v>公共部分装修</v>
      </c>
      <c r="R32" s="704" t="s">
        <v>14</v>
      </c>
      <c r="S32" s="705">
        <f t="shared" si="12"/>
        <v>100</v>
      </c>
      <c r="T32" s="704" t="s">
        <v>14</v>
      </c>
      <c r="U32" s="705">
        <f t="shared" si="13"/>
        <v>100</v>
      </c>
      <c r="V32" s="704" t="s">
        <v>14</v>
      </c>
      <c r="W32" s="705">
        <f t="shared" si="14"/>
        <v>100</v>
      </c>
      <c r="X32" s="1354"/>
      <c r="Y32" s="383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34"/>
      <c r="Q33" s="1351" t="str">
        <f t="shared" si="11"/>
        <v>成新度</v>
      </c>
      <c r="R33" s="704" t="s">
        <v>14</v>
      </c>
      <c r="S33" s="705" t="e">
        <f t="shared" si="12"/>
        <v>#N/A</v>
      </c>
      <c r="T33" s="704" t="s">
        <v>14</v>
      </c>
      <c r="U33" s="705" t="e">
        <f t="shared" si="13"/>
        <v>#N/A</v>
      </c>
      <c r="V33" s="704" t="s">
        <v>14</v>
      </c>
      <c r="W33" s="705" t="e">
        <f t="shared" si="14"/>
        <v>#N/A</v>
      </c>
      <c r="X33" s="1354"/>
      <c r="Y33" s="383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34"/>
      <c r="Q34" s="1342" t="str">
        <f t="shared" si="11"/>
        <v>物业管理</v>
      </c>
      <c r="R34" s="700" t="s">
        <v>14</v>
      </c>
      <c r="S34" s="701">
        <f t="shared" si="12"/>
        <v>100</v>
      </c>
      <c r="T34" s="700" t="s">
        <v>14</v>
      </c>
      <c r="U34" s="701">
        <f t="shared" si="13"/>
        <v>100</v>
      </c>
      <c r="V34" s="700" t="s">
        <v>14</v>
      </c>
      <c r="W34" s="701">
        <f t="shared" si="14"/>
        <v>100</v>
      </c>
      <c r="X34" s="702"/>
      <c r="Y34" s="383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34" t="s">
        <v>1696</v>
      </c>
      <c r="Q35" s="1351" t="str">
        <f t="shared" si="11"/>
        <v>市政基础设施</v>
      </c>
      <c r="R35" s="704" t="s">
        <v>14</v>
      </c>
      <c r="S35" s="705">
        <f t="shared" si="12"/>
        <v>100</v>
      </c>
      <c r="T35" s="704" t="s">
        <v>14</v>
      </c>
      <c r="U35" s="705">
        <f t="shared" si="13"/>
        <v>100</v>
      </c>
      <c r="V35" s="704" t="s">
        <v>14</v>
      </c>
      <c r="W35" s="705">
        <f t="shared" si="14"/>
        <v>100</v>
      </c>
      <c r="X35" s="1354"/>
      <c r="Y35" s="383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34"/>
      <c r="Q36" s="1351" t="str">
        <f t="shared" si="11"/>
        <v>内部装修</v>
      </c>
      <c r="R36" s="704" t="s">
        <v>14</v>
      </c>
      <c r="S36" s="705">
        <f t="shared" si="12"/>
        <v>100</v>
      </c>
      <c r="T36" s="704" t="s">
        <v>14</v>
      </c>
      <c r="U36" s="705">
        <f t="shared" si="13"/>
        <v>100</v>
      </c>
      <c r="V36" s="704" t="s">
        <v>14</v>
      </c>
      <c r="W36" s="705">
        <f t="shared" si="14"/>
        <v>100</v>
      </c>
      <c r="X36" s="1354"/>
      <c r="Y36" s="383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34"/>
      <c r="Q37" s="1351" t="str">
        <f t="shared" si="11"/>
        <v>内部装修状况</v>
      </c>
      <c r="R37" s="704" t="s">
        <v>14</v>
      </c>
      <c r="S37" s="705">
        <f t="shared" si="12"/>
        <v>100</v>
      </c>
      <c r="T37" s="704" t="s">
        <v>14</v>
      </c>
      <c r="U37" s="705">
        <f t="shared" si="13"/>
        <v>100</v>
      </c>
      <c r="V37" s="704" t="s">
        <v>14</v>
      </c>
      <c r="W37" s="705">
        <f t="shared" si="14"/>
        <v>100</v>
      </c>
      <c r="X37" s="1354"/>
      <c r="Y37" s="383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34"/>
      <c r="Q38" s="706">
        <f t="shared" si="11"/>
        <v>111</v>
      </c>
      <c r="R38" s="707" t="s">
        <v>14</v>
      </c>
      <c r="S38" s="708">
        <f t="shared" si="12"/>
        <v>100</v>
      </c>
      <c r="T38" s="707" t="s">
        <v>14</v>
      </c>
      <c r="U38" s="708">
        <f t="shared" si="13"/>
        <v>100</v>
      </c>
      <c r="V38" s="707" t="s">
        <v>14</v>
      </c>
      <c r="W38" s="708">
        <f t="shared" si="14"/>
        <v>100</v>
      </c>
      <c r="X38" s="709"/>
      <c r="Y38" s="383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34"/>
      <c r="Q39" s="1351">
        <f t="shared" si="11"/>
        <v>111</v>
      </c>
      <c r="R39" s="704" t="s">
        <v>14</v>
      </c>
      <c r="S39" s="705">
        <f t="shared" si="12"/>
        <v>100</v>
      </c>
      <c r="T39" s="704" t="s">
        <v>14</v>
      </c>
      <c r="U39" s="705">
        <f t="shared" si="13"/>
        <v>100</v>
      </c>
      <c r="V39" s="704" t="s">
        <v>14</v>
      </c>
      <c r="W39" s="705">
        <f t="shared" si="14"/>
        <v>100</v>
      </c>
      <c r="X39" s="1354"/>
      <c r="Y39" s="383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35"/>
      <c r="Q40" s="1351">
        <f t="shared" si="11"/>
        <v>111</v>
      </c>
      <c r="R40" s="704" t="s">
        <v>14</v>
      </c>
      <c r="S40" s="705">
        <f t="shared" si="12"/>
        <v>100</v>
      </c>
      <c r="T40" s="704" t="s">
        <v>14</v>
      </c>
      <c r="U40" s="705">
        <f t="shared" si="13"/>
        <v>100</v>
      </c>
      <c r="V40" s="704" t="s">
        <v>14</v>
      </c>
      <c r="W40" s="705">
        <f t="shared" si="14"/>
        <v>100</v>
      </c>
      <c r="X40" s="1354"/>
      <c r="Y40" s="383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827" t="str">
        <f>A41</f>
        <v>成交单价（元/平方米）</v>
      </c>
      <c r="Q41" s="3827"/>
      <c r="R41" s="3828">
        <f>E41</f>
        <v>0</v>
      </c>
      <c r="S41" s="3828"/>
      <c r="T41" s="3828">
        <f>G41</f>
        <v>0</v>
      </c>
      <c r="U41" s="3828"/>
      <c r="V41" s="3828">
        <f>I41</f>
        <v>0</v>
      </c>
      <c r="W41" s="382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827" t="str">
        <f>A42</f>
        <v>比较价值（元/平方米）</v>
      </c>
      <c r="Q42" s="3827"/>
      <c r="R42" s="3828" t="e">
        <f>IF(F1="售价",ROUND(PRODUCT(R41,AA7:AA40),0),ROUND(PRODUCT(R41,AA7:AA40),1))</f>
        <v>#DIV/0!</v>
      </c>
      <c r="S42" s="3828"/>
      <c r="T42" s="3828" t="e">
        <f>IF(F1="售价",ROUND(PRODUCT(T41,AB7:AB40),0),ROUND(PRODUCT(T41,AB7:AB40),1))</f>
        <v>#DIV/0!</v>
      </c>
      <c r="U42" s="3828"/>
      <c r="V42" s="3828" t="e">
        <f>IF(F1="售价",ROUND(PRODUCT(V41,AC7:AC40),0),ROUND(PRODUCT(V41,AC7:AC40),1))</f>
        <v>#DIV/0!</v>
      </c>
      <c r="W42" s="382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2023-12</v>
      </c>
      <c r="D52" s="1184">
        <f>EDATE(C52,-1)</f>
        <v>45231</v>
      </c>
      <c r="E52" s="1184">
        <f t="shared" ref="E52:O52" si="16">EDATE(D52,-1)</f>
        <v>45200</v>
      </c>
      <c r="F52" s="1184">
        <f t="shared" si="16"/>
        <v>45170</v>
      </c>
      <c r="G52" s="1184">
        <f t="shared" si="16"/>
        <v>45139</v>
      </c>
      <c r="H52" s="1184">
        <f t="shared" si="16"/>
        <v>45108</v>
      </c>
      <c r="I52" s="1184">
        <f t="shared" si="16"/>
        <v>45078</v>
      </c>
      <c r="J52" s="1184">
        <f t="shared" si="16"/>
        <v>45047</v>
      </c>
      <c r="K52" s="1184">
        <f t="shared" si="16"/>
        <v>45017</v>
      </c>
      <c r="L52" s="1184">
        <f t="shared" si="16"/>
        <v>44986</v>
      </c>
      <c r="M52" s="1184">
        <f t="shared" si="16"/>
        <v>44958</v>
      </c>
      <c r="N52" s="1184">
        <f t="shared" si="16"/>
        <v>44927</v>
      </c>
      <c r="O52" s="1184">
        <f t="shared" si="16"/>
        <v>44896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60" zoomScaleNormal="60" workbookViewId="0">
      <selection activeCell="N29" sqref="N29"/>
    </sheetView>
  </sheetViews>
  <sheetFormatPr defaultColWidth="9" defaultRowHeight="14.25"/>
  <cols>
    <col min="1" max="1" width="10.5" style="357" customWidth="1"/>
    <col min="2" max="2" width="15.875" style="357" customWidth="1"/>
    <col min="3" max="3" width="17.625" style="357" customWidth="1"/>
    <col min="4" max="4" width="12.125" style="357" customWidth="1"/>
    <col min="5" max="5" width="15.125" style="357" customWidth="1"/>
    <col min="6" max="6" width="12.125" style="357" customWidth="1"/>
    <col min="7" max="7" width="15.12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875" style="90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1831</v>
      </c>
      <c r="B1" s="1222" t="s">
        <v>3337</v>
      </c>
      <c r="C1" s="1223" t="s">
        <v>1662</v>
      </c>
      <c r="D1" s="1224" t="s">
        <v>3337</v>
      </c>
      <c r="E1" s="3432" t="s">
        <v>3639</v>
      </c>
      <c r="F1" s="1878" t="s">
        <v>3571</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IF(B37="元/平方米",ROUND(C39*D3/10000,0),ROUND(F3*C39/10000,0)),IF(B37="元/平方米",ROUND(C39*D3/10000,0),ROUND(F3*C39/10000,0))-D2),IF(E1="单套模式",IF(C2="——",IF(B37="元/平方米",ROUND(C39*D3/10000,0),ROUND(F3*C39/10000,0)),IF(B37="元/平方米",ROUND(C39*D3/10000,0),ROUND(F3*C39/10000,0))-D2)))</f>
        <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f>IF(AND(C2="——",B37="元/平方米"),C39,ROUND(B2*10000/D3,0))</f>
        <v>0</v>
      </c>
      <c r="C3" s="354" t="s">
        <v>1768</v>
      </c>
      <c r="D3" s="353">
        <f>SUMIF('数据-汇总表'!$C19:$C33,D1,'数据-汇总表'!$E19:$E33)</f>
        <v>8129.2</v>
      </c>
      <c r="E3" s="354" t="s">
        <v>1832</v>
      </c>
      <c r="F3" s="353">
        <f>SUMIF('数据-取费表'!A5:A15,D1,'数据-取费表'!AH5:AH15)</f>
        <v>0</v>
      </c>
      <c r="G3" s="907"/>
      <c r="H3" s="907"/>
      <c r="I3" s="907"/>
      <c r="J3" s="907"/>
      <c r="K3" s="909"/>
      <c r="L3" s="2733"/>
      <c r="M3" s="2734">
        <f>IF(C2="——",IF(B37="元/平方米",ROUND(C39*D3/10000,0),ROUND(F3*C39/10000,0)),IF(B37="元/平方米",ROUND(C39*D3/10000,0),ROUND(F3*C39/10000,0))-D2)</f>
        <v>0</v>
      </c>
      <c r="N3" s="2734"/>
      <c r="O3" s="2734"/>
      <c r="P3" s="1164"/>
      <c r="Q3" s="698"/>
      <c r="R3" s="698"/>
      <c r="S3" s="698"/>
      <c r="T3" s="698"/>
      <c r="U3" s="698"/>
      <c r="V3" s="698"/>
      <c r="W3" s="698"/>
      <c r="X3" s="698"/>
      <c r="Y3" s="698"/>
      <c r="Z3" s="698"/>
      <c r="AA3" s="698"/>
      <c r="AB3" s="715"/>
      <c r="AC3" s="712"/>
    </row>
    <row r="4" spans="1:29" ht="15">
      <c r="A4" s="355" t="s">
        <v>1769</v>
      </c>
      <c r="B4" s="356"/>
      <c r="C4" s="3842" t="s">
        <v>1770</v>
      </c>
      <c r="D4" s="3843"/>
      <c r="E4" s="3844" t="s">
        <v>1771</v>
      </c>
      <c r="F4" s="3845"/>
      <c r="G4" s="3842" t="s">
        <v>1772</v>
      </c>
      <c r="H4" s="3843"/>
      <c r="I4" s="3842" t="s">
        <v>1773</v>
      </c>
      <c r="J4" s="3843"/>
      <c r="K4" s="559" t="s">
        <v>1774</v>
      </c>
      <c r="L4" s="2714"/>
      <c r="M4" s="2715"/>
      <c r="N4" s="2715"/>
      <c r="O4" s="2715"/>
      <c r="P4" s="3846" t="s">
        <v>1775</v>
      </c>
      <c r="Q4" s="3847"/>
      <c r="R4" s="3852" t="s">
        <v>1771</v>
      </c>
      <c r="S4" s="3853"/>
      <c r="T4" s="3852" t="s">
        <v>1772</v>
      </c>
      <c r="U4" s="3853"/>
      <c r="V4" s="3858" t="s">
        <v>1773</v>
      </c>
      <c r="W4" s="3858"/>
      <c r="X4" s="1354"/>
      <c r="Y4" s="3852" t="s">
        <v>1775</v>
      </c>
      <c r="Z4" s="3853"/>
      <c r="AA4" s="3839" t="s">
        <v>1771</v>
      </c>
      <c r="AB4" s="3840" t="s">
        <v>1772</v>
      </c>
      <c r="AC4" s="3839" t="s">
        <v>1773</v>
      </c>
    </row>
    <row r="5" spans="1:29" ht="14.1" customHeight="1">
      <c r="A5" s="358"/>
      <c r="B5" s="359"/>
      <c r="C5" s="3861" t="s">
        <v>1673</v>
      </c>
      <c r="D5" s="3862"/>
      <c r="E5" s="3885" t="s">
        <v>3633</v>
      </c>
      <c r="F5" s="3886"/>
      <c r="G5" s="3885" t="s">
        <v>3641</v>
      </c>
      <c r="H5" s="3886"/>
      <c r="I5" s="3888" t="s">
        <v>3635</v>
      </c>
      <c r="J5" s="3889"/>
      <c r="K5" s="559"/>
      <c r="L5" s="2714"/>
      <c r="M5" s="2715"/>
      <c r="N5" s="2715"/>
      <c r="O5" s="2715"/>
      <c r="P5" s="3848"/>
      <c r="Q5" s="3849"/>
      <c r="R5" s="3854"/>
      <c r="S5" s="3855"/>
      <c r="T5" s="3854"/>
      <c r="U5" s="3855"/>
      <c r="V5" s="3858"/>
      <c r="W5" s="3858"/>
      <c r="X5" s="1354"/>
      <c r="Y5" s="3854"/>
      <c r="Z5" s="3855"/>
      <c r="AA5" s="3840"/>
      <c r="AB5" s="3840"/>
      <c r="AC5" s="3840"/>
    </row>
    <row r="6" spans="1:29" ht="15.75" thickBot="1">
      <c r="A6" s="360"/>
      <c r="B6" s="361"/>
      <c r="C6" s="3859" t="s">
        <v>1677</v>
      </c>
      <c r="D6" s="3860"/>
      <c r="E6" s="3866" t="s">
        <v>1677</v>
      </c>
      <c r="F6" s="3867"/>
      <c r="G6" s="3859" t="s">
        <v>1677</v>
      </c>
      <c r="H6" s="3860"/>
      <c r="I6" s="3859" t="s">
        <v>1677</v>
      </c>
      <c r="J6" s="3860"/>
      <c r="K6" s="559" t="s">
        <v>1678</v>
      </c>
      <c r="L6" s="2714"/>
      <c r="M6" s="2715"/>
      <c r="N6" s="2715"/>
      <c r="O6" s="2715"/>
      <c r="P6" s="3850"/>
      <c r="Q6" s="3851"/>
      <c r="R6" s="3854"/>
      <c r="S6" s="3855"/>
      <c r="T6" s="3856"/>
      <c r="U6" s="3857"/>
      <c r="V6" s="3858"/>
      <c r="W6" s="3858"/>
      <c r="X6" s="1354"/>
      <c r="Y6" s="3856"/>
      <c r="Z6" s="3857"/>
      <c r="AA6" s="3841"/>
      <c r="AB6" s="3841"/>
      <c r="AC6" s="3841"/>
    </row>
    <row r="7" spans="1:29" s="108" customFormat="1" ht="15.75" thickBot="1">
      <c r="A7" s="362" t="s">
        <v>1679</v>
      </c>
      <c r="B7" s="363"/>
      <c r="C7" s="364">
        <f>'数据-取费表'!B2</f>
        <v>45291</v>
      </c>
      <c r="D7" s="365">
        <v>100</v>
      </c>
      <c r="E7" s="366">
        <f>C7</f>
        <v>45291</v>
      </c>
      <c r="F7" s="367">
        <f>SUMIF(48:48,YEAR(E7)&amp;"-"&amp;MONTH(E7),49:49)</f>
        <v>100</v>
      </c>
      <c r="G7" s="366">
        <f>C7</f>
        <v>45291</v>
      </c>
      <c r="H7" s="365">
        <f>SUMIF(48:48,YEAR(G7)&amp;"-"&amp;MONTH(G7),49:49)</f>
        <v>100</v>
      </c>
      <c r="I7" s="366">
        <f>C7</f>
        <v>45291</v>
      </c>
      <c r="J7" s="365">
        <f>SUMIF(48:48,YEAR(I7)&amp;"-"&amp;MONTH(I7),49:49)</f>
        <v>100</v>
      </c>
      <c r="K7" s="560"/>
      <c r="L7" s="2716"/>
      <c r="M7" s="2717"/>
      <c r="N7" s="2717"/>
      <c r="O7" s="2717"/>
      <c r="P7" s="3863" t="s">
        <v>1680</v>
      </c>
      <c r="Q7" s="3865"/>
      <c r="R7" s="700" t="s">
        <v>14</v>
      </c>
      <c r="S7" s="701">
        <f t="shared" ref="S7:S14" si="0">F7</f>
        <v>100</v>
      </c>
      <c r="T7" s="700" t="s">
        <v>14</v>
      </c>
      <c r="U7" s="701">
        <f t="shared" ref="U7:U14" si="1">H7</f>
        <v>100</v>
      </c>
      <c r="V7" s="700" t="s">
        <v>14</v>
      </c>
      <c r="W7" s="701">
        <f t="shared" ref="W7:W14" si="2">J7</f>
        <v>100</v>
      </c>
      <c r="X7" s="702"/>
      <c r="Y7" s="3863" t="s">
        <v>1680</v>
      </c>
      <c r="Z7" s="3864"/>
      <c r="AA7" s="703">
        <f>D7/F7</f>
        <v>1</v>
      </c>
      <c r="AB7" s="703">
        <f>D7/H7</f>
        <v>1</v>
      </c>
      <c r="AC7" s="703">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63" t="s">
        <v>1683</v>
      </c>
      <c r="Q8" s="3864"/>
      <c r="R8" s="700" t="s">
        <v>14</v>
      </c>
      <c r="S8" s="701">
        <f t="shared" si="0"/>
        <v>100</v>
      </c>
      <c r="T8" s="700" t="s">
        <v>14</v>
      </c>
      <c r="U8" s="701">
        <f t="shared" si="1"/>
        <v>100</v>
      </c>
      <c r="V8" s="700" t="s">
        <v>14</v>
      </c>
      <c r="W8" s="701">
        <f t="shared" si="2"/>
        <v>100</v>
      </c>
      <c r="X8" s="702"/>
      <c r="Y8" s="3863" t="s">
        <v>1683</v>
      </c>
      <c r="Z8" s="386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27" t="s">
        <v>1686</v>
      </c>
      <c r="Q9" s="1342" t="str">
        <f t="shared" ref="Q9:Q14" si="6">B9</f>
        <v>用途</v>
      </c>
      <c r="R9" s="700" t="s">
        <v>14</v>
      </c>
      <c r="S9" s="701">
        <f t="shared" si="0"/>
        <v>100</v>
      </c>
      <c r="T9" s="700" t="s">
        <v>14</v>
      </c>
      <c r="U9" s="701">
        <f t="shared" si="1"/>
        <v>100</v>
      </c>
      <c r="V9" s="700" t="s">
        <v>14</v>
      </c>
      <c r="W9" s="701">
        <f t="shared" si="2"/>
        <v>100</v>
      </c>
      <c r="X9" s="702"/>
      <c r="Y9" s="3702"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27"/>
      <c r="Q10" s="1342" t="str">
        <f t="shared" si="6"/>
        <v>土地使用年限（年）</v>
      </c>
      <c r="R10" s="700" t="s">
        <v>14</v>
      </c>
      <c r="S10" s="701">
        <f t="shared" si="0"/>
        <v>100</v>
      </c>
      <c r="T10" s="700" t="s">
        <v>14</v>
      </c>
      <c r="U10" s="701">
        <f t="shared" si="1"/>
        <v>100</v>
      </c>
      <c r="V10" s="700" t="s">
        <v>14</v>
      </c>
      <c r="W10" s="701">
        <f t="shared" si="2"/>
        <v>100</v>
      </c>
      <c r="X10" s="702"/>
      <c r="Y10" s="370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27"/>
      <c r="Q11" s="1342">
        <f t="shared" si="6"/>
        <v>111</v>
      </c>
      <c r="R11" s="700" t="s">
        <v>14</v>
      </c>
      <c r="S11" s="701">
        <f t="shared" si="0"/>
        <v>100</v>
      </c>
      <c r="T11" s="700" t="s">
        <v>14</v>
      </c>
      <c r="U11" s="701">
        <f t="shared" si="1"/>
        <v>100</v>
      </c>
      <c r="V11" s="700" t="s">
        <v>14</v>
      </c>
      <c r="W11" s="701">
        <f t="shared" si="2"/>
        <v>100</v>
      </c>
      <c r="X11" s="702"/>
      <c r="Y11" s="370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27"/>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27"/>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703">
        <f t="shared" si="5"/>
        <v>1</v>
      </c>
    </row>
    <row r="14" spans="1:29" ht="71.2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29" t="s">
        <v>1691</v>
      </c>
      <c r="Q14" s="1351" t="str">
        <f t="shared" si="6"/>
        <v>交通便捷度</v>
      </c>
      <c r="R14" s="704" t="s">
        <v>14</v>
      </c>
      <c r="S14" s="705">
        <f t="shared" si="0"/>
        <v>100</v>
      </c>
      <c r="T14" s="704" t="s">
        <v>14</v>
      </c>
      <c r="U14" s="705">
        <f t="shared" si="1"/>
        <v>100</v>
      </c>
      <c r="V14" s="704" t="s">
        <v>14</v>
      </c>
      <c r="W14" s="705">
        <f t="shared" si="2"/>
        <v>100</v>
      </c>
      <c r="X14" s="1354"/>
      <c r="Y14" s="3829" t="s">
        <v>1691</v>
      </c>
      <c r="Z14" s="1355" t="str">
        <f t="shared" si="7"/>
        <v>交通便捷度</v>
      </c>
      <c r="AA14" s="1352">
        <f t="shared" si="3"/>
        <v>1</v>
      </c>
      <c r="AB14" s="1352">
        <f t="shared" si="4"/>
        <v>1</v>
      </c>
      <c r="AC14" s="1352">
        <f t="shared" si="5"/>
        <v>1</v>
      </c>
    </row>
    <row r="15" spans="1:29" ht="15">
      <c r="A15" s="358"/>
      <c r="B15" s="595"/>
      <c r="C15" s="398" t="s">
        <v>3574</v>
      </c>
      <c r="D15" s="399"/>
      <c r="E15" s="398" t="s">
        <v>3574</v>
      </c>
      <c r="F15" s="400"/>
      <c r="G15" s="398" t="s">
        <v>3574</v>
      </c>
      <c r="H15" s="401"/>
      <c r="I15" s="398" t="s">
        <v>3574</v>
      </c>
      <c r="J15" s="399"/>
      <c r="K15" s="564"/>
      <c r="L15" s="2721"/>
      <c r="M15" s="2715"/>
      <c r="N15" s="2715"/>
      <c r="O15" s="2715"/>
      <c r="P15" s="3830"/>
      <c r="Q15" s="1351"/>
      <c r="R15" s="704"/>
      <c r="S15" s="705"/>
      <c r="T15" s="704"/>
      <c r="U15" s="705"/>
      <c r="V15" s="704"/>
      <c r="W15" s="705"/>
      <c r="X15" s="1354"/>
      <c r="Y15" s="3830"/>
      <c r="Z15" s="1355"/>
      <c r="AA15" s="1352">
        <v>1</v>
      </c>
      <c r="AB15" s="1352">
        <v>1</v>
      </c>
      <c r="AC15" s="1352">
        <v>1</v>
      </c>
    </row>
    <row r="16" spans="1:29" ht="28.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30"/>
      <c r="Q16" s="1351" t="str">
        <f>B16</f>
        <v>公共配套设施</v>
      </c>
      <c r="R16" s="704" t="s">
        <v>14</v>
      </c>
      <c r="S16" s="705">
        <f>F16</f>
        <v>100</v>
      </c>
      <c r="T16" s="704" t="s">
        <v>14</v>
      </c>
      <c r="U16" s="705">
        <f>H16</f>
        <v>100</v>
      </c>
      <c r="V16" s="704" t="s">
        <v>14</v>
      </c>
      <c r="W16" s="705">
        <f>J16</f>
        <v>100</v>
      </c>
      <c r="X16" s="1354"/>
      <c r="Y16" s="383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830"/>
      <c r="Q17" s="1351"/>
      <c r="R17" s="704"/>
      <c r="S17" s="705"/>
      <c r="T17" s="704"/>
      <c r="U17" s="705"/>
      <c r="V17" s="704"/>
      <c r="W17" s="705"/>
      <c r="X17" s="1354"/>
      <c r="Y17" s="383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30"/>
      <c r="Q18" s="1351" t="str">
        <f>B18</f>
        <v>基础设施水平</v>
      </c>
      <c r="R18" s="704" t="s">
        <v>14</v>
      </c>
      <c r="S18" s="705">
        <f>F18</f>
        <v>100</v>
      </c>
      <c r="T18" s="704" t="s">
        <v>14</v>
      </c>
      <c r="U18" s="705">
        <f>H18</f>
        <v>100</v>
      </c>
      <c r="V18" s="704" t="s">
        <v>14</v>
      </c>
      <c r="W18" s="705">
        <f>J18</f>
        <v>100</v>
      </c>
      <c r="X18" s="1354"/>
      <c r="Y18" s="383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830"/>
      <c r="Q19" s="1351"/>
      <c r="R19" s="704"/>
      <c r="S19" s="705"/>
      <c r="T19" s="704"/>
      <c r="U19" s="705"/>
      <c r="V19" s="704"/>
      <c r="W19" s="705"/>
      <c r="X19" s="1354"/>
      <c r="Y19" s="3830"/>
      <c r="Z19" s="1355"/>
      <c r="AA19" s="1352">
        <v>1</v>
      </c>
      <c r="AB19" s="1352">
        <v>1</v>
      </c>
      <c r="AC19" s="1352">
        <v>1</v>
      </c>
    </row>
    <row r="20" spans="1:29" ht="42.75">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30"/>
      <c r="Q20" s="1351" t="str">
        <f>B20</f>
        <v>自然及人文环境</v>
      </c>
      <c r="R20" s="704" t="s">
        <v>14</v>
      </c>
      <c r="S20" s="705">
        <f>F20</f>
        <v>100</v>
      </c>
      <c r="T20" s="704" t="s">
        <v>14</v>
      </c>
      <c r="U20" s="705">
        <f>H20</f>
        <v>100</v>
      </c>
      <c r="V20" s="704" t="s">
        <v>14</v>
      </c>
      <c r="W20" s="705">
        <f>J20</f>
        <v>100</v>
      </c>
      <c r="X20" s="1354"/>
      <c r="Y20" s="383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830"/>
      <c r="Q21" s="1351"/>
      <c r="R21" s="704"/>
      <c r="S21" s="705"/>
      <c r="T21" s="704"/>
      <c r="U21" s="705"/>
      <c r="V21" s="704"/>
      <c r="W21" s="705"/>
      <c r="X21" s="1354"/>
      <c r="Y21" s="383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30"/>
      <c r="Q22" s="1351" t="str">
        <f>B22</f>
        <v>楼层</v>
      </c>
      <c r="R22" s="704" t="s">
        <v>14</v>
      </c>
      <c r="S22" s="705">
        <f>F22</f>
        <v>100</v>
      </c>
      <c r="T22" s="704" t="s">
        <v>14</v>
      </c>
      <c r="U22" s="705">
        <f>H22</f>
        <v>100</v>
      </c>
      <c r="V22" s="704" t="s">
        <v>14</v>
      </c>
      <c r="W22" s="705">
        <f>J22</f>
        <v>100</v>
      </c>
      <c r="X22" s="1354"/>
      <c r="Y22" s="383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30"/>
      <c r="Q23" s="1351">
        <f>B23</f>
        <v>111</v>
      </c>
      <c r="R23" s="704" t="s">
        <v>14</v>
      </c>
      <c r="S23" s="705">
        <f>F23</f>
        <v>100</v>
      </c>
      <c r="T23" s="704" t="s">
        <v>14</v>
      </c>
      <c r="U23" s="705">
        <f>H23</f>
        <v>100</v>
      </c>
      <c r="V23" s="704" t="s">
        <v>14</v>
      </c>
      <c r="W23" s="705">
        <f>J23</f>
        <v>100</v>
      </c>
      <c r="X23" s="1354"/>
      <c r="Y23" s="383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30"/>
      <c r="Q24" s="1351">
        <f t="shared" ref="Q24:Q36" si="11">B24</f>
        <v>111</v>
      </c>
      <c r="R24" s="704" t="s">
        <v>14</v>
      </c>
      <c r="S24" s="705">
        <f>F24</f>
        <v>100</v>
      </c>
      <c r="T24" s="704" t="s">
        <v>14</v>
      </c>
      <c r="U24" s="705">
        <f>H24</f>
        <v>100</v>
      </c>
      <c r="V24" s="704" t="s">
        <v>14</v>
      </c>
      <c r="W24" s="705">
        <f>J24</f>
        <v>100</v>
      </c>
      <c r="X24" s="1354"/>
      <c r="Y24" s="383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30"/>
      <c r="Q25" s="1342">
        <f t="shared" si="11"/>
        <v>111</v>
      </c>
      <c r="R25" s="700" t="s">
        <v>14</v>
      </c>
      <c r="S25" s="701">
        <f>F25</f>
        <v>100</v>
      </c>
      <c r="T25" s="700" t="s">
        <v>14</v>
      </c>
      <c r="U25" s="701">
        <f>H25</f>
        <v>100</v>
      </c>
      <c r="V25" s="700" t="s">
        <v>14</v>
      </c>
      <c r="W25" s="701">
        <f>J25</f>
        <v>100</v>
      </c>
      <c r="X25" s="702"/>
      <c r="Y25" s="3830"/>
      <c r="Z25" s="52">
        <f>Q25</f>
        <v>111</v>
      </c>
      <c r="AA25" s="1352">
        <f>D25/F25</f>
        <v>1</v>
      </c>
      <c r="AB25" s="1352">
        <f>D25/H25</f>
        <v>1</v>
      </c>
      <c r="AC25" s="1352">
        <f>D25/J25</f>
        <v>1</v>
      </c>
    </row>
    <row r="26" spans="1:29" ht="28.5">
      <c r="A26" s="600" t="s">
        <v>1694</v>
      </c>
      <c r="B26" s="62" t="s">
        <v>1836</v>
      </c>
      <c r="C26" s="1971" t="str">
        <f>B1</f>
        <v>车库</v>
      </c>
      <c r="D26" s="399">
        <v>100</v>
      </c>
      <c r="E26" s="398" t="s">
        <v>3337</v>
      </c>
      <c r="F26" s="400">
        <f>SUMIF(79:79,E26,80:80)-SUMIF(79:79,C26,80:80)+100</f>
        <v>100</v>
      </c>
      <c r="G26" s="398" t="s">
        <v>3337</v>
      </c>
      <c r="H26" s="399">
        <f>SUMIF(79:79,G26,80:80)-SUMIF(79:79,C26,80:80)+100</f>
        <v>100</v>
      </c>
      <c r="I26" s="398" t="s">
        <v>3337</v>
      </c>
      <c r="J26" s="399">
        <f>SUMIF(79:79,I26,80:80)-SUMIF(79:79,C26,80:80)+100</f>
        <v>100</v>
      </c>
      <c r="K26" s="561"/>
      <c r="L26" s="2721"/>
      <c r="M26" s="2715"/>
      <c r="N26" s="2715"/>
      <c r="O26" s="2715"/>
      <c r="P26" s="3911" t="s">
        <v>1696</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834" t="s">
        <v>1696</v>
      </c>
      <c r="Z26" s="1355" t="str">
        <f t="shared" ref="Z26:Z36" si="15">Q26</f>
        <v>配套类型</v>
      </c>
      <c r="AA26" s="1352">
        <f t="shared" si="3"/>
        <v>1</v>
      </c>
      <c r="AB26" s="1352">
        <f t="shared" si="4"/>
        <v>1</v>
      </c>
      <c r="AC26" s="1352">
        <f t="shared" si="5"/>
        <v>1</v>
      </c>
    </row>
    <row r="27" spans="1:29" s="422" customFormat="1" ht="15">
      <c r="A27" s="601"/>
      <c r="B27" s="602" t="s">
        <v>1837</v>
      </c>
      <c r="C27" s="3993" t="s">
        <v>3643</v>
      </c>
      <c r="D27" s="3983">
        <v>100</v>
      </c>
      <c r="E27" s="3993" t="s">
        <v>3645</v>
      </c>
      <c r="F27" s="3992">
        <f>SUMIF(81:81,E27,82:82)-SUMIF(81:81,C27,82:82)+100</f>
        <v>101</v>
      </c>
      <c r="G27" s="3993" t="s">
        <v>3646</v>
      </c>
      <c r="H27" s="3991">
        <f>SUMIF(81:81,G27,82:82)-SUMIF(81:81,C27,82:82)+100</f>
        <v>101</v>
      </c>
      <c r="I27" s="3993" t="s">
        <v>3644</v>
      </c>
      <c r="J27" s="3991">
        <f>SUMIF(81:81,I27,82:82)-SUMIF(81:81,C27,82:82)+100</f>
        <v>101</v>
      </c>
      <c r="K27" s="562"/>
      <c r="L27" s="2720"/>
      <c r="M27" s="2722"/>
      <c r="N27" s="2722"/>
      <c r="O27" s="2722"/>
      <c r="P27" s="3834"/>
      <c r="Q27" s="706" t="str">
        <f t="shared" si="11"/>
        <v>项目停车位配比</v>
      </c>
      <c r="R27" s="707" t="s">
        <v>14</v>
      </c>
      <c r="S27" s="708">
        <f t="shared" si="12"/>
        <v>101</v>
      </c>
      <c r="T27" s="707" t="s">
        <v>14</v>
      </c>
      <c r="U27" s="708">
        <f t="shared" si="13"/>
        <v>101</v>
      </c>
      <c r="V27" s="707" t="s">
        <v>14</v>
      </c>
      <c r="W27" s="708">
        <f t="shared" si="14"/>
        <v>101</v>
      </c>
      <c r="X27" s="709"/>
      <c r="Y27" s="3834"/>
      <c r="Z27" s="710" t="str">
        <f t="shared" si="15"/>
        <v>项目停车位配比</v>
      </c>
      <c r="AA27" s="1352">
        <f t="shared" si="3"/>
        <v>0.99009900990099009</v>
      </c>
      <c r="AB27" s="1352">
        <f t="shared" si="4"/>
        <v>0.99009900990099009</v>
      </c>
      <c r="AC27" s="1352">
        <f t="shared" si="5"/>
        <v>0.99009900990099009</v>
      </c>
    </row>
    <row r="28" spans="1:29" ht="15">
      <c r="A28" s="603"/>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34"/>
      <c r="Q28" s="1351" t="str">
        <f t="shared" si="11"/>
        <v>公共部分装修</v>
      </c>
      <c r="R28" s="704" t="s">
        <v>14</v>
      </c>
      <c r="S28" s="705">
        <f t="shared" si="12"/>
        <v>100</v>
      </c>
      <c r="T28" s="704" t="s">
        <v>14</v>
      </c>
      <c r="U28" s="705">
        <f t="shared" si="13"/>
        <v>100</v>
      </c>
      <c r="V28" s="704" t="s">
        <v>14</v>
      </c>
      <c r="W28" s="705">
        <f t="shared" si="14"/>
        <v>100</v>
      </c>
      <c r="X28" s="1354"/>
      <c r="Y28" s="3834"/>
      <c r="Z28" s="1355" t="str">
        <f t="shared" si="15"/>
        <v>公共部分装修</v>
      </c>
      <c r="AA28" s="1352">
        <f t="shared" si="3"/>
        <v>1</v>
      </c>
      <c r="AB28" s="1352">
        <f t="shared" si="4"/>
        <v>1</v>
      </c>
      <c r="AC28" s="1352">
        <f t="shared" si="5"/>
        <v>1</v>
      </c>
    </row>
    <row r="29" spans="1:29" ht="15">
      <c r="A29" s="603"/>
      <c r="B29" s="602" t="s">
        <v>1839</v>
      </c>
      <c r="C29" s="3990">
        <v>1</v>
      </c>
      <c r="D29" s="3991">
        <v>100</v>
      </c>
      <c r="E29" s="3990">
        <v>1</v>
      </c>
      <c r="F29" s="3992">
        <f>LOOKUP(E29,86:86,87:87)-LOOKUP(C29,86:86,87:87)+100</f>
        <v>100</v>
      </c>
      <c r="G29" s="3990">
        <v>1</v>
      </c>
      <c r="H29" s="3992">
        <f>LOOKUP(G29,86:86,87:87)-LOOKUP(C29,86:86,87:87)+100</f>
        <v>100</v>
      </c>
      <c r="I29" s="3990">
        <v>1</v>
      </c>
      <c r="J29" s="3991">
        <f>LOOKUP(I29,86:86,87:87)-LOOKUP(C29,86:86,87:87)+100</f>
        <v>100</v>
      </c>
      <c r="K29" s="561">
        <v>2</v>
      </c>
      <c r="L29" s="2721"/>
      <c r="M29" s="2715"/>
      <c r="N29" s="2715"/>
      <c r="O29" s="2715"/>
      <c r="P29" s="3834"/>
      <c r="Q29" s="1351" t="str">
        <f t="shared" si="11"/>
        <v>成新率</v>
      </c>
      <c r="R29" s="704" t="s">
        <v>14</v>
      </c>
      <c r="S29" s="705">
        <f t="shared" si="12"/>
        <v>100</v>
      </c>
      <c r="T29" s="704" t="s">
        <v>14</v>
      </c>
      <c r="U29" s="705">
        <f t="shared" si="13"/>
        <v>100</v>
      </c>
      <c r="V29" s="704" t="s">
        <v>14</v>
      </c>
      <c r="W29" s="705">
        <f t="shared" si="14"/>
        <v>100</v>
      </c>
      <c r="X29" s="1354"/>
      <c r="Y29" s="3834"/>
      <c r="Z29" s="1355" t="str">
        <f t="shared" si="15"/>
        <v>成新率</v>
      </c>
      <c r="AA29" s="1352">
        <f t="shared" si="3"/>
        <v>1</v>
      </c>
      <c r="AB29" s="1352">
        <f t="shared" si="4"/>
        <v>1</v>
      </c>
      <c r="AC29" s="1352">
        <f t="shared" si="5"/>
        <v>1</v>
      </c>
    </row>
    <row r="30" spans="1:29" ht="15">
      <c r="A30" s="603"/>
      <c r="B30" s="602"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34"/>
      <c r="Q30" s="1351" t="str">
        <f t="shared" si="11"/>
        <v>物业等级</v>
      </c>
      <c r="R30" s="704" t="s">
        <v>14</v>
      </c>
      <c r="S30" s="705">
        <f t="shared" si="12"/>
        <v>100</v>
      </c>
      <c r="T30" s="704" t="s">
        <v>14</v>
      </c>
      <c r="U30" s="705">
        <f t="shared" si="13"/>
        <v>100</v>
      </c>
      <c r="V30" s="704" t="s">
        <v>14</v>
      </c>
      <c r="W30" s="705">
        <f t="shared" si="14"/>
        <v>100</v>
      </c>
      <c r="X30" s="1354"/>
      <c r="Y30" s="3834"/>
      <c r="Z30" s="1355" t="str">
        <f t="shared" si="15"/>
        <v>物业等级</v>
      </c>
      <c r="AA30" s="1352">
        <f t="shared" si="3"/>
        <v>1</v>
      </c>
      <c r="AB30" s="1352">
        <f t="shared" si="4"/>
        <v>1</v>
      </c>
      <c r="AC30" s="1352">
        <f t="shared" si="5"/>
        <v>1</v>
      </c>
    </row>
    <row r="31" spans="1:29" s="108" customFormat="1" ht="15">
      <c r="A31" s="605"/>
      <c r="B31" s="602" t="s">
        <v>1841</v>
      </c>
      <c r="C31" s="420"/>
      <c r="D31" s="127">
        <v>100</v>
      </c>
      <c r="E31" s="420"/>
      <c r="F31" s="412">
        <f>LOOKUP(E31,91:91,92:92)-LOOKUP(C31,91:91,92:92)+100</f>
        <v>100</v>
      </c>
      <c r="G31" s="420"/>
      <c r="H31" s="386">
        <f>LOOKUP(G31,91:91,92:92)-LOOKUP(C31,91:91,92:92)+100</f>
        <v>100</v>
      </c>
      <c r="I31" s="420"/>
      <c r="J31" s="386">
        <f>LOOKUP(I31,91:91,92:92)-LOOKUP(C31,91:91,92:92)+100</f>
        <v>100</v>
      </c>
      <c r="K31" s="561"/>
      <c r="L31" s="2716"/>
      <c r="M31" s="2717"/>
      <c r="N31" s="2717"/>
      <c r="O31" s="2717"/>
      <c r="P31" s="3834"/>
      <c r="Q31" s="1342" t="str">
        <f t="shared" si="11"/>
        <v>停车位面积</v>
      </c>
      <c r="R31" s="700" t="s">
        <v>14</v>
      </c>
      <c r="S31" s="701">
        <f t="shared" si="12"/>
        <v>100</v>
      </c>
      <c r="T31" s="700" t="s">
        <v>14</v>
      </c>
      <c r="U31" s="701">
        <f t="shared" si="13"/>
        <v>100</v>
      </c>
      <c r="V31" s="700" t="s">
        <v>14</v>
      </c>
      <c r="W31" s="701">
        <f t="shared" si="14"/>
        <v>100</v>
      </c>
      <c r="X31" s="702"/>
      <c r="Y31" s="3834"/>
      <c r="Z31" s="52" t="str">
        <f t="shared" si="15"/>
        <v>停车位面积</v>
      </c>
      <c r="AA31" s="703">
        <f t="shared" si="3"/>
        <v>1</v>
      </c>
      <c r="AB31" s="703">
        <f t="shared" si="4"/>
        <v>1</v>
      </c>
      <c r="AC31" s="703">
        <f t="shared" si="5"/>
        <v>1</v>
      </c>
    </row>
    <row r="32" spans="1:29" ht="15">
      <c r="A32" s="603"/>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34" t="s">
        <v>1696</v>
      </c>
      <c r="Q32" s="1351" t="str">
        <f t="shared" si="11"/>
        <v>车位类型</v>
      </c>
      <c r="R32" s="704" t="s">
        <v>14</v>
      </c>
      <c r="S32" s="705">
        <f t="shared" si="12"/>
        <v>100</v>
      </c>
      <c r="T32" s="704" t="s">
        <v>14</v>
      </c>
      <c r="U32" s="705">
        <f t="shared" si="13"/>
        <v>100</v>
      </c>
      <c r="V32" s="704" t="s">
        <v>14</v>
      </c>
      <c r="W32" s="705">
        <f t="shared" si="14"/>
        <v>100</v>
      </c>
      <c r="X32" s="1354"/>
      <c r="Y32" s="3834" t="s">
        <v>1696</v>
      </c>
      <c r="Z32" s="1355" t="str">
        <f t="shared" si="15"/>
        <v>车位类型</v>
      </c>
      <c r="AA32" s="1352">
        <f t="shared" si="3"/>
        <v>1</v>
      </c>
      <c r="AB32" s="1352">
        <f t="shared" si="4"/>
        <v>1</v>
      </c>
      <c r="AC32" s="1352">
        <f t="shared" si="5"/>
        <v>1</v>
      </c>
    </row>
    <row r="33" spans="1:29" ht="15">
      <c r="A33" s="603"/>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34"/>
      <c r="Q33" s="1351" t="str">
        <f t="shared" si="11"/>
        <v>是否直接入户</v>
      </c>
      <c r="R33" s="704" t="s">
        <v>14</v>
      </c>
      <c r="S33" s="705">
        <f t="shared" si="12"/>
        <v>100</v>
      </c>
      <c r="T33" s="704" t="s">
        <v>14</v>
      </c>
      <c r="U33" s="705">
        <f t="shared" si="13"/>
        <v>100</v>
      </c>
      <c r="V33" s="704" t="s">
        <v>14</v>
      </c>
      <c r="W33" s="705">
        <f t="shared" si="14"/>
        <v>100</v>
      </c>
      <c r="X33" s="1354"/>
      <c r="Y33" s="3834"/>
      <c r="Z33" s="1355" t="str">
        <f t="shared" si="15"/>
        <v>是否直接入户</v>
      </c>
      <c r="AA33" s="1352">
        <f t="shared" si="3"/>
        <v>1</v>
      </c>
      <c r="AB33" s="1352">
        <f t="shared" si="4"/>
        <v>1</v>
      </c>
      <c r="AC33" s="1352">
        <f t="shared" si="5"/>
        <v>1</v>
      </c>
    </row>
    <row r="34" spans="1:29" ht="15">
      <c r="A34" s="603"/>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34"/>
      <c r="Q34" s="1351">
        <f t="shared" si="11"/>
        <v>111</v>
      </c>
      <c r="R34" s="704" t="s">
        <v>14</v>
      </c>
      <c r="S34" s="705">
        <f t="shared" si="12"/>
        <v>100</v>
      </c>
      <c r="T34" s="704" t="s">
        <v>14</v>
      </c>
      <c r="U34" s="705">
        <f t="shared" si="13"/>
        <v>100</v>
      </c>
      <c r="V34" s="704" t="s">
        <v>14</v>
      </c>
      <c r="W34" s="705">
        <f t="shared" si="14"/>
        <v>100</v>
      </c>
      <c r="X34" s="1354"/>
      <c r="Y34" s="383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34"/>
      <c r="Q35" s="706">
        <f t="shared" si="11"/>
        <v>111</v>
      </c>
      <c r="R35" s="707" t="s">
        <v>14</v>
      </c>
      <c r="S35" s="708">
        <f t="shared" si="12"/>
        <v>100</v>
      </c>
      <c r="T35" s="707" t="s">
        <v>14</v>
      </c>
      <c r="U35" s="708">
        <f t="shared" si="13"/>
        <v>100</v>
      </c>
      <c r="V35" s="707" t="s">
        <v>14</v>
      </c>
      <c r="W35" s="708">
        <f t="shared" si="14"/>
        <v>100</v>
      </c>
      <c r="X35" s="709"/>
      <c r="Y35" s="3834"/>
      <c r="Z35" s="710">
        <f t="shared" si="15"/>
        <v>111</v>
      </c>
      <c r="AA35" s="1352">
        <f t="shared" si="3"/>
        <v>1</v>
      </c>
      <c r="AB35" s="1352">
        <f t="shared" si="4"/>
        <v>1</v>
      </c>
      <c r="AC35" s="1352">
        <f t="shared" si="5"/>
        <v>1</v>
      </c>
    </row>
    <row r="36" spans="1:29" ht="15.75" thickBot="1">
      <c r="A36" s="606"/>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34"/>
      <c r="Q36" s="1351">
        <f t="shared" si="11"/>
        <v>111</v>
      </c>
      <c r="R36" s="704" t="s">
        <v>14</v>
      </c>
      <c r="S36" s="705">
        <f t="shared" si="12"/>
        <v>100</v>
      </c>
      <c r="T36" s="704" t="s">
        <v>14</v>
      </c>
      <c r="U36" s="705">
        <f t="shared" si="13"/>
        <v>100</v>
      </c>
      <c r="V36" s="704" t="s">
        <v>14</v>
      </c>
      <c r="W36" s="705">
        <f t="shared" si="14"/>
        <v>100</v>
      </c>
      <c r="X36" s="1354"/>
      <c r="Y36" s="3834"/>
      <c r="Z36" s="1355">
        <f t="shared" si="15"/>
        <v>111</v>
      </c>
      <c r="AA36" s="1352">
        <f t="shared" si="3"/>
        <v>1</v>
      </c>
      <c r="AB36" s="1352">
        <f t="shared" si="4"/>
        <v>1</v>
      </c>
      <c r="AC36" s="1352">
        <f t="shared" si="5"/>
        <v>1</v>
      </c>
    </row>
    <row r="37" spans="1:29" ht="15">
      <c r="A37" s="430" t="s">
        <v>1844</v>
      </c>
      <c r="B37" s="1972" t="s">
        <v>3640</v>
      </c>
      <c r="C37" s="1153" t="s">
        <v>0</v>
      </c>
      <c r="D37" s="1154"/>
      <c r="E37" s="1155">
        <v>1200</v>
      </c>
      <c r="F37" s="1156"/>
      <c r="G37" s="1157">
        <v>1100</v>
      </c>
      <c r="H37" s="1158"/>
      <c r="I37" s="1155">
        <v>1200</v>
      </c>
      <c r="J37" s="1158"/>
      <c r="K37" s="568"/>
      <c r="L37" s="2723"/>
      <c r="M37" s="2724"/>
      <c r="N37" s="2715"/>
      <c r="O37" s="2724"/>
      <c r="P37" s="3827" t="str">
        <f>A37</f>
        <v>成交单价</v>
      </c>
      <c r="Q37" s="3827"/>
      <c r="R37" s="3828">
        <f>E37</f>
        <v>1200</v>
      </c>
      <c r="S37" s="3828"/>
      <c r="T37" s="3828">
        <f>G37</f>
        <v>1100</v>
      </c>
      <c r="U37" s="3828"/>
      <c r="V37" s="3828">
        <f>I37</f>
        <v>1200</v>
      </c>
      <c r="W37" s="3828"/>
      <c r="X37" s="689"/>
      <c r="Y37" s="711"/>
      <c r="Z37" s="689"/>
      <c r="AA37" s="689"/>
      <c r="AB37" s="689"/>
      <c r="AC37" s="689"/>
    </row>
    <row r="38" spans="1:29" ht="15.75" thickBot="1">
      <c r="A38" s="437" t="s">
        <v>1845</v>
      </c>
      <c r="B38" s="438" t="str">
        <f>B37</f>
        <v>元/车位</v>
      </c>
      <c r="C38" s="1159">
        <f>R39</f>
        <v>1155</v>
      </c>
      <c r="D38" s="2316" t="s">
        <v>2138</v>
      </c>
      <c r="E38" s="1160">
        <f>R38</f>
        <v>1188</v>
      </c>
      <c r="F38" s="2317"/>
      <c r="G38" s="1159">
        <f>T38</f>
        <v>1089</v>
      </c>
      <c r="H38" s="2317"/>
      <c r="I38" s="1160">
        <f>V38</f>
        <v>1188</v>
      </c>
      <c r="J38" s="2317"/>
      <c r="K38" s="2319">
        <f>F38+H38+J38</f>
        <v>0</v>
      </c>
      <c r="L38" s="2723"/>
      <c r="M38" s="2724"/>
      <c r="N38" s="2724"/>
      <c r="O38" s="2724"/>
      <c r="P38" s="3827" t="str">
        <f>A38</f>
        <v>比较价值（元/平方米）</v>
      </c>
      <c r="Q38" s="3827"/>
      <c r="R38" s="3828">
        <f>IF(F1="售价",ROUND(PRODUCT(R37,AA7:AA36),0),ROUND(PRODUCT(R37,AA7:AA36),1))</f>
        <v>1188</v>
      </c>
      <c r="S38" s="3828"/>
      <c r="T38" s="3828">
        <f>IF(F1="售价",ROUND(PRODUCT(T37,AB7:AB36),0),ROUND(PRODUCT(T37,AB7:AB36),1))</f>
        <v>1089</v>
      </c>
      <c r="U38" s="3828"/>
      <c r="V38" s="3828">
        <f>IF(F1="售价",ROUND(PRODUCT(V37,AC7:AC36),0),ROUND(PRODUCT(V37,AC7:AC36),1))</f>
        <v>1188</v>
      </c>
      <c r="W38" s="3828"/>
      <c r="X38" s="689"/>
      <c r="Y38" s="689"/>
      <c r="Z38" s="689"/>
      <c r="AA38" s="689"/>
      <c r="AB38" s="689"/>
      <c r="AC38" s="689"/>
    </row>
    <row r="39" spans="1:29" ht="15.75" thickBot="1">
      <c r="A39" s="441" t="s">
        <v>1846</v>
      </c>
      <c r="B39" s="442"/>
      <c r="C39" s="1162">
        <f>R39</f>
        <v>1155</v>
      </c>
      <c r="D39" s="1162"/>
      <c r="E39" s="1162"/>
      <c r="F39" s="1162"/>
      <c r="G39" s="1162"/>
      <c r="H39" s="1162"/>
      <c r="I39" s="1162"/>
      <c r="J39" s="1162"/>
      <c r="K39" s="569"/>
      <c r="L39" s="2723"/>
      <c r="M39" s="2724"/>
      <c r="N39" s="2724"/>
      <c r="O39" s="2724"/>
      <c r="P39" s="3824" t="str">
        <f>A39</f>
        <v>估价对象XX用房的比较价值（楼面单价，元/平方米）</v>
      </c>
      <c r="Q39" s="3825"/>
      <c r="R39" s="3912">
        <f>IF(F1="售价",ROUND(IF(D38="简单平均",AVERAGE(R38:W38),R38*F38+T38*H38+V38*J38),0),ROUND(IF(D38="简单平均",AVERAGE(R38:V38),R38*F38+T38*H38+V38*J38),1))</f>
        <v>1155</v>
      </c>
      <c r="S39" s="3912"/>
      <c r="T39" s="3912"/>
      <c r="U39" s="3912"/>
      <c r="V39" s="3912"/>
      <c r="W39" s="391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f>IF(E37&lt;E38,E38/E37-1,E37/E38-1)</f>
        <v>1.0101010101010166E-2</v>
      </c>
      <c r="F42" s="449" t="str">
        <f>IF(OR(E42&gt;=0.3,E42&lt;=-0.3),"超过30%","")</f>
        <v/>
      </c>
      <c r="G42" s="448">
        <f>IF(G37&lt;G38,G38/G37-1,G37/G38-1)</f>
        <v>1.0101010101010166E-2</v>
      </c>
      <c r="H42" s="449" t="str">
        <f>IF(OR(G42&gt;=0.3,G42&lt;=-0.3),"超过30%","")</f>
        <v/>
      </c>
      <c r="I42" s="448">
        <f>IF(I37&lt;I38,I38/I37-1,I37/I38-1)</f>
        <v>1.0101010101010166E-2</v>
      </c>
      <c r="J42" s="449" t="str">
        <f>IF(OR(I42&gt;=0.3,I42&lt;=-0.3),"超过30%","")</f>
        <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f>IF(E38&lt;G38,G38/E38-1,E38/G38-1)</f>
        <v>9.0909090909090828E-2</v>
      </c>
      <c r="F43" s="449" t="str">
        <f>IF(OR(E43&gt;=0.2,E43&lt;=-0.2),"超过20%","")</f>
        <v/>
      </c>
      <c r="G43" s="448">
        <f>IF(G38&lt;I38,I38/G38-1,G38/I38-1)</f>
        <v>9.0909090909090828E-2</v>
      </c>
      <c r="H43" s="449" t="str">
        <f>IF(OR(G43&gt;=0.2,G43&lt;=-0.2),"超过20%","")</f>
        <v/>
      </c>
      <c r="I43" s="448">
        <f>IF(I38&lt;E38,E38/I38-1,I38/E38-1)</f>
        <v>0</v>
      </c>
      <c r="J43" s="449" t="str">
        <f>IF(OR(I43&gt;=0.2,I43&lt;=-0.2),"超过20%","")</f>
        <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f>IF(E37&lt;G37,G37/E37-1,E37/G37-1)</f>
        <v>9.0909090909090828E-2</v>
      </c>
      <c r="F44" s="449" t="str">
        <f>IF(OR(E44&gt;=0.3,E44&lt;=-0.3),"超过30%","")</f>
        <v/>
      </c>
      <c r="G44" s="448">
        <f>IF(G37&lt;I37,I37/G37-1,G37/I37-1)</f>
        <v>9.0909090909090828E-2</v>
      </c>
      <c r="H44" s="449" t="str">
        <f>IF(OR(G44&gt;=0.3,G44&lt;=-0.3),"超过30%","")</f>
        <v/>
      </c>
      <c r="I44" s="448">
        <f>IF(I37&lt;E37,E37/I37-1,I37/E37-1)</f>
        <v>0</v>
      </c>
      <c r="J44" s="449" t="str">
        <f>IF(OR(I44&gt;=0.3,I44&lt;=-0.3),"超过30%","")</f>
        <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2023-12</v>
      </c>
      <c r="D48" s="1184">
        <f>EDATE(C48,-1)</f>
        <v>45231</v>
      </c>
      <c r="E48" s="1184">
        <f t="shared" ref="E48:O48" si="16">EDATE(D48,-1)</f>
        <v>45200</v>
      </c>
      <c r="F48" s="1184">
        <f t="shared" si="16"/>
        <v>45170</v>
      </c>
      <c r="G48" s="1184">
        <f t="shared" si="16"/>
        <v>45139</v>
      </c>
      <c r="H48" s="1184">
        <f t="shared" si="16"/>
        <v>45108</v>
      </c>
      <c r="I48" s="1184">
        <f t="shared" si="16"/>
        <v>45078</v>
      </c>
      <c r="J48" s="1184">
        <f t="shared" si="16"/>
        <v>45047</v>
      </c>
      <c r="K48" s="1184">
        <f t="shared" si="16"/>
        <v>45017</v>
      </c>
      <c r="L48" s="1184">
        <f t="shared" si="16"/>
        <v>44986</v>
      </c>
      <c r="M48" s="1184">
        <f t="shared" si="16"/>
        <v>44958</v>
      </c>
      <c r="N48" s="1184">
        <f t="shared" si="16"/>
        <v>44927</v>
      </c>
      <c r="O48" s="1184">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3611" t="s">
        <v>3647</v>
      </c>
      <c r="D81" s="3611" t="s">
        <v>3646</v>
      </c>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v>100</v>
      </c>
      <c r="D82" s="485">
        <v>101</v>
      </c>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0(含)-40</v>
      </c>
      <c r="D90" s="527" t="str">
        <f t="shared" ref="D90:L90" si="21">D91&amp;"(含)"&amp;"-"&amp;E91</f>
        <v>40(含)-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v>0</v>
      </c>
      <c r="D91" s="544">
        <v>40</v>
      </c>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G69"/>
  <sheetViews>
    <sheetView zoomScale="50" zoomScaleNormal="50" workbookViewId="0">
      <selection activeCell="W42" sqref="W42"/>
    </sheetView>
  </sheetViews>
  <sheetFormatPr defaultColWidth="11" defaultRowHeight="13.5"/>
  <sheetData>
    <row r="3" spans="7:7">
      <c r="G3" s="3607" t="s">
        <v>3628</v>
      </c>
    </row>
    <row r="25" spans="7:7">
      <c r="G25" s="3607" t="s">
        <v>3629</v>
      </c>
    </row>
    <row r="47" spans="7:7">
      <c r="G47" s="3607" t="s">
        <v>3630</v>
      </c>
    </row>
    <row r="69" spans="7:7">
      <c r="G69" s="3607" t="s">
        <v>3631</v>
      </c>
    </row>
  </sheetData>
  <phoneticPr fontId="133" type="noConversion"/>
  <hyperlinks>
    <hyperlink ref="G3" r:id="rId1"/>
    <hyperlink ref="G25" r:id="rId2"/>
    <hyperlink ref="G47" r:id="rId3"/>
    <hyperlink ref="G69" r:id="rId4"/>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8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估价结果一览表（市场价值不需“结果表-1”）</v>
      </c>
      <c r="B3" s="3618"/>
      <c r="C3" s="3618"/>
      <c r="D3" s="3618"/>
      <c r="E3" s="3618"/>
    </row>
    <row r="4" spans="1:5" ht="19.5" thickBot="1">
      <c r="A4" s="1492"/>
      <c r="B4" s="3616" t="s">
        <v>917</v>
      </c>
      <c r="C4" s="3616"/>
      <c r="D4" s="3616"/>
      <c r="E4" s="1492"/>
    </row>
    <row r="5" spans="1:5" ht="16.5" thickTop="1">
      <c r="A5" s="1490"/>
      <c r="B5" s="3614" t="s">
        <v>909</v>
      </c>
      <c r="C5" s="1493" t="s">
        <v>910</v>
      </c>
      <c r="D5" s="849" t="e">
        <f ca="1">结果表!H101</f>
        <v>#REF!</v>
      </c>
      <c r="E5" s="1490"/>
    </row>
    <row r="6" spans="1:5" ht="15.75">
      <c r="A6" s="1490"/>
      <c r="B6" s="3614"/>
      <c r="C6" s="1493" t="s">
        <v>911</v>
      </c>
      <c r="D6" s="849" t="e">
        <f ca="1">NUMBERSTRING(INT(D5*10000),2)&amp;"元整"</f>
        <v>#REF!</v>
      </c>
      <c r="E6" s="1490"/>
    </row>
    <row r="7" spans="1:5" ht="15.75">
      <c r="A7" s="1490"/>
      <c r="B7" s="3619"/>
      <c r="C7" s="1494" t="s">
        <v>912</v>
      </c>
      <c r="D7" s="850" t="e">
        <f ca="1">结果表!H102</f>
        <v>#REF!</v>
      </c>
      <c r="E7" s="1490"/>
    </row>
    <row r="8" spans="1:5" ht="15.75">
      <c r="A8" s="1490"/>
      <c r="B8" s="3620" t="str">
        <f>结果表!E103</f>
        <v>2.估价师知悉的法定优先受偿款</v>
      </c>
      <c r="C8" s="1495" t="s">
        <v>913</v>
      </c>
      <c r="D8" s="850">
        <f>结果表!H103</f>
        <v>0</v>
      </c>
      <c r="E8" s="1490"/>
    </row>
    <row r="9" spans="1:5" ht="15.75">
      <c r="A9" s="1490"/>
      <c r="B9" s="362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613" t="str">
        <f>结果表!E107</f>
        <v>3.房地产抵押价值</v>
      </c>
      <c r="C13" s="1498" t="s">
        <v>910</v>
      </c>
      <c r="D13" s="852" t="e">
        <f ca="1">结果表!H107</f>
        <v>#REF!</v>
      </c>
      <c r="E13" s="1490"/>
    </row>
    <row r="14" spans="1:5" ht="15.75">
      <c r="A14" s="1490"/>
      <c r="B14" s="3614"/>
      <c r="C14" s="1493" t="s">
        <v>911</v>
      </c>
      <c r="D14" s="849" t="e">
        <f ca="1">NUMBERSTRING(INT(D13*10000),2)&amp;"元整"</f>
        <v>#REF!</v>
      </c>
      <c r="E14" s="1490"/>
    </row>
    <row r="15" spans="1:5" ht="15">
      <c r="A15" s="1490"/>
      <c r="B15" s="3619"/>
      <c r="C15" s="1494" t="s">
        <v>921</v>
      </c>
      <c r="D15" s="858" t="e">
        <f ca="1">结果表!H108</f>
        <v>#REF!</v>
      </c>
      <c r="E15" s="1490"/>
    </row>
    <row r="16" spans="1:5" ht="15">
      <c r="A16" s="1490"/>
      <c r="B16" s="3620" t="str">
        <f>结果表!E109</f>
        <v>——</v>
      </c>
      <c r="C16" s="1498" t="s">
        <v>922</v>
      </c>
      <c r="D16" s="1499" t="str">
        <f>结果表!H109</f>
        <v>——</v>
      </c>
      <c r="E16" s="1490"/>
    </row>
    <row r="17" spans="1:5" ht="15.75">
      <c r="A17" s="1490"/>
      <c r="B17" s="3621"/>
      <c r="C17" s="1493" t="s">
        <v>923</v>
      </c>
      <c r="D17" s="849" t="e">
        <f>NUMBERSTRING(INT(D16*10000),2)&amp;"元整"</f>
        <v>#VALUE!</v>
      </c>
      <c r="E17" s="1490"/>
    </row>
    <row r="18" spans="1:5" ht="15">
      <c r="A18" s="1490"/>
      <c r="B18" s="3622"/>
      <c r="C18" s="1494" t="s">
        <v>912</v>
      </c>
      <c r="D18" s="858" t="str">
        <f>结果表!H110</f>
        <v>——</v>
      </c>
      <c r="E18" s="1490"/>
    </row>
    <row r="19" spans="1:5" ht="15.75">
      <c r="A19" s="1490"/>
      <c r="B19" s="3613" t="str">
        <f>结果表!E111</f>
        <v>——</v>
      </c>
      <c r="C19" s="1498" t="s">
        <v>910</v>
      </c>
      <c r="D19" s="850" t="str">
        <f>结果表!H111</f>
        <v>——</v>
      </c>
      <c r="E19" s="1490"/>
    </row>
    <row r="20" spans="1:5" ht="15.75">
      <c r="A20" s="1490"/>
      <c r="B20" s="3614"/>
      <c r="C20" s="1493" t="s">
        <v>923</v>
      </c>
      <c r="D20" s="849" t="e">
        <f>NUMBERSTRING(INT(D19*10000),2)&amp;"元整"</f>
        <v>#VALUE!</v>
      </c>
      <c r="E20" s="1490"/>
    </row>
    <row r="21" spans="1:5" ht="15.75" thickBot="1">
      <c r="A21" s="1490"/>
      <c r="B21" s="361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4"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H16" sqref="H16"/>
    </sheetView>
  </sheetViews>
  <sheetFormatPr defaultColWidth="11" defaultRowHeight="13.5"/>
  <cols>
    <col min="1" max="1" width="15" bestFit="1" customWidth="1"/>
  </cols>
  <sheetData>
    <row r="1" spans="1:1">
      <c r="A1" s="3481" t="s">
        <v>3518</v>
      </c>
    </row>
    <row r="2" spans="1:1">
      <c r="A2" s="3481" t="s">
        <v>3519</v>
      </c>
    </row>
    <row r="3" spans="1:1">
      <c r="A3" s="3481" t="s">
        <v>3569</v>
      </c>
    </row>
  </sheetData>
  <phoneticPr fontId="1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42" t="s">
        <v>1770</v>
      </c>
      <c r="D4" s="3843"/>
      <c r="E4" s="3844" t="s">
        <v>1771</v>
      </c>
      <c r="F4" s="3845"/>
      <c r="G4" s="3842" t="s">
        <v>1772</v>
      </c>
      <c r="H4" s="3843"/>
      <c r="I4" s="3842" t="s">
        <v>1773</v>
      </c>
      <c r="J4" s="3843"/>
      <c r="K4" s="559" t="s">
        <v>1774</v>
      </c>
      <c r="L4" s="2714"/>
      <c r="M4" s="2715"/>
      <c r="N4" s="2715"/>
      <c r="O4" s="2715"/>
      <c r="P4" s="3846" t="s">
        <v>1775</v>
      </c>
      <c r="Q4" s="3847"/>
      <c r="R4" s="3852" t="s">
        <v>1771</v>
      </c>
      <c r="S4" s="3853"/>
      <c r="T4" s="3852" t="s">
        <v>1772</v>
      </c>
      <c r="U4" s="3853"/>
      <c r="V4" s="3858" t="s">
        <v>1773</v>
      </c>
      <c r="W4" s="3858"/>
      <c r="X4" s="1354"/>
      <c r="Y4" s="3852" t="s">
        <v>1775</v>
      </c>
      <c r="Z4" s="3853"/>
      <c r="AA4" s="3839" t="s">
        <v>1771</v>
      </c>
      <c r="AB4" s="3840" t="s">
        <v>1772</v>
      </c>
      <c r="AC4" s="3839" t="s">
        <v>1773</v>
      </c>
    </row>
    <row r="5" spans="1:29" ht="15">
      <c r="A5" s="358"/>
      <c r="B5" s="359"/>
      <c r="C5" s="3861" t="s">
        <v>1673</v>
      </c>
      <c r="D5" s="3862"/>
      <c r="E5" s="3868" t="s">
        <v>1674</v>
      </c>
      <c r="F5" s="3869"/>
      <c r="G5" s="3861" t="s">
        <v>1675</v>
      </c>
      <c r="H5" s="3862"/>
      <c r="I5" s="3861" t="s">
        <v>1676</v>
      </c>
      <c r="J5" s="3862"/>
      <c r="K5" s="559"/>
      <c r="L5" s="2714"/>
      <c r="M5" s="2715"/>
      <c r="N5" s="2715"/>
      <c r="O5" s="2715"/>
      <c r="P5" s="3848"/>
      <c r="Q5" s="3849"/>
      <c r="R5" s="3854"/>
      <c r="S5" s="3855"/>
      <c r="T5" s="3854"/>
      <c r="U5" s="3855"/>
      <c r="V5" s="3858"/>
      <c r="W5" s="3858"/>
      <c r="X5" s="1354"/>
      <c r="Y5" s="3854"/>
      <c r="Z5" s="3855"/>
      <c r="AA5" s="3840"/>
      <c r="AB5" s="3840"/>
      <c r="AC5" s="3840"/>
    </row>
    <row r="6" spans="1:29" ht="15.75" thickBot="1">
      <c r="A6" s="360"/>
      <c r="B6" s="361"/>
      <c r="C6" s="3859" t="s">
        <v>1677</v>
      </c>
      <c r="D6" s="3860"/>
      <c r="E6" s="3866" t="s">
        <v>1677</v>
      </c>
      <c r="F6" s="3867"/>
      <c r="G6" s="3859" t="s">
        <v>1677</v>
      </c>
      <c r="H6" s="3860"/>
      <c r="I6" s="3859" t="s">
        <v>1677</v>
      </c>
      <c r="J6" s="3860"/>
      <c r="K6" s="559" t="s">
        <v>1678</v>
      </c>
      <c r="L6" s="2714"/>
      <c r="M6" s="2715"/>
      <c r="N6" s="2715"/>
      <c r="O6" s="2715"/>
      <c r="P6" s="3850"/>
      <c r="Q6" s="3851"/>
      <c r="R6" s="3854"/>
      <c r="S6" s="3855"/>
      <c r="T6" s="3856"/>
      <c r="U6" s="3857"/>
      <c r="V6" s="3858"/>
      <c r="W6" s="3858"/>
      <c r="X6" s="1354"/>
      <c r="Y6" s="3856"/>
      <c r="Z6" s="3857"/>
      <c r="AA6" s="3841"/>
      <c r="AB6" s="3841"/>
      <c r="AC6" s="3841"/>
    </row>
    <row r="7" spans="1:29" s="108" customFormat="1" ht="15.75" thickBot="1">
      <c r="A7" s="362" t="s">
        <v>1679</v>
      </c>
      <c r="B7" s="363"/>
      <c r="C7" s="364">
        <f>'数据-取费表'!B2</f>
        <v>45291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63" t="s">
        <v>1680</v>
      </c>
      <c r="Q7" s="3865"/>
      <c r="R7" s="700" t="s">
        <v>14</v>
      </c>
      <c r="S7" s="701">
        <f t="shared" ref="S7:S14" si="0">F7</f>
        <v>0</v>
      </c>
      <c r="T7" s="700" t="s">
        <v>14</v>
      </c>
      <c r="U7" s="701">
        <f t="shared" ref="U7:U14" si="1">H7</f>
        <v>0</v>
      </c>
      <c r="V7" s="700" t="s">
        <v>14</v>
      </c>
      <c r="W7" s="701">
        <f t="shared" ref="W7:W14" si="2">J7</f>
        <v>0</v>
      </c>
      <c r="X7" s="702"/>
      <c r="Y7" s="3863" t="s">
        <v>1680</v>
      </c>
      <c r="Z7" s="386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63" t="s">
        <v>1683</v>
      </c>
      <c r="Q8" s="3864"/>
      <c r="R8" s="700" t="s">
        <v>14</v>
      </c>
      <c r="S8" s="701">
        <f t="shared" si="0"/>
        <v>100</v>
      </c>
      <c r="T8" s="700" t="s">
        <v>14</v>
      </c>
      <c r="U8" s="701">
        <f t="shared" si="1"/>
        <v>100</v>
      </c>
      <c r="V8" s="700" t="s">
        <v>14</v>
      </c>
      <c r="W8" s="701">
        <f t="shared" si="2"/>
        <v>100</v>
      </c>
      <c r="X8" s="702"/>
      <c r="Y8" s="3863" t="s">
        <v>1683</v>
      </c>
      <c r="Z8" s="386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27" t="s">
        <v>1686</v>
      </c>
      <c r="Q9" s="1342" t="str">
        <f t="shared" ref="Q9:Q14" si="6">B9</f>
        <v>用途</v>
      </c>
      <c r="R9" s="700" t="s">
        <v>14</v>
      </c>
      <c r="S9" s="701">
        <f t="shared" si="0"/>
        <v>100</v>
      </c>
      <c r="T9" s="700" t="s">
        <v>14</v>
      </c>
      <c r="U9" s="701">
        <f t="shared" si="1"/>
        <v>100</v>
      </c>
      <c r="V9" s="700" t="s">
        <v>14</v>
      </c>
      <c r="W9" s="701">
        <f t="shared" si="2"/>
        <v>100</v>
      </c>
      <c r="X9" s="702"/>
      <c r="Y9" s="370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27"/>
      <c r="Q10" s="1342" t="str">
        <f t="shared" si="6"/>
        <v>土地使用年限（年）</v>
      </c>
      <c r="R10" s="700" t="s">
        <v>14</v>
      </c>
      <c r="S10" s="701">
        <f t="shared" si="0"/>
        <v>100</v>
      </c>
      <c r="T10" s="700" t="s">
        <v>14</v>
      </c>
      <c r="U10" s="701">
        <f t="shared" si="1"/>
        <v>100</v>
      </c>
      <c r="V10" s="700" t="s">
        <v>14</v>
      </c>
      <c r="W10" s="701">
        <f t="shared" si="2"/>
        <v>100</v>
      </c>
      <c r="X10" s="702"/>
      <c r="Y10" s="370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27"/>
      <c r="Q11" s="1342">
        <f t="shared" si="6"/>
        <v>111</v>
      </c>
      <c r="R11" s="700" t="s">
        <v>14</v>
      </c>
      <c r="S11" s="701">
        <f t="shared" si="0"/>
        <v>100</v>
      </c>
      <c r="T11" s="700" t="s">
        <v>14</v>
      </c>
      <c r="U11" s="701">
        <f t="shared" si="1"/>
        <v>100</v>
      </c>
      <c r="V11" s="700" t="s">
        <v>14</v>
      </c>
      <c r="W11" s="701">
        <f t="shared" si="2"/>
        <v>100</v>
      </c>
      <c r="X11" s="702"/>
      <c r="Y11" s="370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27"/>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27"/>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29" t="s">
        <v>1691</v>
      </c>
      <c r="Q14" s="1351" t="str">
        <f t="shared" si="6"/>
        <v>交通便捷度</v>
      </c>
      <c r="R14" s="704" t="s">
        <v>14</v>
      </c>
      <c r="S14" s="705">
        <f t="shared" si="0"/>
        <v>100</v>
      </c>
      <c r="T14" s="704" t="s">
        <v>14</v>
      </c>
      <c r="U14" s="705">
        <f t="shared" si="1"/>
        <v>100</v>
      </c>
      <c r="V14" s="704" t="s">
        <v>14</v>
      </c>
      <c r="W14" s="705">
        <f t="shared" si="2"/>
        <v>100</v>
      </c>
      <c r="X14" s="1354"/>
      <c r="Y14" s="382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830"/>
      <c r="Q15" s="1351"/>
      <c r="R15" s="704"/>
      <c r="S15" s="705"/>
      <c r="T15" s="704"/>
      <c r="U15" s="705"/>
      <c r="V15" s="704"/>
      <c r="W15" s="705"/>
      <c r="X15" s="1354"/>
      <c r="Y15" s="383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30"/>
      <c r="Q16" s="1351" t="str">
        <f>B16</f>
        <v>公共配套设施</v>
      </c>
      <c r="R16" s="704" t="s">
        <v>14</v>
      </c>
      <c r="S16" s="705">
        <f>F16</f>
        <v>100</v>
      </c>
      <c r="T16" s="704" t="s">
        <v>14</v>
      </c>
      <c r="U16" s="705">
        <f>H16</f>
        <v>100</v>
      </c>
      <c r="V16" s="704" t="s">
        <v>14</v>
      </c>
      <c r="W16" s="705">
        <f>J16</f>
        <v>100</v>
      </c>
      <c r="X16" s="1354"/>
      <c r="Y16" s="383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830"/>
      <c r="Q17" s="1351"/>
      <c r="R17" s="704"/>
      <c r="S17" s="705"/>
      <c r="T17" s="704"/>
      <c r="U17" s="705"/>
      <c r="V17" s="704"/>
      <c r="W17" s="705"/>
      <c r="X17" s="1354"/>
      <c r="Y17" s="383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30"/>
      <c r="Q18" s="1351" t="str">
        <f>B18</f>
        <v>基础设施水平</v>
      </c>
      <c r="R18" s="704" t="s">
        <v>14</v>
      </c>
      <c r="S18" s="705">
        <f>F18</f>
        <v>100</v>
      </c>
      <c r="T18" s="704" t="s">
        <v>14</v>
      </c>
      <c r="U18" s="705">
        <f>H18</f>
        <v>100</v>
      </c>
      <c r="V18" s="704" t="s">
        <v>14</v>
      </c>
      <c r="W18" s="705">
        <f>J18</f>
        <v>100</v>
      </c>
      <c r="X18" s="1354"/>
      <c r="Y18" s="383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830"/>
      <c r="Q19" s="1351"/>
      <c r="R19" s="704"/>
      <c r="S19" s="705"/>
      <c r="T19" s="704"/>
      <c r="U19" s="705"/>
      <c r="V19" s="704"/>
      <c r="W19" s="705"/>
      <c r="X19" s="1354"/>
      <c r="Y19" s="383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30"/>
      <c r="Q20" s="1351" t="str">
        <f>B20</f>
        <v>自然及人文环境</v>
      </c>
      <c r="R20" s="704" t="s">
        <v>14</v>
      </c>
      <c r="S20" s="705">
        <f>F20</f>
        <v>100</v>
      </c>
      <c r="T20" s="704" t="s">
        <v>14</v>
      </c>
      <c r="U20" s="705">
        <f>H20</f>
        <v>100</v>
      </c>
      <c r="V20" s="704" t="s">
        <v>14</v>
      </c>
      <c r="W20" s="705">
        <f>J20</f>
        <v>100</v>
      </c>
      <c r="X20" s="1354"/>
      <c r="Y20" s="383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830"/>
      <c r="Q21" s="1351"/>
      <c r="R21" s="704"/>
      <c r="S21" s="705"/>
      <c r="T21" s="704"/>
      <c r="U21" s="705"/>
      <c r="V21" s="704"/>
      <c r="W21" s="705"/>
      <c r="X21" s="1354"/>
      <c r="Y21" s="383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30"/>
      <c r="Q22" s="1351" t="str">
        <f>B22</f>
        <v>楼层</v>
      </c>
      <c r="R22" s="704" t="s">
        <v>14</v>
      </c>
      <c r="S22" s="705">
        <f>F22</f>
        <v>100</v>
      </c>
      <c r="T22" s="704" t="s">
        <v>14</v>
      </c>
      <c r="U22" s="705">
        <f>H22</f>
        <v>100</v>
      </c>
      <c r="V22" s="704" t="s">
        <v>14</v>
      </c>
      <c r="W22" s="705">
        <f>J22</f>
        <v>100</v>
      </c>
      <c r="X22" s="1354"/>
      <c r="Y22" s="383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30"/>
      <c r="Q23" s="1351">
        <f>B23</f>
        <v>111</v>
      </c>
      <c r="R23" s="704" t="s">
        <v>14</v>
      </c>
      <c r="S23" s="705">
        <f>F23</f>
        <v>100</v>
      </c>
      <c r="T23" s="704" t="s">
        <v>14</v>
      </c>
      <c r="U23" s="705">
        <f>H23</f>
        <v>100</v>
      </c>
      <c r="V23" s="704" t="s">
        <v>14</v>
      </c>
      <c r="W23" s="705">
        <f>J23</f>
        <v>100</v>
      </c>
      <c r="X23" s="1354"/>
      <c r="Y23" s="383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30"/>
      <c r="Q24" s="1351">
        <f t="shared" ref="Q24:Q34" si="11">B24</f>
        <v>111</v>
      </c>
      <c r="R24" s="704" t="s">
        <v>14</v>
      </c>
      <c r="S24" s="705">
        <f>F24</f>
        <v>100</v>
      </c>
      <c r="T24" s="704" t="s">
        <v>14</v>
      </c>
      <c r="U24" s="705">
        <f>H24</f>
        <v>100</v>
      </c>
      <c r="V24" s="704" t="s">
        <v>14</v>
      </c>
      <c r="W24" s="705">
        <f>J24</f>
        <v>100</v>
      </c>
      <c r="X24" s="1354"/>
      <c r="Y24" s="383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830"/>
      <c r="Q25" s="1342">
        <f t="shared" si="11"/>
        <v>111</v>
      </c>
      <c r="R25" s="700" t="s">
        <v>14</v>
      </c>
      <c r="S25" s="701">
        <f>F25</f>
        <v>100</v>
      </c>
      <c r="T25" s="700" t="s">
        <v>14</v>
      </c>
      <c r="U25" s="701">
        <f>H25</f>
        <v>100</v>
      </c>
      <c r="V25" s="700" t="s">
        <v>14</v>
      </c>
      <c r="W25" s="701">
        <f>J25</f>
        <v>100</v>
      </c>
      <c r="X25" s="702"/>
      <c r="Y25" s="383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91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3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34"/>
      <c r="Q27" s="706" t="str">
        <f t="shared" si="11"/>
        <v>成新率</v>
      </c>
      <c r="R27" s="707" t="s">
        <v>14</v>
      </c>
      <c r="S27" s="708" t="e">
        <f t="shared" si="12"/>
        <v>#N/A</v>
      </c>
      <c r="T27" s="707" t="s">
        <v>14</v>
      </c>
      <c r="U27" s="708" t="e">
        <f t="shared" si="13"/>
        <v>#N/A</v>
      </c>
      <c r="V27" s="707" t="s">
        <v>14</v>
      </c>
      <c r="W27" s="708" t="e">
        <f t="shared" si="14"/>
        <v>#N/A</v>
      </c>
      <c r="X27" s="709"/>
      <c r="Y27" s="383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34"/>
      <c r="Q28" s="1351" t="str">
        <f t="shared" si="11"/>
        <v>物业等级</v>
      </c>
      <c r="R28" s="704" t="s">
        <v>14</v>
      </c>
      <c r="S28" s="705">
        <f t="shared" si="12"/>
        <v>100</v>
      </c>
      <c r="T28" s="704" t="s">
        <v>14</v>
      </c>
      <c r="U28" s="705">
        <f t="shared" si="13"/>
        <v>100</v>
      </c>
      <c r="V28" s="704" t="s">
        <v>14</v>
      </c>
      <c r="W28" s="705">
        <f t="shared" si="14"/>
        <v>100</v>
      </c>
      <c r="X28" s="1354"/>
      <c r="Y28" s="383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34"/>
      <c r="Q29" s="1351" t="str">
        <f t="shared" si="11"/>
        <v>有无电梯</v>
      </c>
      <c r="R29" s="704" t="s">
        <v>14</v>
      </c>
      <c r="S29" s="705">
        <f t="shared" si="12"/>
        <v>100</v>
      </c>
      <c r="T29" s="704" t="s">
        <v>14</v>
      </c>
      <c r="U29" s="705">
        <f t="shared" si="13"/>
        <v>100</v>
      </c>
      <c r="V29" s="704" t="s">
        <v>14</v>
      </c>
      <c r="W29" s="705">
        <f t="shared" si="14"/>
        <v>100</v>
      </c>
      <c r="X29" s="1354"/>
      <c r="Y29" s="383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34"/>
      <c r="Q30" s="1351" t="str">
        <f t="shared" si="11"/>
        <v>建筑面积</v>
      </c>
      <c r="R30" s="704" t="s">
        <v>14</v>
      </c>
      <c r="S30" s="705" t="e">
        <f t="shared" si="12"/>
        <v>#N/A</v>
      </c>
      <c r="T30" s="704" t="s">
        <v>14</v>
      </c>
      <c r="U30" s="705" t="e">
        <f t="shared" si="13"/>
        <v>#N/A</v>
      </c>
      <c r="V30" s="704" t="s">
        <v>14</v>
      </c>
      <c r="W30" s="705" t="e">
        <f t="shared" si="14"/>
        <v>#N/A</v>
      </c>
      <c r="X30" s="1354"/>
      <c r="Y30" s="383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34"/>
      <c r="Q31" s="1342" t="str">
        <f t="shared" si="11"/>
        <v>是否封闭</v>
      </c>
      <c r="R31" s="700" t="s">
        <v>14</v>
      </c>
      <c r="S31" s="701">
        <f t="shared" si="12"/>
        <v>100</v>
      </c>
      <c r="T31" s="700" t="s">
        <v>14</v>
      </c>
      <c r="U31" s="701">
        <f t="shared" si="13"/>
        <v>100</v>
      </c>
      <c r="V31" s="700" t="s">
        <v>14</v>
      </c>
      <c r="W31" s="701">
        <f t="shared" si="14"/>
        <v>100</v>
      </c>
      <c r="X31" s="702"/>
      <c r="Y31" s="383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34" t="s">
        <v>1696</v>
      </c>
      <c r="Q32" s="1351">
        <f t="shared" si="11"/>
        <v>111</v>
      </c>
      <c r="R32" s="704" t="s">
        <v>14</v>
      </c>
      <c r="S32" s="705">
        <f t="shared" si="12"/>
        <v>100</v>
      </c>
      <c r="T32" s="704" t="s">
        <v>14</v>
      </c>
      <c r="U32" s="705">
        <f t="shared" si="13"/>
        <v>100</v>
      </c>
      <c r="V32" s="704" t="s">
        <v>14</v>
      </c>
      <c r="W32" s="705">
        <f t="shared" si="14"/>
        <v>100</v>
      </c>
      <c r="X32" s="1354"/>
      <c r="Y32" s="383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34"/>
      <c r="Q33" s="1351">
        <f t="shared" si="11"/>
        <v>111</v>
      </c>
      <c r="R33" s="704" t="s">
        <v>14</v>
      </c>
      <c r="S33" s="705">
        <f t="shared" si="12"/>
        <v>100</v>
      </c>
      <c r="T33" s="704" t="s">
        <v>14</v>
      </c>
      <c r="U33" s="705">
        <f t="shared" si="13"/>
        <v>100</v>
      </c>
      <c r="V33" s="704" t="s">
        <v>14</v>
      </c>
      <c r="W33" s="705">
        <f t="shared" si="14"/>
        <v>100</v>
      </c>
      <c r="X33" s="1354"/>
      <c r="Y33" s="383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34"/>
      <c r="Q34" s="1351">
        <f t="shared" si="11"/>
        <v>111</v>
      </c>
      <c r="R34" s="704" t="s">
        <v>14</v>
      </c>
      <c r="S34" s="705">
        <f t="shared" si="12"/>
        <v>100</v>
      </c>
      <c r="T34" s="704" t="s">
        <v>14</v>
      </c>
      <c r="U34" s="705">
        <f t="shared" si="13"/>
        <v>100</v>
      </c>
      <c r="V34" s="704" t="s">
        <v>14</v>
      </c>
      <c r="W34" s="705">
        <f t="shared" si="14"/>
        <v>100</v>
      </c>
      <c r="X34" s="1354"/>
      <c r="Y34" s="383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827" t="str">
        <f>A35</f>
        <v>成交单价（元/平方米）</v>
      </c>
      <c r="Q35" s="3827"/>
      <c r="R35" s="3828">
        <f>E35</f>
        <v>0</v>
      </c>
      <c r="S35" s="3828"/>
      <c r="T35" s="3828">
        <f>G35</f>
        <v>0</v>
      </c>
      <c r="U35" s="3828"/>
      <c r="V35" s="3828">
        <f>I35</f>
        <v>0</v>
      </c>
      <c r="W35" s="382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827" t="str">
        <f>A36</f>
        <v>比较价值（元/平方米）</v>
      </c>
      <c r="Q36" s="3827"/>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824" t="str">
        <f>A37</f>
        <v>估价对象XX用房的比较价值（楼面单价，元/平方米）</v>
      </c>
      <c r="Q37" s="3825"/>
      <c r="R37" s="3912" t="e">
        <f>IF(F1="售价",ROUND(IF(D36="简单平均",AVERAGE(R36:W36),R36*F36+T36*H36+V36*J36),0),ROUND(IF(D36="简单平均",AVERAGE(R36:V36),R36*F36+T36*H36+V36*J36),1))</f>
        <v>#DIV/0!</v>
      </c>
      <c r="S37" s="3912"/>
      <c r="T37" s="3912"/>
      <c r="U37" s="3912"/>
      <c r="V37" s="3912"/>
      <c r="W37" s="391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2023-12</v>
      </c>
      <c r="D46" s="1184">
        <f>EDATE(C46,-1)</f>
        <v>45231</v>
      </c>
      <c r="E46" s="1184">
        <f t="shared" ref="E46:O46" si="16">EDATE(D46,-1)</f>
        <v>45200</v>
      </c>
      <c r="F46" s="1184">
        <f t="shared" si="16"/>
        <v>45170</v>
      </c>
      <c r="G46" s="1184">
        <f t="shared" si="16"/>
        <v>45139</v>
      </c>
      <c r="H46" s="1184">
        <f t="shared" si="16"/>
        <v>45108</v>
      </c>
      <c r="I46" s="1184">
        <f t="shared" si="16"/>
        <v>45078</v>
      </c>
      <c r="J46" s="1184">
        <f t="shared" si="16"/>
        <v>45047</v>
      </c>
      <c r="K46" s="1184">
        <f t="shared" si="16"/>
        <v>45017</v>
      </c>
      <c r="L46" s="1184">
        <f t="shared" si="16"/>
        <v>44986</v>
      </c>
      <c r="M46" s="1184">
        <f t="shared" si="16"/>
        <v>44958</v>
      </c>
      <c r="N46" s="1184">
        <f t="shared" si="16"/>
        <v>44927</v>
      </c>
      <c r="O46" s="1184">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87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842" t="s">
        <v>1770</v>
      </c>
      <c r="D4" s="3843"/>
      <c r="E4" s="3844" t="s">
        <v>1771</v>
      </c>
      <c r="F4" s="3845"/>
      <c r="G4" s="3842" t="s">
        <v>1772</v>
      </c>
      <c r="H4" s="3843"/>
      <c r="I4" s="3842" t="s">
        <v>1773</v>
      </c>
      <c r="J4" s="3843"/>
      <c r="K4" s="559" t="s">
        <v>1774</v>
      </c>
      <c r="L4" s="2714"/>
      <c r="M4" s="2715"/>
      <c r="N4" s="2715"/>
      <c r="O4" s="2715"/>
      <c r="P4" s="3846" t="s">
        <v>1775</v>
      </c>
      <c r="Q4" s="3847"/>
      <c r="R4" s="3852" t="s">
        <v>1771</v>
      </c>
      <c r="S4" s="3853"/>
      <c r="T4" s="3852" t="s">
        <v>1772</v>
      </c>
      <c r="U4" s="3853"/>
      <c r="V4" s="3858" t="s">
        <v>1773</v>
      </c>
      <c r="W4" s="3858"/>
      <c r="X4" s="1354"/>
      <c r="Y4" s="3852" t="s">
        <v>1775</v>
      </c>
      <c r="Z4" s="3853"/>
      <c r="AA4" s="3839" t="s">
        <v>1771</v>
      </c>
      <c r="AB4" s="3840" t="s">
        <v>1772</v>
      </c>
      <c r="AC4" s="3839" t="s">
        <v>1773</v>
      </c>
    </row>
    <row r="5" spans="1:30" ht="15">
      <c r="A5" s="358"/>
      <c r="B5" s="359"/>
      <c r="C5" s="3861" t="s">
        <v>1673</v>
      </c>
      <c r="D5" s="3862"/>
      <c r="E5" s="3868" t="s">
        <v>1674</v>
      </c>
      <c r="F5" s="3869"/>
      <c r="G5" s="3861" t="s">
        <v>1675</v>
      </c>
      <c r="H5" s="3862"/>
      <c r="I5" s="3861" t="s">
        <v>1676</v>
      </c>
      <c r="J5" s="3862"/>
      <c r="K5" s="559"/>
      <c r="L5" s="2714"/>
      <c r="M5" s="2715"/>
      <c r="N5" s="2715"/>
      <c r="O5" s="2715"/>
      <c r="P5" s="3848"/>
      <c r="Q5" s="3849"/>
      <c r="R5" s="3854"/>
      <c r="S5" s="3855"/>
      <c r="T5" s="3854"/>
      <c r="U5" s="3855"/>
      <c r="V5" s="3858"/>
      <c r="W5" s="3858"/>
      <c r="X5" s="1354"/>
      <c r="Y5" s="3854"/>
      <c r="Z5" s="3855"/>
      <c r="AA5" s="3840"/>
      <c r="AB5" s="3840"/>
      <c r="AC5" s="3840"/>
    </row>
    <row r="6" spans="1:30" ht="15.75" thickBot="1">
      <c r="A6" s="360"/>
      <c r="B6" s="361"/>
      <c r="C6" s="3859" t="s">
        <v>1677</v>
      </c>
      <c r="D6" s="3860"/>
      <c r="E6" s="3866" t="s">
        <v>1677</v>
      </c>
      <c r="F6" s="3867"/>
      <c r="G6" s="3859" t="s">
        <v>1677</v>
      </c>
      <c r="H6" s="3860"/>
      <c r="I6" s="3859" t="s">
        <v>1677</v>
      </c>
      <c r="J6" s="3860"/>
      <c r="K6" s="559" t="s">
        <v>1678</v>
      </c>
      <c r="L6" s="2714"/>
      <c r="M6" s="2715"/>
      <c r="N6" s="2715"/>
      <c r="O6" s="2715"/>
      <c r="P6" s="3850"/>
      <c r="Q6" s="3851"/>
      <c r="R6" s="3854"/>
      <c r="S6" s="3855"/>
      <c r="T6" s="3856"/>
      <c r="U6" s="3857"/>
      <c r="V6" s="3858"/>
      <c r="W6" s="3858"/>
      <c r="X6" s="1354"/>
      <c r="Y6" s="3856"/>
      <c r="Z6" s="3857"/>
      <c r="AA6" s="3841"/>
      <c r="AB6" s="3841"/>
      <c r="AC6" s="3841"/>
    </row>
    <row r="7" spans="1:30" s="108" customFormat="1" ht="15.75" thickBot="1">
      <c r="A7" s="362" t="s">
        <v>1679</v>
      </c>
      <c r="B7" s="363"/>
      <c r="C7" s="364">
        <f>'数据-取费表'!B2</f>
        <v>45291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63" t="s">
        <v>1680</v>
      </c>
      <c r="Q7" s="3865"/>
      <c r="R7" s="700" t="s">
        <v>14</v>
      </c>
      <c r="S7" s="701">
        <f t="shared" ref="S7:S15" si="0">F7</f>
        <v>0</v>
      </c>
      <c r="T7" s="700" t="s">
        <v>14</v>
      </c>
      <c r="U7" s="701">
        <f t="shared" ref="U7:U15" si="1">H7</f>
        <v>0</v>
      </c>
      <c r="V7" s="700" t="s">
        <v>14</v>
      </c>
      <c r="W7" s="701">
        <f t="shared" ref="W7:W15" si="2">J7</f>
        <v>0</v>
      </c>
      <c r="X7" s="702"/>
      <c r="Y7" s="3863" t="s">
        <v>1680</v>
      </c>
      <c r="Z7" s="386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63" t="s">
        <v>1683</v>
      </c>
      <c r="Q8" s="3864"/>
      <c r="R8" s="700" t="s">
        <v>14</v>
      </c>
      <c r="S8" s="701">
        <f t="shared" si="0"/>
        <v>0</v>
      </c>
      <c r="T8" s="700" t="s">
        <v>14</v>
      </c>
      <c r="U8" s="701">
        <f t="shared" si="1"/>
        <v>0</v>
      </c>
      <c r="V8" s="700" t="s">
        <v>14</v>
      </c>
      <c r="W8" s="701">
        <f t="shared" si="2"/>
        <v>0</v>
      </c>
      <c r="X8" s="702"/>
      <c r="Y8" s="3863" t="s">
        <v>1683</v>
      </c>
      <c r="Z8" s="386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27" t="s">
        <v>1686</v>
      </c>
      <c r="Q9" s="1342" t="str">
        <f t="shared" ref="Q9:Q15" si="6">B9</f>
        <v>用途</v>
      </c>
      <c r="R9" s="700" t="s">
        <v>14</v>
      </c>
      <c r="S9" s="701">
        <f t="shared" si="0"/>
        <v>100</v>
      </c>
      <c r="T9" s="700" t="s">
        <v>14</v>
      </c>
      <c r="U9" s="701">
        <f t="shared" si="1"/>
        <v>100</v>
      </c>
      <c r="V9" s="700" t="s">
        <v>14</v>
      </c>
      <c r="W9" s="701">
        <f t="shared" si="2"/>
        <v>100</v>
      </c>
      <c r="X9" s="702"/>
      <c r="Y9" s="370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827"/>
      <c r="Q10" s="1342" t="str">
        <f t="shared" si="6"/>
        <v>土地使用年限（年）</v>
      </c>
      <c r="R10" s="700" t="s">
        <v>14</v>
      </c>
      <c r="S10" s="701" t="e">
        <f t="shared" si="0"/>
        <v>#DIV/0!</v>
      </c>
      <c r="T10" s="700" t="s">
        <v>14</v>
      </c>
      <c r="U10" s="701" t="e">
        <f t="shared" si="1"/>
        <v>#DIV/0!</v>
      </c>
      <c r="V10" s="700" t="s">
        <v>14</v>
      </c>
      <c r="W10" s="701" t="e">
        <f t="shared" si="2"/>
        <v>#DIV/0!</v>
      </c>
      <c r="X10" s="702"/>
      <c r="Y10" s="3702"/>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827"/>
      <c r="Q11" s="1342" t="str">
        <f t="shared" si="6"/>
        <v>容积率</v>
      </c>
      <c r="R11" s="700" t="s">
        <v>14</v>
      </c>
      <c r="S11" s="701" t="e">
        <f t="shared" si="0"/>
        <v>#N/A</v>
      </c>
      <c r="T11" s="700" t="s">
        <v>14</v>
      </c>
      <c r="U11" s="701" t="e">
        <f t="shared" si="1"/>
        <v>#N/A</v>
      </c>
      <c r="V11" s="700" t="s">
        <v>14</v>
      </c>
      <c r="W11" s="701" t="e">
        <f t="shared" si="2"/>
        <v>#N/A</v>
      </c>
      <c r="X11" s="702"/>
      <c r="Y11" s="370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827"/>
      <c r="Q12" s="1342" t="str">
        <f t="shared" si="6"/>
        <v>配建</v>
      </c>
      <c r="R12" s="700" t="s">
        <v>14</v>
      </c>
      <c r="S12" s="701">
        <f t="shared" si="0"/>
        <v>100</v>
      </c>
      <c r="T12" s="700" t="s">
        <v>14</v>
      </c>
      <c r="U12" s="701">
        <f t="shared" si="1"/>
        <v>100</v>
      </c>
      <c r="V12" s="700" t="s">
        <v>14</v>
      </c>
      <c r="W12" s="701">
        <f t="shared" si="2"/>
        <v>100</v>
      </c>
      <c r="X12" s="702"/>
      <c r="Y12" s="370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827"/>
      <c r="Q13" s="1342">
        <f t="shared" si="6"/>
        <v>111</v>
      </c>
      <c r="R13" s="700" t="s">
        <v>14</v>
      </c>
      <c r="S13" s="701">
        <f t="shared" si="0"/>
        <v>100</v>
      </c>
      <c r="T13" s="700" t="s">
        <v>14</v>
      </c>
      <c r="U13" s="701">
        <f t="shared" si="1"/>
        <v>100</v>
      </c>
      <c r="V13" s="700" t="s">
        <v>14</v>
      </c>
      <c r="W13" s="701">
        <f t="shared" si="2"/>
        <v>100</v>
      </c>
      <c r="X13" s="702"/>
      <c r="Y13" s="370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827"/>
      <c r="Q14" s="1342">
        <f t="shared" si="6"/>
        <v>111</v>
      </c>
      <c r="R14" s="700" t="s">
        <v>14</v>
      </c>
      <c r="S14" s="701">
        <f t="shared" si="0"/>
        <v>100</v>
      </c>
      <c r="T14" s="700" t="s">
        <v>14</v>
      </c>
      <c r="U14" s="701">
        <f t="shared" si="1"/>
        <v>100</v>
      </c>
      <c r="V14" s="700" t="s">
        <v>14</v>
      </c>
      <c r="W14" s="701">
        <f t="shared" si="2"/>
        <v>100</v>
      </c>
      <c r="X14" s="702"/>
      <c r="Y14" s="370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829" t="s">
        <v>1691</v>
      </c>
      <c r="Q15" s="1351" t="str">
        <f t="shared" si="6"/>
        <v>居住社区成熟度</v>
      </c>
      <c r="R15" s="704" t="s">
        <v>14</v>
      </c>
      <c r="S15" s="705">
        <f t="shared" si="0"/>
        <v>100</v>
      </c>
      <c r="T15" s="704" t="s">
        <v>14</v>
      </c>
      <c r="U15" s="705">
        <f t="shared" si="1"/>
        <v>100</v>
      </c>
      <c r="V15" s="704" t="s">
        <v>14</v>
      </c>
      <c r="W15" s="705">
        <f t="shared" si="2"/>
        <v>100</v>
      </c>
      <c r="X15" s="1354"/>
      <c r="Y15" s="382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830"/>
      <c r="Q16" s="1351"/>
      <c r="R16" s="704"/>
      <c r="S16" s="705"/>
      <c r="T16" s="704"/>
      <c r="U16" s="705"/>
      <c r="V16" s="704"/>
      <c r="W16" s="705"/>
      <c r="X16" s="1354"/>
      <c r="Y16" s="383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830"/>
      <c r="Q17" s="1351" t="str">
        <f>B17</f>
        <v>商业繁华度</v>
      </c>
      <c r="R17" s="704" t="s">
        <v>14</v>
      </c>
      <c r="S17" s="705">
        <f>F17</f>
        <v>100</v>
      </c>
      <c r="T17" s="704" t="s">
        <v>14</v>
      </c>
      <c r="U17" s="705">
        <f>H17</f>
        <v>100</v>
      </c>
      <c r="V17" s="704" t="s">
        <v>14</v>
      </c>
      <c r="W17" s="705">
        <f>J17</f>
        <v>100</v>
      </c>
      <c r="X17" s="1354"/>
      <c r="Y17" s="383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830"/>
      <c r="Q18" s="1351"/>
      <c r="R18" s="704"/>
      <c r="S18" s="705"/>
      <c r="T18" s="704"/>
      <c r="U18" s="705"/>
      <c r="V18" s="704"/>
      <c r="W18" s="705"/>
      <c r="X18" s="1354"/>
      <c r="Y18" s="383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830"/>
      <c r="Q19" s="1351" t="str">
        <f>B19</f>
        <v>办公集聚程度</v>
      </c>
      <c r="R19" s="704" t="s">
        <v>14</v>
      </c>
      <c r="S19" s="705">
        <f>F19</f>
        <v>100</v>
      </c>
      <c r="T19" s="704" t="s">
        <v>14</v>
      </c>
      <c r="U19" s="705">
        <f>H19</f>
        <v>100</v>
      </c>
      <c r="V19" s="704" t="s">
        <v>14</v>
      </c>
      <c r="W19" s="705">
        <f>J19</f>
        <v>100</v>
      </c>
      <c r="X19" s="1354"/>
      <c r="Y19" s="383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830"/>
      <c r="Q20" s="1351"/>
      <c r="R20" s="704"/>
      <c r="S20" s="705"/>
      <c r="T20" s="704"/>
      <c r="U20" s="705"/>
      <c r="V20" s="704"/>
      <c r="W20" s="705"/>
      <c r="X20" s="1354"/>
      <c r="Y20" s="383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830"/>
      <c r="Q21" s="1351" t="str">
        <f>B21</f>
        <v>交通便捷度</v>
      </c>
      <c r="R21" s="704" t="s">
        <v>14</v>
      </c>
      <c r="S21" s="705">
        <f>F21</f>
        <v>100</v>
      </c>
      <c r="T21" s="704" t="s">
        <v>14</v>
      </c>
      <c r="U21" s="705">
        <f>H21</f>
        <v>100</v>
      </c>
      <c r="V21" s="704" t="s">
        <v>14</v>
      </c>
      <c r="W21" s="705">
        <f>J21</f>
        <v>100</v>
      </c>
      <c r="X21" s="1354"/>
      <c r="Y21" s="383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830"/>
      <c r="Q22" s="1351"/>
      <c r="R22" s="704"/>
      <c r="S22" s="705"/>
      <c r="T22" s="704"/>
      <c r="U22" s="705"/>
      <c r="V22" s="704"/>
      <c r="W22" s="705"/>
      <c r="X22" s="1354"/>
      <c r="Y22" s="383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830"/>
      <c r="Q23" s="1351" t="str">
        <f t="shared" ref="Q23:Q37" si="8">B23</f>
        <v>区域土地利用方向</v>
      </c>
      <c r="R23" s="704" t="s">
        <v>14</v>
      </c>
      <c r="S23" s="705">
        <f>F23</f>
        <v>100</v>
      </c>
      <c r="T23" s="704" t="s">
        <v>14</v>
      </c>
      <c r="U23" s="705">
        <f>H23</f>
        <v>100</v>
      </c>
      <c r="V23" s="704" t="s">
        <v>14</v>
      </c>
      <c r="W23" s="705">
        <f>J23</f>
        <v>100</v>
      </c>
      <c r="X23" s="1354"/>
      <c r="Y23" s="383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830"/>
      <c r="Q24" s="1351"/>
      <c r="R24" s="704"/>
      <c r="S24" s="705"/>
      <c r="T24" s="704"/>
      <c r="U24" s="705"/>
      <c r="V24" s="704"/>
      <c r="W24" s="705"/>
      <c r="X24" s="1354"/>
      <c r="Y24" s="383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830"/>
      <c r="Q25" s="1351" t="str">
        <f t="shared" si="8"/>
        <v>自然及人文环境状况</v>
      </c>
      <c r="R25" s="704" t="s">
        <v>14</v>
      </c>
      <c r="S25" s="705">
        <f>F25</f>
        <v>100</v>
      </c>
      <c r="T25" s="704" t="s">
        <v>14</v>
      </c>
      <c r="U25" s="705">
        <f>H25</f>
        <v>100</v>
      </c>
      <c r="V25" s="704" t="s">
        <v>14</v>
      </c>
      <c r="W25" s="705">
        <f>J25</f>
        <v>100</v>
      </c>
      <c r="X25" s="1354"/>
      <c r="Y25" s="383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830"/>
      <c r="Q26" s="1351"/>
      <c r="R26" s="704"/>
      <c r="S26" s="705"/>
      <c r="T26" s="704"/>
      <c r="U26" s="705"/>
      <c r="V26" s="704"/>
      <c r="W26" s="705"/>
      <c r="X26" s="1354"/>
      <c r="Y26" s="3830"/>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830"/>
      <c r="Q27" s="1342" t="str">
        <f t="shared" si="8"/>
        <v>公共配套设施</v>
      </c>
      <c r="R27" s="700" t="s">
        <v>14</v>
      </c>
      <c r="S27" s="701">
        <f>F27</f>
        <v>100</v>
      </c>
      <c r="T27" s="700" t="s">
        <v>14</v>
      </c>
      <c r="U27" s="701">
        <f>H27</f>
        <v>100</v>
      </c>
      <c r="V27" s="700" t="s">
        <v>14</v>
      </c>
      <c r="W27" s="701">
        <f>J27</f>
        <v>100</v>
      </c>
      <c r="X27" s="702"/>
      <c r="Y27" s="383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19"/>
      <c r="L28" s="2716"/>
      <c r="M28" s="2717"/>
      <c r="N28" s="2717"/>
      <c r="O28" s="2771"/>
      <c r="P28" s="3830"/>
      <c r="Q28" s="1342"/>
      <c r="R28" s="700"/>
      <c r="S28" s="701"/>
      <c r="T28" s="700"/>
      <c r="U28" s="701"/>
      <c r="V28" s="700"/>
      <c r="W28" s="701"/>
      <c r="X28" s="702"/>
      <c r="Y28" s="3830"/>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830"/>
      <c r="Q29" s="1342" t="str">
        <f t="shared" ref="Q29" si="9">B29</f>
        <v>基础设施水平</v>
      </c>
      <c r="R29" s="700" t="s">
        <v>14</v>
      </c>
      <c r="S29" s="701">
        <f>F29</f>
        <v>100</v>
      </c>
      <c r="T29" s="700" t="s">
        <v>14</v>
      </c>
      <c r="U29" s="701">
        <f>H29</f>
        <v>100</v>
      </c>
      <c r="V29" s="700" t="s">
        <v>14</v>
      </c>
      <c r="W29" s="701">
        <f>J29</f>
        <v>100</v>
      </c>
      <c r="X29" s="702"/>
      <c r="Y29" s="383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19"/>
      <c r="L30" s="2716"/>
      <c r="M30" s="2717"/>
      <c r="N30" s="2717"/>
      <c r="O30" s="2771"/>
      <c r="P30" s="3830"/>
      <c r="Q30" s="1342"/>
      <c r="R30" s="700"/>
      <c r="S30" s="701"/>
      <c r="T30" s="700"/>
      <c r="U30" s="701"/>
      <c r="V30" s="700"/>
      <c r="W30" s="701"/>
      <c r="X30" s="702"/>
      <c r="Y30" s="383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0"/>
      <c r="L31" s="2721"/>
      <c r="M31" s="2715"/>
      <c r="N31" s="2715"/>
      <c r="O31" s="2773"/>
      <c r="P31" s="383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83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830"/>
      <c r="Q32" s="1351" t="str">
        <f t="shared" si="8"/>
        <v>毗邻道路的类型与等级</v>
      </c>
      <c r="R32" s="704" t="s">
        <v>14</v>
      </c>
      <c r="S32" s="705">
        <f t="shared" si="10"/>
        <v>100</v>
      </c>
      <c r="T32" s="704" t="s">
        <v>14</v>
      </c>
      <c r="U32" s="705">
        <f t="shared" si="11"/>
        <v>100</v>
      </c>
      <c r="V32" s="704" t="s">
        <v>14</v>
      </c>
      <c r="W32" s="705">
        <f t="shared" si="12"/>
        <v>100</v>
      </c>
      <c r="X32" s="1354"/>
      <c r="Y32" s="383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830"/>
      <c r="Q33" s="1351"/>
      <c r="R33" s="704"/>
      <c r="S33" s="705"/>
      <c r="T33" s="704"/>
      <c r="U33" s="705"/>
      <c r="V33" s="704"/>
      <c r="W33" s="705"/>
      <c r="X33" s="1354"/>
      <c r="Y33" s="383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30"/>
      <c r="Q34" s="1351" t="str">
        <f t="shared" si="8"/>
        <v>土地级别</v>
      </c>
      <c r="R34" s="704" t="s">
        <v>14</v>
      </c>
      <c r="S34" s="705">
        <f t="shared" si="10"/>
        <v>100</v>
      </c>
      <c r="T34" s="704" t="s">
        <v>14</v>
      </c>
      <c r="U34" s="705">
        <f t="shared" si="11"/>
        <v>100</v>
      </c>
      <c r="V34" s="704" t="s">
        <v>14</v>
      </c>
      <c r="W34" s="705">
        <f t="shared" si="12"/>
        <v>100</v>
      </c>
      <c r="X34" s="1354"/>
      <c r="Y34" s="383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830"/>
      <c r="Q35" s="1351">
        <f t="shared" si="8"/>
        <v>111</v>
      </c>
      <c r="R35" s="704" t="s">
        <v>14</v>
      </c>
      <c r="S35" s="705">
        <f t="shared" si="10"/>
        <v>100</v>
      </c>
      <c r="T35" s="704" t="s">
        <v>14</v>
      </c>
      <c r="U35" s="705">
        <f t="shared" si="11"/>
        <v>100</v>
      </c>
      <c r="V35" s="704" t="s">
        <v>14</v>
      </c>
      <c r="W35" s="705">
        <f t="shared" si="12"/>
        <v>100</v>
      </c>
      <c r="X35" s="1354"/>
      <c r="Y35" s="383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911" t="s">
        <v>1696</v>
      </c>
      <c r="Q36" s="1351">
        <f t="shared" si="8"/>
        <v>111</v>
      </c>
      <c r="R36" s="704" t="s">
        <v>14</v>
      </c>
      <c r="S36" s="705">
        <f t="shared" si="10"/>
        <v>100</v>
      </c>
      <c r="T36" s="704" t="s">
        <v>14</v>
      </c>
      <c r="U36" s="705">
        <f t="shared" si="11"/>
        <v>100</v>
      </c>
      <c r="V36" s="704" t="s">
        <v>14</v>
      </c>
      <c r="W36" s="705">
        <f t="shared" si="12"/>
        <v>100</v>
      </c>
      <c r="X36" s="1354"/>
      <c r="Y36" s="383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34"/>
      <c r="Q37" s="1351">
        <f t="shared" si="8"/>
        <v>111</v>
      </c>
      <c r="R37" s="707" t="s">
        <v>14</v>
      </c>
      <c r="S37" s="708">
        <f t="shared" si="10"/>
        <v>100</v>
      </c>
      <c r="T37" s="707" t="s">
        <v>14</v>
      </c>
      <c r="U37" s="708">
        <f t="shared" si="11"/>
        <v>100</v>
      </c>
      <c r="V37" s="707" t="s">
        <v>14</v>
      </c>
      <c r="W37" s="708">
        <f t="shared" si="12"/>
        <v>100</v>
      </c>
      <c r="X37" s="709"/>
      <c r="Y37" s="383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34"/>
      <c r="Q38" s="1351" t="str">
        <f>B38</f>
        <v>宗地面积</v>
      </c>
      <c r="R38" s="704" t="s">
        <v>14</v>
      </c>
      <c r="S38" s="705" t="e">
        <f t="shared" si="10"/>
        <v>#N/A</v>
      </c>
      <c r="T38" s="704" t="s">
        <v>14</v>
      </c>
      <c r="U38" s="705" t="e">
        <f t="shared" si="11"/>
        <v>#N/A</v>
      </c>
      <c r="V38" s="704" t="s">
        <v>14</v>
      </c>
      <c r="W38" s="705" t="e">
        <f t="shared" si="12"/>
        <v>#N/A</v>
      </c>
      <c r="X38" s="1354"/>
      <c r="Y38" s="383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34"/>
      <c r="Q39" s="1351" t="str">
        <f t="shared" ref="Q39:Q45" si="14">B39</f>
        <v>宗地形状</v>
      </c>
      <c r="R39" s="704" t="s">
        <v>14</v>
      </c>
      <c r="S39" s="705">
        <f t="shared" si="10"/>
        <v>100</v>
      </c>
      <c r="T39" s="704" t="s">
        <v>14</v>
      </c>
      <c r="U39" s="705">
        <f t="shared" si="11"/>
        <v>100</v>
      </c>
      <c r="V39" s="704" t="s">
        <v>14</v>
      </c>
      <c r="W39" s="705">
        <f t="shared" si="12"/>
        <v>100</v>
      </c>
      <c r="X39" s="1354"/>
      <c r="Y39" s="383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34"/>
      <c r="Q40" s="1351" t="str">
        <f t="shared" si="14"/>
        <v>临街宽度及深度</v>
      </c>
      <c r="R40" s="704" t="s">
        <v>14</v>
      </c>
      <c r="S40" s="705">
        <f t="shared" si="10"/>
        <v>100</v>
      </c>
      <c r="T40" s="704" t="s">
        <v>14</v>
      </c>
      <c r="U40" s="705">
        <f t="shared" si="11"/>
        <v>100</v>
      </c>
      <c r="V40" s="704" t="s">
        <v>14</v>
      </c>
      <c r="W40" s="705">
        <f t="shared" si="12"/>
        <v>100</v>
      </c>
      <c r="X40" s="1354"/>
      <c r="Y40" s="383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34"/>
      <c r="Q41" s="1351" t="str">
        <f t="shared" si="14"/>
        <v>宗地开发程度</v>
      </c>
      <c r="R41" s="700" t="s">
        <v>14</v>
      </c>
      <c r="S41" s="701">
        <f t="shared" si="10"/>
        <v>100</v>
      </c>
      <c r="T41" s="700" t="s">
        <v>14</v>
      </c>
      <c r="U41" s="701">
        <f t="shared" si="11"/>
        <v>100</v>
      </c>
      <c r="V41" s="700" t="s">
        <v>14</v>
      </c>
      <c r="W41" s="701">
        <f t="shared" si="12"/>
        <v>100</v>
      </c>
      <c r="X41" s="702"/>
      <c r="Y41" s="383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34" t="s">
        <v>1696</v>
      </c>
      <c r="Q42" s="1351" t="str">
        <f t="shared" si="14"/>
        <v>工程地质条件</v>
      </c>
      <c r="R42" s="704" t="s">
        <v>14</v>
      </c>
      <c r="S42" s="705">
        <f t="shared" si="10"/>
        <v>100</v>
      </c>
      <c r="T42" s="704" t="s">
        <v>14</v>
      </c>
      <c r="U42" s="705">
        <f t="shared" si="11"/>
        <v>100</v>
      </c>
      <c r="V42" s="704" t="s">
        <v>14</v>
      </c>
      <c r="W42" s="705">
        <f t="shared" si="12"/>
        <v>100</v>
      </c>
      <c r="X42" s="1354"/>
      <c r="Y42" s="383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34"/>
      <c r="Q43" s="1351">
        <f t="shared" si="14"/>
        <v>111</v>
      </c>
      <c r="R43" s="704" t="s">
        <v>14</v>
      </c>
      <c r="S43" s="705">
        <f t="shared" si="10"/>
        <v>100</v>
      </c>
      <c r="T43" s="704" t="s">
        <v>14</v>
      </c>
      <c r="U43" s="705">
        <f t="shared" si="11"/>
        <v>100</v>
      </c>
      <c r="V43" s="704" t="s">
        <v>14</v>
      </c>
      <c r="W43" s="705">
        <f t="shared" si="12"/>
        <v>100</v>
      </c>
      <c r="X43" s="1354"/>
      <c r="Y43" s="383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34"/>
      <c r="Q44" s="1351">
        <f t="shared" si="14"/>
        <v>111</v>
      </c>
      <c r="R44" s="704" t="s">
        <v>14</v>
      </c>
      <c r="S44" s="705">
        <f t="shared" si="10"/>
        <v>100</v>
      </c>
      <c r="T44" s="704" t="s">
        <v>14</v>
      </c>
      <c r="U44" s="705">
        <f t="shared" si="11"/>
        <v>100</v>
      </c>
      <c r="V44" s="704" t="s">
        <v>14</v>
      </c>
      <c r="W44" s="705">
        <f t="shared" si="12"/>
        <v>100</v>
      </c>
      <c r="X44" s="1354"/>
      <c r="Y44" s="383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34"/>
      <c r="Q45" s="1351">
        <f t="shared" si="14"/>
        <v>111</v>
      </c>
      <c r="R45" s="707" t="s">
        <v>14</v>
      </c>
      <c r="S45" s="708">
        <f t="shared" si="10"/>
        <v>100</v>
      </c>
      <c r="T45" s="707" t="s">
        <v>14</v>
      </c>
      <c r="U45" s="708">
        <f t="shared" si="11"/>
        <v>100</v>
      </c>
      <c r="V45" s="707" t="s">
        <v>14</v>
      </c>
      <c r="W45" s="708">
        <f t="shared" si="12"/>
        <v>100</v>
      </c>
      <c r="X45" s="709"/>
      <c r="Y45" s="383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827" t="str">
        <f>A46</f>
        <v>成交单价</v>
      </c>
      <c r="Q46" s="3827"/>
      <c r="R46" s="3858">
        <f>E46</f>
        <v>0</v>
      </c>
      <c r="S46" s="3858"/>
      <c r="T46" s="3858">
        <f>G46</f>
        <v>0</v>
      </c>
      <c r="U46" s="3858"/>
      <c r="V46" s="3858">
        <f>I46</f>
        <v>0</v>
      </c>
      <c r="W46" s="385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827" t="str">
        <f>A47</f>
        <v>比较价值（元/平方米）</v>
      </c>
      <c r="Q47" s="3827"/>
      <c r="R47" s="3913" t="e">
        <f>ROUND(PRODUCT(R46,AA7:AA45),0)</f>
        <v>#DIV/0!</v>
      </c>
      <c r="S47" s="3913"/>
      <c r="T47" s="3913" t="e">
        <f>ROUND(PRODUCT(T46,AB7:AB45),0)</f>
        <v>#DIV/0!</v>
      </c>
      <c r="U47" s="3913"/>
      <c r="V47" s="3913" t="e">
        <f>ROUND(PRODUCT(V46,AC7:AC45),0)</f>
        <v>#DIV/0!</v>
      </c>
      <c r="W47" s="391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824" t="str">
        <f>A48</f>
        <v>估价对象XX用房的比较价值（楼面单价，元/平方米）</v>
      </c>
      <c r="Q48" s="3825"/>
      <c r="R48" s="3914" t="e">
        <f>ROUND(IF(D47="简单平均",AVERAGE(R47:W47),R47*F47+T47*H47+V47*J47),0)</f>
        <v>#DIV/0!</v>
      </c>
      <c r="S48" s="3914"/>
      <c r="T48" s="3914"/>
      <c r="U48" s="3914"/>
      <c r="V48" s="3914"/>
      <c r="W48" s="391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842" t="s">
        <v>1887</v>
      </c>
      <c r="H55" s="391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32455.11</v>
      </c>
      <c r="F56" s="885" t="e">
        <f t="shared" ref="F56:F64" si="15">ROUND(B56*E56/10000,0)</f>
        <v>#DIV/0!</v>
      </c>
      <c r="G56" s="3838"/>
      <c r="H56" s="382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16500.21</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48955.32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2023-12-1</v>
      </c>
      <c r="D67" s="691">
        <f>EDATE(C67,-3)</f>
        <v>45170</v>
      </c>
      <c r="E67" s="691">
        <f>EDATE(D67,-3)</f>
        <v>45078</v>
      </c>
      <c r="F67" s="691">
        <f t="shared" ref="F67:O67" si="18">EDATE(E67,-3)</f>
        <v>44986</v>
      </c>
      <c r="G67" s="691">
        <f t="shared" si="18"/>
        <v>44896</v>
      </c>
      <c r="H67" s="691">
        <f t="shared" si="18"/>
        <v>44805</v>
      </c>
      <c r="I67" s="691">
        <f t="shared" si="18"/>
        <v>44713</v>
      </c>
      <c r="J67" s="691">
        <f t="shared" si="18"/>
        <v>44621</v>
      </c>
      <c r="K67" s="691">
        <f t="shared" si="18"/>
        <v>44531</v>
      </c>
      <c r="L67" s="691">
        <f t="shared" si="18"/>
        <v>44440</v>
      </c>
      <c r="M67" s="691">
        <f t="shared" si="18"/>
        <v>44348</v>
      </c>
      <c r="N67" s="691">
        <f t="shared" si="18"/>
        <v>44256</v>
      </c>
      <c r="O67" s="691">
        <f t="shared" si="18"/>
        <v>44166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42" t="s">
        <v>1770</v>
      </c>
      <c r="D4" s="3843"/>
      <c r="E4" s="3844" t="s">
        <v>1771</v>
      </c>
      <c r="F4" s="3845"/>
      <c r="G4" s="3842" t="s">
        <v>1772</v>
      </c>
      <c r="H4" s="3843"/>
      <c r="I4" s="3842" t="s">
        <v>1773</v>
      </c>
      <c r="J4" s="3843"/>
      <c r="K4" s="559" t="s">
        <v>1774</v>
      </c>
      <c r="L4" s="2714"/>
      <c r="M4" s="2715"/>
      <c r="N4" s="2715"/>
      <c r="O4" s="2715"/>
      <c r="P4" s="3846" t="s">
        <v>1775</v>
      </c>
      <c r="Q4" s="3847"/>
      <c r="R4" s="3852" t="s">
        <v>1771</v>
      </c>
      <c r="S4" s="3853"/>
      <c r="T4" s="3852" t="s">
        <v>1772</v>
      </c>
      <c r="U4" s="3853"/>
      <c r="V4" s="3858" t="s">
        <v>1773</v>
      </c>
      <c r="W4" s="3858"/>
      <c r="X4" s="1354"/>
      <c r="Y4" s="3852" t="s">
        <v>1775</v>
      </c>
      <c r="Z4" s="3853"/>
      <c r="AA4" s="3839" t="s">
        <v>1771</v>
      </c>
      <c r="AB4" s="3840" t="s">
        <v>1772</v>
      </c>
      <c r="AC4" s="3839" t="s">
        <v>1773</v>
      </c>
    </row>
    <row r="5" spans="1:29" ht="15">
      <c r="A5" s="358"/>
      <c r="B5" s="359"/>
      <c r="C5" s="3861" t="s">
        <v>1673</v>
      </c>
      <c r="D5" s="3862"/>
      <c r="E5" s="3868" t="s">
        <v>1674</v>
      </c>
      <c r="F5" s="3869"/>
      <c r="G5" s="3861" t="s">
        <v>1675</v>
      </c>
      <c r="H5" s="3862"/>
      <c r="I5" s="3861" t="s">
        <v>1676</v>
      </c>
      <c r="J5" s="3862"/>
      <c r="K5" s="559"/>
      <c r="L5" s="2714"/>
      <c r="M5" s="2715"/>
      <c r="N5" s="2715"/>
      <c r="O5" s="2715"/>
      <c r="P5" s="3848"/>
      <c r="Q5" s="3849"/>
      <c r="R5" s="3854"/>
      <c r="S5" s="3855"/>
      <c r="T5" s="3854"/>
      <c r="U5" s="3855"/>
      <c r="V5" s="3858"/>
      <c r="W5" s="3858"/>
      <c r="X5" s="1354"/>
      <c r="Y5" s="3854"/>
      <c r="Z5" s="3855"/>
      <c r="AA5" s="3840"/>
      <c r="AB5" s="3840"/>
      <c r="AC5" s="3840"/>
    </row>
    <row r="6" spans="1:29" ht="15.75" thickBot="1">
      <c r="A6" s="360"/>
      <c r="B6" s="361"/>
      <c r="C6" s="3916" t="s">
        <v>1919</v>
      </c>
      <c r="D6" s="3917"/>
      <c r="E6" s="3918" t="s">
        <v>1919</v>
      </c>
      <c r="F6" s="3919"/>
      <c r="G6" s="3916" t="s">
        <v>1919</v>
      </c>
      <c r="H6" s="3917"/>
      <c r="I6" s="3916" t="s">
        <v>1919</v>
      </c>
      <c r="J6" s="3917"/>
      <c r="K6" s="559" t="s">
        <v>1678</v>
      </c>
      <c r="L6" s="2714"/>
      <c r="M6" s="2715"/>
      <c r="N6" s="2715"/>
      <c r="O6" s="2715"/>
      <c r="P6" s="3850"/>
      <c r="Q6" s="3851"/>
      <c r="R6" s="3854"/>
      <c r="S6" s="3855"/>
      <c r="T6" s="3856"/>
      <c r="U6" s="3857"/>
      <c r="V6" s="3858"/>
      <c r="W6" s="3858"/>
      <c r="X6" s="1354"/>
      <c r="Y6" s="3856"/>
      <c r="Z6" s="3857"/>
      <c r="AA6" s="3841"/>
      <c r="AB6" s="3841"/>
      <c r="AC6" s="3841"/>
    </row>
    <row r="7" spans="1:29" s="108" customFormat="1" ht="15.75" thickBot="1">
      <c r="A7" s="362" t="s">
        <v>1679</v>
      </c>
      <c r="B7" s="363"/>
      <c r="C7" s="364">
        <f>'数据-取费表'!B2</f>
        <v>45291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63" t="s">
        <v>1680</v>
      </c>
      <c r="Q7" s="3865"/>
      <c r="R7" s="700" t="s">
        <v>14</v>
      </c>
      <c r="S7" s="701">
        <f t="shared" ref="S7:S15" si="0">F7</f>
        <v>0</v>
      </c>
      <c r="T7" s="700" t="s">
        <v>14</v>
      </c>
      <c r="U7" s="701">
        <f t="shared" ref="U7:U15" si="1">H7</f>
        <v>0</v>
      </c>
      <c r="V7" s="700" t="s">
        <v>14</v>
      </c>
      <c r="W7" s="701">
        <f t="shared" ref="W7:W15" si="2">J7</f>
        <v>0</v>
      </c>
      <c r="X7" s="702"/>
      <c r="Y7" s="3863" t="s">
        <v>1680</v>
      </c>
      <c r="Z7" s="386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63" t="s">
        <v>1683</v>
      </c>
      <c r="Q8" s="3864"/>
      <c r="R8" s="700" t="s">
        <v>14</v>
      </c>
      <c r="S8" s="701">
        <f t="shared" si="0"/>
        <v>0</v>
      </c>
      <c r="T8" s="700" t="s">
        <v>14</v>
      </c>
      <c r="U8" s="701">
        <f t="shared" si="1"/>
        <v>0</v>
      </c>
      <c r="V8" s="700" t="s">
        <v>14</v>
      </c>
      <c r="W8" s="701">
        <f t="shared" si="2"/>
        <v>0</v>
      </c>
      <c r="X8" s="702"/>
      <c r="Y8" s="3863" t="s">
        <v>1683</v>
      </c>
      <c r="Z8" s="386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27" t="s">
        <v>1686</v>
      </c>
      <c r="Q9" s="1342" t="str">
        <f t="shared" ref="Q9:Q15" si="6">B9</f>
        <v>用途</v>
      </c>
      <c r="R9" s="700" t="s">
        <v>14</v>
      </c>
      <c r="S9" s="701">
        <f t="shared" si="0"/>
        <v>100</v>
      </c>
      <c r="T9" s="700" t="s">
        <v>14</v>
      </c>
      <c r="U9" s="701">
        <f t="shared" si="1"/>
        <v>100</v>
      </c>
      <c r="V9" s="700" t="s">
        <v>14</v>
      </c>
      <c r="W9" s="701">
        <f t="shared" si="2"/>
        <v>100</v>
      </c>
      <c r="X9" s="702"/>
      <c r="Y9" s="370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827"/>
      <c r="Q10" s="1342" t="str">
        <f t="shared" si="6"/>
        <v>土地使用年限（年）</v>
      </c>
      <c r="R10" s="700" t="s">
        <v>14</v>
      </c>
      <c r="S10" s="701" t="e">
        <f t="shared" si="0"/>
        <v>#DIV/0!</v>
      </c>
      <c r="T10" s="700" t="s">
        <v>14</v>
      </c>
      <c r="U10" s="701" t="e">
        <f t="shared" si="1"/>
        <v>#DIV/0!</v>
      </c>
      <c r="V10" s="700" t="s">
        <v>14</v>
      </c>
      <c r="W10" s="701" t="e">
        <f t="shared" si="2"/>
        <v>#DIV/0!</v>
      </c>
      <c r="X10" s="702"/>
      <c r="Y10" s="3702"/>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827"/>
      <c r="Q11" s="1342" t="str">
        <f t="shared" si="6"/>
        <v>容积率</v>
      </c>
      <c r="R11" s="700" t="s">
        <v>14</v>
      </c>
      <c r="S11" s="701" t="e">
        <f t="shared" si="0"/>
        <v>#N/A</v>
      </c>
      <c r="T11" s="700" t="s">
        <v>14</v>
      </c>
      <c r="U11" s="701" t="e">
        <f t="shared" si="1"/>
        <v>#N/A</v>
      </c>
      <c r="V11" s="700" t="s">
        <v>14</v>
      </c>
      <c r="W11" s="701" t="e">
        <f t="shared" si="2"/>
        <v>#N/A</v>
      </c>
      <c r="X11" s="702"/>
      <c r="Y11" s="370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827"/>
      <c r="Q12" s="1342">
        <f t="shared" si="6"/>
        <v>111</v>
      </c>
      <c r="R12" s="700" t="s">
        <v>14</v>
      </c>
      <c r="S12" s="701">
        <f t="shared" si="0"/>
        <v>100</v>
      </c>
      <c r="T12" s="700" t="s">
        <v>14</v>
      </c>
      <c r="U12" s="701">
        <f t="shared" si="1"/>
        <v>100</v>
      </c>
      <c r="V12" s="700" t="s">
        <v>14</v>
      </c>
      <c r="W12" s="701">
        <f t="shared" si="2"/>
        <v>100</v>
      </c>
      <c r="X12" s="702"/>
      <c r="Y12" s="370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827"/>
      <c r="Q13" s="1342">
        <f t="shared" si="6"/>
        <v>111</v>
      </c>
      <c r="R13" s="700" t="s">
        <v>14</v>
      </c>
      <c r="S13" s="701">
        <f t="shared" si="0"/>
        <v>100</v>
      </c>
      <c r="T13" s="700" t="s">
        <v>14</v>
      </c>
      <c r="U13" s="701">
        <f t="shared" si="1"/>
        <v>100</v>
      </c>
      <c r="V13" s="700" t="s">
        <v>14</v>
      </c>
      <c r="W13" s="701">
        <f t="shared" si="2"/>
        <v>100</v>
      </c>
      <c r="X13" s="702"/>
      <c r="Y13" s="370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827"/>
      <c r="Q14" s="1342">
        <f t="shared" si="6"/>
        <v>111</v>
      </c>
      <c r="R14" s="700" t="s">
        <v>14</v>
      </c>
      <c r="S14" s="701">
        <f t="shared" si="0"/>
        <v>100</v>
      </c>
      <c r="T14" s="700" t="s">
        <v>14</v>
      </c>
      <c r="U14" s="701">
        <f t="shared" si="1"/>
        <v>100</v>
      </c>
      <c r="V14" s="700" t="s">
        <v>14</v>
      </c>
      <c r="W14" s="701">
        <f t="shared" si="2"/>
        <v>100</v>
      </c>
      <c r="X14" s="702"/>
      <c r="Y14" s="370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829" t="s">
        <v>1691</v>
      </c>
      <c r="Q15" s="1351" t="str">
        <f t="shared" si="6"/>
        <v>产业集聚程度</v>
      </c>
      <c r="R15" s="704" t="s">
        <v>14</v>
      </c>
      <c r="S15" s="705">
        <f t="shared" si="0"/>
        <v>100</v>
      </c>
      <c r="T15" s="704" t="s">
        <v>14</v>
      </c>
      <c r="U15" s="705">
        <f t="shared" si="1"/>
        <v>100</v>
      </c>
      <c r="V15" s="704" t="s">
        <v>14</v>
      </c>
      <c r="W15" s="705">
        <f t="shared" si="2"/>
        <v>100</v>
      </c>
      <c r="X15" s="1354"/>
      <c r="Y15" s="382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19"/>
      <c r="L16" s="2721"/>
      <c r="M16" s="2715"/>
      <c r="N16" s="2715"/>
      <c r="O16" s="2773"/>
      <c r="P16" s="3830"/>
      <c r="Q16" s="1351"/>
      <c r="R16" s="704"/>
      <c r="S16" s="705"/>
      <c r="T16" s="704"/>
      <c r="U16" s="705"/>
      <c r="V16" s="704"/>
      <c r="W16" s="705"/>
      <c r="X16" s="1354"/>
      <c r="Y16" s="383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830"/>
      <c r="Q17" s="1351" t="str">
        <f>B17</f>
        <v>交通便捷度</v>
      </c>
      <c r="R17" s="704" t="s">
        <v>14</v>
      </c>
      <c r="S17" s="705">
        <f>F17</f>
        <v>100</v>
      </c>
      <c r="T17" s="704" t="s">
        <v>14</v>
      </c>
      <c r="U17" s="705">
        <f>H17</f>
        <v>100</v>
      </c>
      <c r="V17" s="704" t="s">
        <v>14</v>
      </c>
      <c r="W17" s="705">
        <f>J17</f>
        <v>100</v>
      </c>
      <c r="X17" s="1354"/>
      <c r="Y17" s="383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19"/>
      <c r="L18" s="2721"/>
      <c r="M18" s="2715"/>
      <c r="N18" s="2715"/>
      <c r="O18" s="2773"/>
      <c r="P18" s="3830"/>
      <c r="Q18" s="1351"/>
      <c r="R18" s="704"/>
      <c r="S18" s="705"/>
      <c r="T18" s="704"/>
      <c r="U18" s="705"/>
      <c r="V18" s="704"/>
      <c r="W18" s="705"/>
      <c r="X18" s="1354"/>
      <c r="Y18" s="383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830"/>
      <c r="Q19" s="1351" t="str">
        <f t="shared" ref="Q19:Q33" si="8">B19</f>
        <v>区域土地利用方向</v>
      </c>
      <c r="R19" s="704" t="s">
        <v>14</v>
      </c>
      <c r="S19" s="705">
        <f>F19</f>
        <v>100</v>
      </c>
      <c r="T19" s="704" t="s">
        <v>14</v>
      </c>
      <c r="U19" s="705">
        <f>H19</f>
        <v>100</v>
      </c>
      <c r="V19" s="704" t="s">
        <v>14</v>
      </c>
      <c r="W19" s="705">
        <f>J19</f>
        <v>100</v>
      </c>
      <c r="X19" s="1354"/>
      <c r="Y19" s="383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830"/>
      <c r="Q20" s="1351"/>
      <c r="R20" s="704"/>
      <c r="S20" s="705"/>
      <c r="T20" s="704"/>
      <c r="U20" s="705"/>
      <c r="V20" s="704"/>
      <c r="W20" s="705"/>
      <c r="X20" s="1354"/>
      <c r="Y20" s="383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830"/>
      <c r="Q21" s="1351" t="str">
        <f t="shared" si="8"/>
        <v>环境状况</v>
      </c>
      <c r="R21" s="704" t="s">
        <v>14</v>
      </c>
      <c r="S21" s="705">
        <f>F21</f>
        <v>100</v>
      </c>
      <c r="T21" s="704" t="s">
        <v>14</v>
      </c>
      <c r="U21" s="705">
        <f>H21</f>
        <v>100</v>
      </c>
      <c r="V21" s="704" t="s">
        <v>14</v>
      </c>
      <c r="W21" s="705">
        <f>J21</f>
        <v>100</v>
      </c>
      <c r="X21" s="1354"/>
      <c r="Y21" s="383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19"/>
      <c r="L22" s="2721"/>
      <c r="M22" s="2715"/>
      <c r="N22" s="2715"/>
      <c r="O22" s="2773"/>
      <c r="P22" s="3830"/>
      <c r="Q22" s="1351"/>
      <c r="R22" s="704"/>
      <c r="S22" s="705"/>
      <c r="T22" s="704"/>
      <c r="U22" s="705"/>
      <c r="V22" s="704"/>
      <c r="W22" s="705"/>
      <c r="X22" s="1354"/>
      <c r="Y22" s="383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830"/>
      <c r="Q23" s="1342" t="str">
        <f t="shared" si="8"/>
        <v>公共配套设施</v>
      </c>
      <c r="R23" s="700" t="s">
        <v>14</v>
      </c>
      <c r="S23" s="701">
        <f>F23</f>
        <v>100</v>
      </c>
      <c r="T23" s="700" t="s">
        <v>14</v>
      </c>
      <c r="U23" s="701">
        <f>H23</f>
        <v>100</v>
      </c>
      <c r="V23" s="700" t="s">
        <v>14</v>
      </c>
      <c r="W23" s="701">
        <f>J23</f>
        <v>100</v>
      </c>
      <c r="X23" s="702"/>
      <c r="Y23" s="383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19"/>
      <c r="L24" s="2716"/>
      <c r="M24" s="2717"/>
      <c r="N24" s="2717"/>
      <c r="O24" s="2771"/>
      <c r="P24" s="3830"/>
      <c r="Q24" s="1342"/>
      <c r="R24" s="700"/>
      <c r="S24" s="701"/>
      <c r="T24" s="700"/>
      <c r="U24" s="701"/>
      <c r="V24" s="700"/>
      <c r="W24" s="701"/>
      <c r="X24" s="702"/>
      <c r="Y24" s="3830"/>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830"/>
      <c r="Q25" s="1342" t="str">
        <f t="shared" ref="Q25" si="9">B25</f>
        <v>基础设施水平</v>
      </c>
      <c r="R25" s="700" t="s">
        <v>14</v>
      </c>
      <c r="S25" s="701">
        <f>F25</f>
        <v>100</v>
      </c>
      <c r="T25" s="700" t="s">
        <v>14</v>
      </c>
      <c r="U25" s="701">
        <f>H25</f>
        <v>100</v>
      </c>
      <c r="V25" s="700" t="s">
        <v>14</v>
      </c>
      <c r="W25" s="701">
        <f>J25</f>
        <v>100</v>
      </c>
      <c r="X25" s="702"/>
      <c r="Y25" s="383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19"/>
      <c r="L26" s="2716"/>
      <c r="M26" s="2717"/>
      <c r="N26" s="2717"/>
      <c r="O26" s="2771"/>
      <c r="P26" s="3830"/>
      <c r="Q26" s="1342"/>
      <c r="R26" s="700"/>
      <c r="S26" s="701"/>
      <c r="T26" s="700"/>
      <c r="U26" s="701"/>
      <c r="V26" s="700"/>
      <c r="W26" s="701"/>
      <c r="X26" s="702"/>
      <c r="Y26" s="383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0"/>
      <c r="L27" s="2721"/>
      <c r="M27" s="2715"/>
      <c r="N27" s="2715"/>
      <c r="O27" s="2773"/>
      <c r="P27" s="383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83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830"/>
      <c r="Q28" s="1351" t="str">
        <f t="shared" si="8"/>
        <v>毗邻道路的类型与等级</v>
      </c>
      <c r="R28" s="704" t="s">
        <v>14</v>
      </c>
      <c r="S28" s="705">
        <f t="shared" si="10"/>
        <v>100</v>
      </c>
      <c r="T28" s="704" t="s">
        <v>14</v>
      </c>
      <c r="U28" s="705">
        <f t="shared" si="11"/>
        <v>100</v>
      </c>
      <c r="V28" s="704" t="s">
        <v>14</v>
      </c>
      <c r="W28" s="705">
        <f t="shared" si="12"/>
        <v>100</v>
      </c>
      <c r="X28" s="1354"/>
      <c r="Y28" s="383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830"/>
      <c r="Q29" s="1351"/>
      <c r="R29" s="704"/>
      <c r="S29" s="705"/>
      <c r="T29" s="704"/>
      <c r="U29" s="705"/>
      <c r="V29" s="704"/>
      <c r="W29" s="705"/>
      <c r="X29" s="1354"/>
      <c r="Y29" s="383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30"/>
      <c r="Q30" s="1351" t="str">
        <f t="shared" si="8"/>
        <v>土地级别</v>
      </c>
      <c r="R30" s="704" t="s">
        <v>14</v>
      </c>
      <c r="S30" s="705">
        <f t="shared" si="10"/>
        <v>100</v>
      </c>
      <c r="T30" s="704" t="s">
        <v>14</v>
      </c>
      <c r="U30" s="705">
        <f t="shared" si="11"/>
        <v>100</v>
      </c>
      <c r="V30" s="704" t="s">
        <v>14</v>
      </c>
      <c r="W30" s="705">
        <f t="shared" si="12"/>
        <v>100</v>
      </c>
      <c r="X30" s="1354"/>
      <c r="Y30" s="383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30"/>
      <c r="Q31" s="1351">
        <f t="shared" si="8"/>
        <v>111</v>
      </c>
      <c r="R31" s="704" t="s">
        <v>14</v>
      </c>
      <c r="S31" s="705">
        <f t="shared" si="10"/>
        <v>100</v>
      </c>
      <c r="T31" s="704" t="s">
        <v>14</v>
      </c>
      <c r="U31" s="705">
        <f t="shared" si="11"/>
        <v>100</v>
      </c>
      <c r="V31" s="704" t="s">
        <v>14</v>
      </c>
      <c r="W31" s="705">
        <f t="shared" si="12"/>
        <v>100</v>
      </c>
      <c r="X31" s="1354"/>
      <c r="Y31" s="383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911" t="s">
        <v>1696</v>
      </c>
      <c r="Q32" s="1351">
        <f t="shared" si="8"/>
        <v>111</v>
      </c>
      <c r="R32" s="704" t="s">
        <v>14</v>
      </c>
      <c r="S32" s="705">
        <f t="shared" si="10"/>
        <v>100</v>
      </c>
      <c r="T32" s="704" t="s">
        <v>14</v>
      </c>
      <c r="U32" s="705">
        <f t="shared" si="11"/>
        <v>100</v>
      </c>
      <c r="V32" s="704" t="s">
        <v>14</v>
      </c>
      <c r="W32" s="705">
        <f t="shared" si="12"/>
        <v>100</v>
      </c>
      <c r="X32" s="1354"/>
      <c r="Y32" s="383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34"/>
      <c r="Q33" s="1351">
        <f t="shared" si="8"/>
        <v>111</v>
      </c>
      <c r="R33" s="707" t="s">
        <v>14</v>
      </c>
      <c r="S33" s="708">
        <f t="shared" si="10"/>
        <v>100</v>
      </c>
      <c r="T33" s="707" t="s">
        <v>14</v>
      </c>
      <c r="U33" s="708">
        <f t="shared" si="11"/>
        <v>100</v>
      </c>
      <c r="V33" s="707" t="s">
        <v>14</v>
      </c>
      <c r="W33" s="708">
        <f t="shared" si="12"/>
        <v>100</v>
      </c>
      <c r="X33" s="709"/>
      <c r="Y33" s="383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34"/>
      <c r="Q34" s="1351" t="str">
        <f>B34</f>
        <v>宗地面积</v>
      </c>
      <c r="R34" s="704" t="s">
        <v>14</v>
      </c>
      <c r="S34" s="705" t="e">
        <f t="shared" si="10"/>
        <v>#N/A</v>
      </c>
      <c r="T34" s="704" t="s">
        <v>14</v>
      </c>
      <c r="U34" s="705" t="e">
        <f t="shared" si="11"/>
        <v>#N/A</v>
      </c>
      <c r="V34" s="704" t="s">
        <v>14</v>
      </c>
      <c r="W34" s="705" t="e">
        <f t="shared" si="12"/>
        <v>#N/A</v>
      </c>
      <c r="X34" s="1354"/>
      <c r="Y34" s="383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34"/>
      <c r="Q35" s="1351" t="str">
        <f t="shared" ref="Q35:Q40" si="14">B35</f>
        <v>宗地形状</v>
      </c>
      <c r="R35" s="704" t="s">
        <v>14</v>
      </c>
      <c r="S35" s="705">
        <f t="shared" si="10"/>
        <v>100</v>
      </c>
      <c r="T35" s="704" t="s">
        <v>14</v>
      </c>
      <c r="U35" s="705">
        <f t="shared" si="11"/>
        <v>100</v>
      </c>
      <c r="V35" s="704" t="s">
        <v>14</v>
      </c>
      <c r="W35" s="705">
        <f t="shared" si="12"/>
        <v>100</v>
      </c>
      <c r="X35" s="1354"/>
      <c r="Y35" s="383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34"/>
      <c r="Q36" s="1351" t="str">
        <f t="shared" si="14"/>
        <v>宗地开发程度</v>
      </c>
      <c r="R36" s="700" t="s">
        <v>14</v>
      </c>
      <c r="S36" s="701">
        <f t="shared" si="10"/>
        <v>100</v>
      </c>
      <c r="T36" s="700" t="s">
        <v>14</v>
      </c>
      <c r="U36" s="701">
        <f t="shared" si="11"/>
        <v>100</v>
      </c>
      <c r="V36" s="700" t="s">
        <v>14</v>
      </c>
      <c r="W36" s="701">
        <f t="shared" si="12"/>
        <v>100</v>
      </c>
      <c r="X36" s="702"/>
      <c r="Y36" s="383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34" t="s">
        <v>1696</v>
      </c>
      <c r="Q37" s="1351" t="str">
        <f t="shared" si="14"/>
        <v>工程地质条件</v>
      </c>
      <c r="R37" s="704" t="s">
        <v>14</v>
      </c>
      <c r="S37" s="705">
        <f t="shared" si="10"/>
        <v>100</v>
      </c>
      <c r="T37" s="704" t="s">
        <v>14</v>
      </c>
      <c r="U37" s="705">
        <f t="shared" si="11"/>
        <v>100</v>
      </c>
      <c r="V37" s="704" t="s">
        <v>14</v>
      </c>
      <c r="W37" s="705">
        <f t="shared" si="12"/>
        <v>100</v>
      </c>
      <c r="X37" s="1354"/>
      <c r="Y37" s="383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34"/>
      <c r="Q38" s="1351">
        <f t="shared" si="14"/>
        <v>111</v>
      </c>
      <c r="R38" s="704" t="s">
        <v>14</v>
      </c>
      <c r="S38" s="705">
        <f t="shared" si="10"/>
        <v>100</v>
      </c>
      <c r="T38" s="704" t="s">
        <v>14</v>
      </c>
      <c r="U38" s="705">
        <f t="shared" si="11"/>
        <v>100</v>
      </c>
      <c r="V38" s="704" t="s">
        <v>14</v>
      </c>
      <c r="W38" s="705">
        <f t="shared" si="12"/>
        <v>100</v>
      </c>
      <c r="X38" s="1354"/>
      <c r="Y38" s="383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34"/>
      <c r="Q39" s="1351">
        <f t="shared" si="14"/>
        <v>111</v>
      </c>
      <c r="R39" s="704" t="s">
        <v>14</v>
      </c>
      <c r="S39" s="705">
        <f t="shared" si="10"/>
        <v>100</v>
      </c>
      <c r="T39" s="704" t="s">
        <v>14</v>
      </c>
      <c r="U39" s="705">
        <f t="shared" si="11"/>
        <v>100</v>
      </c>
      <c r="V39" s="704" t="s">
        <v>14</v>
      </c>
      <c r="W39" s="705">
        <f t="shared" si="12"/>
        <v>100</v>
      </c>
      <c r="X39" s="1354"/>
      <c r="Y39" s="383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34"/>
      <c r="Q40" s="1351">
        <f t="shared" si="14"/>
        <v>111</v>
      </c>
      <c r="R40" s="707" t="s">
        <v>14</v>
      </c>
      <c r="S40" s="708">
        <f t="shared" si="10"/>
        <v>100</v>
      </c>
      <c r="T40" s="707" t="s">
        <v>14</v>
      </c>
      <c r="U40" s="708">
        <f t="shared" si="11"/>
        <v>100</v>
      </c>
      <c r="V40" s="707" t="s">
        <v>14</v>
      </c>
      <c r="W40" s="708">
        <f t="shared" si="12"/>
        <v>100</v>
      </c>
      <c r="X40" s="709"/>
      <c r="Y40" s="383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827" t="str">
        <f>A41</f>
        <v>成交单价</v>
      </c>
      <c r="Q41" s="3827"/>
      <c r="R41" s="3858">
        <f>E41</f>
        <v>0</v>
      </c>
      <c r="S41" s="3858"/>
      <c r="T41" s="3858">
        <f>G41</f>
        <v>0</v>
      </c>
      <c r="U41" s="3858"/>
      <c r="V41" s="3858">
        <f>I41</f>
        <v>0</v>
      </c>
      <c r="W41" s="385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827" t="str">
        <f>A42</f>
        <v>比较价值（元/平方米）</v>
      </c>
      <c r="Q42" s="3827"/>
      <c r="R42" s="3913" t="e">
        <f>ROUND(PRODUCT(R41,AA7:AA40),0)</f>
        <v>#DIV/0!</v>
      </c>
      <c r="S42" s="3913"/>
      <c r="T42" s="3913" t="e">
        <f>ROUND(PRODUCT(T41,AB7:AB40),0)</f>
        <v>#DIV/0!</v>
      </c>
      <c r="U42" s="3913"/>
      <c r="V42" s="3913" t="e">
        <f>ROUND(PRODUCT(V41,AC7:AC40),0)</f>
        <v>#DIV/0!</v>
      </c>
      <c r="W42" s="391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824" t="str">
        <f>A43</f>
        <v>估价对象XX用房的比较价值（楼面单价，元/平方米）</v>
      </c>
      <c r="Q43" s="3825"/>
      <c r="R43" s="3914" t="e">
        <f>ROUND(IF(D42="简单平均",AVERAGE(R42:W42),R42*F42+T42*H42+V42*J42),0)</f>
        <v>#DIV/0!</v>
      </c>
      <c r="S43" s="3914"/>
      <c r="T43" s="3914"/>
      <c r="U43" s="3914"/>
      <c r="V43" s="3914"/>
      <c r="W43" s="391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842" t="s">
        <v>1887</v>
      </c>
      <c r="H50" s="391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32455.11</v>
      </c>
      <c r="F51" s="638" t="e">
        <f t="shared" ref="F51:F60" si="15">ROUND(B51*E51/10000,0)</f>
        <v>#DIV/0!</v>
      </c>
      <c r="G51" s="3838"/>
      <c r="H51" s="382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16500.21</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11881.76</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2023-12-1</v>
      </c>
      <c r="D63" s="691">
        <f>EDATE(C63,-3)</f>
        <v>45170</v>
      </c>
      <c r="E63" s="691">
        <f>EDATE(D63,-3)</f>
        <v>45078</v>
      </c>
      <c r="F63" s="691">
        <f t="shared" ref="F63:O63" si="18">EDATE(E63,-3)</f>
        <v>44986</v>
      </c>
      <c r="G63" s="691">
        <f t="shared" si="18"/>
        <v>44896</v>
      </c>
      <c r="H63" s="691">
        <f t="shared" si="18"/>
        <v>44805</v>
      </c>
      <c r="I63" s="691">
        <f t="shared" si="18"/>
        <v>44713</v>
      </c>
      <c r="J63" s="691">
        <f t="shared" si="18"/>
        <v>44621</v>
      </c>
      <c r="K63" s="691">
        <f t="shared" si="18"/>
        <v>44531</v>
      </c>
      <c r="L63" s="691">
        <f t="shared" si="18"/>
        <v>44440</v>
      </c>
      <c r="M63" s="691">
        <f t="shared" si="18"/>
        <v>44348</v>
      </c>
      <c r="N63" s="691">
        <f t="shared" si="18"/>
        <v>44256</v>
      </c>
      <c r="O63" s="691">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923" t="s">
        <v>2084</v>
      </c>
      <c r="D1" s="3924"/>
      <c r="E1" s="3924"/>
      <c r="F1" s="3924"/>
      <c r="G1" s="3924"/>
      <c r="H1" s="3924"/>
      <c r="I1" s="3924"/>
      <c r="J1" s="3924"/>
      <c r="K1" s="3924"/>
      <c r="L1" s="3924"/>
      <c r="M1" s="3924"/>
      <c r="N1" s="3924"/>
      <c r="O1" s="3924"/>
      <c r="P1" s="3924"/>
      <c r="Q1" s="3924"/>
      <c r="R1" s="3924"/>
      <c r="S1" s="392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920" t="s">
        <v>27</v>
      </c>
      <c r="D22" s="3921"/>
      <c r="E22" s="3921"/>
      <c r="F22" s="3921"/>
      <c r="G22" s="3921"/>
      <c r="H22" s="3921"/>
      <c r="I22" s="3921"/>
      <c r="J22" s="3921"/>
      <c r="K22" s="3921"/>
      <c r="L22" s="3921"/>
      <c r="M22" s="3921"/>
      <c r="N22" s="3921"/>
      <c r="O22" s="3921"/>
      <c r="P22" s="3921"/>
      <c r="Q22" s="392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875" style="2052" customWidth="1"/>
    <col min="2" max="2" width="22.5" style="2143" customWidth="1"/>
    <col min="3" max="3" width="12" style="1997"/>
    <col min="4" max="4" width="14.875" style="1997" customWidth="1"/>
    <col min="5" max="5" width="14.625" style="1997" customWidth="1"/>
    <col min="6" max="8" width="12" style="1997"/>
    <col min="9" max="9" width="12.125" style="1997" bestFit="1" customWidth="1"/>
    <col min="10" max="10" width="12" style="1997"/>
    <col min="11" max="11" width="8.125" style="2048" customWidth="1"/>
    <col min="12" max="12" width="19.5" style="1997" customWidth="1"/>
    <col min="13" max="13" width="8.5" style="1997" customWidth="1"/>
    <col min="14" max="14" width="9.8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933"/>
      <c r="B4" s="3934"/>
      <c r="C4" s="3934"/>
      <c r="D4" s="3935"/>
      <c r="E4" s="3935"/>
      <c r="F4" s="3935"/>
      <c r="G4" s="3935"/>
      <c r="H4" s="3935"/>
      <c r="I4" s="3935"/>
      <c r="J4" s="393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930" t="s">
        <v>1960</v>
      </c>
      <c r="X8" s="393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93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93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37" t="s">
        <v>3258</v>
      </c>
      <c r="B20" s="167" t="s">
        <v>1994</v>
      </c>
      <c r="C20" s="3324" t="e">
        <f>ROUND(IF(F21="与级别开发程度一致",0,(G21-E21)/C21),0)</f>
        <v>#DIV/0!</v>
      </c>
      <c r="D20" s="3340" t="s">
        <v>1998</v>
      </c>
      <c r="E20" s="3341"/>
      <c r="F20" s="3943" t="s">
        <v>1995</v>
      </c>
      <c r="G20" s="394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93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45291</v>
      </c>
      <c r="H23" s="3342" t="s">
        <v>3260</v>
      </c>
      <c r="I23" s="3343" t="str">
        <f>IF(H23="季度增幅（自定义）",SUMIF(N25:N28,E2,O25:O28),"")</f>
        <v/>
      </c>
      <c r="J23" s="3445" t="s">
        <v>3259</v>
      </c>
      <c r="K23" s="1124"/>
      <c r="L23" s="2054" t="s">
        <v>2004</v>
      </c>
      <c r="M23" s="1327">
        <f>ROUND(SUMIF(地价!B2:G2,E2,地价!B16:G16),0)</f>
        <v>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2"/>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9" t="s">
        <v>3298</v>
      </c>
      <c r="B103" s="3939"/>
      <c r="C103" s="3939"/>
      <c r="D103" s="3939"/>
      <c r="E103" s="3939"/>
      <c r="F103" s="3939"/>
      <c r="G103" s="3939"/>
      <c r="H103" s="3939"/>
      <c r="I103" s="3939"/>
      <c r="J103" s="3939"/>
      <c r="K103" s="3389"/>
      <c r="L103" s="3389"/>
      <c r="M103" s="3389"/>
      <c r="N103" s="3389"/>
    </row>
    <row r="104" spans="1:14">
      <c r="A104" s="3940" t="s">
        <v>3299</v>
      </c>
      <c r="B104" s="3940" t="s">
        <v>3300</v>
      </c>
      <c r="C104" s="3390" t="s">
        <v>3301</v>
      </c>
      <c r="D104" s="3391"/>
      <c r="E104" s="3391"/>
      <c r="F104" s="3391"/>
      <c r="G104" s="3391"/>
      <c r="H104" s="3391"/>
      <c r="I104" s="3391"/>
      <c r="J104" s="3392"/>
      <c r="K104" s="3393"/>
      <c r="L104" s="3393"/>
      <c r="M104" s="3393"/>
      <c r="N104" s="3393"/>
    </row>
    <row r="105" spans="1:14">
      <c r="A105" s="3940"/>
      <c r="B105" s="394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92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7"/>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2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9" t="s">
        <v>3315</v>
      </c>
      <c r="B113" s="3929"/>
      <c r="C113" s="3929"/>
      <c r="D113" s="3929"/>
      <c r="E113" s="3929"/>
      <c r="F113" s="3929"/>
      <c r="G113" s="3929"/>
      <c r="H113" s="3929"/>
      <c r="I113" s="3929"/>
      <c r="J113" s="392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15.7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73" customWidth="1"/>
    <col min="14" max="14" width="10" style="3073" customWidth="1"/>
    <col min="15" max="16" width="8.125" style="3073"/>
    <col min="17" max="17" width="34.125" style="3073" customWidth="1"/>
    <col min="18" max="18" width="8.125" style="3073" customWidth="1"/>
    <col min="19" max="19" width="8.125" style="3073"/>
    <col min="20" max="20" width="11.625" style="3073" customWidth="1"/>
    <col min="21" max="16384" width="8.1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954" t="s">
        <v>2611</v>
      </c>
      <c r="B20" s="3949" t="s">
        <v>2632</v>
      </c>
      <c r="C20" s="3102" t="s">
        <v>2443</v>
      </c>
      <c r="D20" s="3103"/>
      <c r="E20" s="3104">
        <v>1</v>
      </c>
      <c r="F20" s="3105" t="s">
        <v>2444</v>
      </c>
      <c r="G20" s="3105"/>
    </row>
    <row r="21" spans="1:13" ht="19.5" customHeight="1">
      <c r="A21" s="3955"/>
      <c r="B21" s="3948"/>
      <c r="C21" s="3106" t="s">
        <v>2445</v>
      </c>
      <c r="D21" s="3107"/>
      <c r="E21" s="3108">
        <v>1</v>
      </c>
      <c r="F21" s="3105" t="s">
        <v>2446</v>
      </c>
      <c r="G21" s="3105"/>
    </row>
    <row r="22" spans="1:13" ht="19.5" customHeight="1">
      <c r="A22" s="3955"/>
      <c r="B22" s="3948"/>
      <c r="C22" s="3106" t="s">
        <v>2447</v>
      </c>
      <c r="D22" s="3107"/>
      <c r="E22" s="3108">
        <v>0.9</v>
      </c>
      <c r="F22" s="3105" t="s">
        <v>2448</v>
      </c>
      <c r="G22" s="3105"/>
    </row>
    <row r="23" spans="1:13" ht="19.5" customHeight="1">
      <c r="A23" s="3955"/>
      <c r="B23" s="3948"/>
      <c r="C23" s="3106" t="s">
        <v>2449</v>
      </c>
      <c r="D23" s="3107"/>
      <c r="E23" s="3108">
        <v>0.9</v>
      </c>
      <c r="F23" s="3105" t="s">
        <v>2450</v>
      </c>
      <c r="G23" s="3105"/>
    </row>
    <row r="24" spans="1:13" ht="19.5" customHeight="1">
      <c r="A24" s="3955"/>
      <c r="B24" s="3948"/>
      <c r="C24" s="3106" t="s">
        <v>2451</v>
      </c>
      <c r="D24" s="3107"/>
      <c r="E24" s="3108">
        <v>0.8</v>
      </c>
      <c r="F24" s="3105" t="s">
        <v>2452</v>
      </c>
      <c r="G24" s="3105"/>
    </row>
    <row r="25" spans="1:13" ht="19.5" customHeight="1" thickBot="1">
      <c r="A25" s="3956"/>
      <c r="B25" s="3950"/>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951" t="s">
        <v>2635</v>
      </c>
      <c r="B27" s="3949" t="s">
        <v>2616</v>
      </c>
      <c r="C27" s="3102" t="s">
        <v>2456</v>
      </c>
      <c r="D27" s="3103"/>
      <c r="E27" s="3104">
        <v>1</v>
      </c>
      <c r="F27" s="3105" t="s">
        <v>2457</v>
      </c>
      <c r="G27" s="3105"/>
    </row>
    <row r="28" spans="1:13" ht="19.5" customHeight="1">
      <c r="A28" s="3952"/>
      <c r="B28" s="3948"/>
      <c r="C28" s="3106" t="s">
        <v>2458</v>
      </c>
      <c r="D28" s="3107"/>
      <c r="E28" s="3108">
        <v>1</v>
      </c>
      <c r="F28" s="3105" t="s">
        <v>2459</v>
      </c>
      <c r="G28" s="3105"/>
    </row>
    <row r="29" spans="1:13" ht="19.5" customHeight="1">
      <c r="A29" s="3952"/>
      <c r="B29" s="3948"/>
      <c r="C29" s="3106" t="s">
        <v>2460</v>
      </c>
      <c r="D29" s="3107"/>
      <c r="E29" s="3108">
        <v>0.8</v>
      </c>
      <c r="F29" s="3105" t="s">
        <v>2461</v>
      </c>
      <c r="G29" s="3105"/>
    </row>
    <row r="30" spans="1:13" ht="19.5" customHeight="1">
      <c r="A30" s="3952"/>
      <c r="B30" s="3948"/>
      <c r="C30" s="3106" t="s">
        <v>2462</v>
      </c>
      <c r="D30" s="3107"/>
      <c r="E30" s="3108">
        <v>0.8</v>
      </c>
      <c r="F30" s="3105" t="s">
        <v>2463</v>
      </c>
      <c r="G30" s="3105"/>
    </row>
    <row r="31" spans="1:13" ht="19.5" customHeight="1">
      <c r="A31" s="3952"/>
      <c r="B31" s="3948"/>
      <c r="C31" s="3106" t="s">
        <v>2464</v>
      </c>
      <c r="D31" s="3107"/>
      <c r="E31" s="3108">
        <v>0.8</v>
      </c>
      <c r="F31" s="3105" t="s">
        <v>2465</v>
      </c>
      <c r="G31" s="3105"/>
    </row>
    <row r="32" spans="1:13" ht="19.5" customHeight="1">
      <c r="A32" s="3952"/>
      <c r="B32" s="3948"/>
      <c r="C32" s="3106" t="s">
        <v>2466</v>
      </c>
      <c r="D32" s="3107"/>
      <c r="E32" s="3108">
        <v>0.7</v>
      </c>
      <c r="F32" s="3105" t="s">
        <v>2467</v>
      </c>
      <c r="G32" s="3105"/>
    </row>
    <row r="33" spans="1:7" ht="19.5" customHeight="1">
      <c r="A33" s="3952"/>
      <c r="B33" s="3948"/>
      <c r="C33" s="3106" t="s">
        <v>2468</v>
      </c>
      <c r="D33" s="3107"/>
      <c r="E33" s="3108">
        <v>0.8</v>
      </c>
      <c r="F33" s="3105" t="s">
        <v>2469</v>
      </c>
      <c r="G33" s="3105"/>
    </row>
    <row r="34" spans="1:7" ht="19.5" customHeight="1">
      <c r="A34" s="3952"/>
      <c r="B34" s="3948"/>
      <c r="C34" s="3106" t="s">
        <v>2470</v>
      </c>
      <c r="D34" s="3107"/>
      <c r="E34" s="3108">
        <v>0.6</v>
      </c>
      <c r="F34" s="3105" t="s">
        <v>2471</v>
      </c>
      <c r="G34" s="3105"/>
    </row>
    <row r="35" spans="1:7" ht="19.5" customHeight="1">
      <c r="A35" s="3952"/>
      <c r="B35" s="3948"/>
      <c r="C35" s="3106" t="s">
        <v>2472</v>
      </c>
      <c r="D35" s="3107"/>
      <c r="E35" s="3108">
        <v>0.2</v>
      </c>
      <c r="F35" s="3105" t="s">
        <v>2473</v>
      </c>
      <c r="G35" s="3105"/>
    </row>
    <row r="36" spans="1:7" ht="19.5" customHeight="1">
      <c r="A36" s="3952"/>
      <c r="B36" s="3948"/>
      <c r="C36" s="3106" t="s">
        <v>2474</v>
      </c>
      <c r="D36" s="3107"/>
      <c r="E36" s="3108">
        <v>0.2</v>
      </c>
      <c r="F36" s="3105" t="s">
        <v>2475</v>
      </c>
      <c r="G36" s="3105"/>
    </row>
    <row r="37" spans="1:7" ht="19.5" customHeight="1">
      <c r="A37" s="3952"/>
      <c r="B37" s="3946" t="s">
        <v>2636</v>
      </c>
      <c r="C37" s="3106" t="s">
        <v>2476</v>
      </c>
      <c r="D37" s="3107"/>
      <c r="E37" s="3108">
        <v>0.6</v>
      </c>
      <c r="F37" s="3105" t="s">
        <v>2477</v>
      </c>
      <c r="G37" s="3105"/>
    </row>
    <row r="38" spans="1:7" ht="19.5" customHeight="1">
      <c r="A38" s="3952"/>
      <c r="B38" s="3948"/>
      <c r="C38" s="3106" t="s">
        <v>2478</v>
      </c>
      <c r="D38" s="3107"/>
      <c r="E38" s="3108">
        <v>0.6</v>
      </c>
      <c r="F38" s="3105" t="s">
        <v>2479</v>
      </c>
      <c r="G38" s="3105"/>
    </row>
    <row r="39" spans="1:7" ht="19.5" customHeight="1" thickBot="1">
      <c r="A39" s="3953"/>
      <c r="B39" s="3950"/>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954" t="s">
        <v>2614</v>
      </c>
      <c r="B41" s="3949" t="s">
        <v>2638</v>
      </c>
      <c r="C41" s="3102" t="s">
        <v>2483</v>
      </c>
      <c r="D41" s="3103"/>
      <c r="E41" s="3104">
        <v>1</v>
      </c>
      <c r="F41" s="3105" t="s">
        <v>2484</v>
      </c>
      <c r="G41" s="3105"/>
    </row>
    <row r="42" spans="1:7" ht="19.5" customHeight="1">
      <c r="A42" s="3955"/>
      <c r="B42" s="3948"/>
      <c r="C42" s="3106" t="s">
        <v>2485</v>
      </c>
      <c r="D42" s="3107"/>
      <c r="E42" s="3108">
        <v>1</v>
      </c>
      <c r="F42" s="3105" t="s">
        <v>2486</v>
      </c>
      <c r="G42" s="3105"/>
    </row>
    <row r="43" spans="1:7" ht="19.5" customHeight="1">
      <c r="A43" s="3955"/>
      <c r="B43" s="3947"/>
      <c r="C43" s="3106" t="s">
        <v>2487</v>
      </c>
      <c r="D43" s="3107"/>
      <c r="E43" s="3108">
        <v>1.5</v>
      </c>
      <c r="F43" s="3105" t="s">
        <v>2488</v>
      </c>
      <c r="G43" s="3105"/>
    </row>
    <row r="44" spans="1:7" ht="19.5" customHeight="1">
      <c r="A44" s="3955"/>
      <c r="B44" s="3117" t="s">
        <v>2639</v>
      </c>
      <c r="C44" s="3106" t="s">
        <v>2640</v>
      </c>
      <c r="D44" s="3107"/>
      <c r="E44" s="3108">
        <v>2</v>
      </c>
      <c r="F44" s="3105" t="s">
        <v>2489</v>
      </c>
      <c r="G44" s="3105"/>
    </row>
    <row r="45" spans="1:7" ht="19.5" customHeight="1">
      <c r="A45" s="3955"/>
      <c r="B45" s="3946" t="s">
        <v>2641</v>
      </c>
      <c r="C45" s="3106" t="s">
        <v>2490</v>
      </c>
      <c r="D45" s="3107"/>
      <c r="E45" s="3108">
        <v>1</v>
      </c>
      <c r="F45" s="3105" t="s">
        <v>2491</v>
      </c>
      <c r="G45" s="3105"/>
    </row>
    <row r="46" spans="1:7" ht="19.5" customHeight="1">
      <c r="A46" s="3955"/>
      <c r="B46" s="3948"/>
      <c r="C46" s="3106" t="s">
        <v>2492</v>
      </c>
      <c r="D46" s="3107"/>
      <c r="E46" s="3108">
        <v>1</v>
      </c>
      <c r="F46" s="3105" t="s">
        <v>2493</v>
      </c>
      <c r="G46" s="3105"/>
    </row>
    <row r="47" spans="1:7" ht="19.5" customHeight="1">
      <c r="A47" s="3955"/>
      <c r="B47" s="3948"/>
      <c r="C47" s="3106" t="s">
        <v>2494</v>
      </c>
      <c r="D47" s="3107"/>
      <c r="E47" s="3108">
        <v>1</v>
      </c>
      <c r="F47" s="3105" t="s">
        <v>2495</v>
      </c>
      <c r="G47" s="3105"/>
    </row>
    <row r="48" spans="1:7" ht="19.5" customHeight="1">
      <c r="A48" s="3955"/>
      <c r="B48" s="3948"/>
      <c r="C48" s="3106" t="s">
        <v>2496</v>
      </c>
      <c r="D48" s="3107"/>
      <c r="E48" s="3108">
        <v>1</v>
      </c>
      <c r="F48" s="3105" t="s">
        <v>2497</v>
      </c>
      <c r="G48" s="3105"/>
    </row>
    <row r="49" spans="1:7" ht="19.5" customHeight="1">
      <c r="A49" s="3955"/>
      <c r="B49" s="3948"/>
      <c r="C49" s="3106" t="s">
        <v>2498</v>
      </c>
      <c r="D49" s="3107"/>
      <c r="E49" s="3108">
        <v>1</v>
      </c>
      <c r="F49" s="3105" t="s">
        <v>2499</v>
      </c>
      <c r="G49" s="3105"/>
    </row>
    <row r="50" spans="1:7" ht="19.5" customHeight="1">
      <c r="A50" s="3955"/>
      <c r="B50" s="3948"/>
      <c r="C50" s="3106" t="s">
        <v>2500</v>
      </c>
      <c r="D50" s="3107"/>
      <c r="E50" s="3108">
        <v>1</v>
      </c>
      <c r="F50" s="3105" t="s">
        <v>2501</v>
      </c>
      <c r="G50" s="3105"/>
    </row>
    <row r="51" spans="1:7" ht="19.5" customHeight="1" thickBot="1">
      <c r="A51" s="3956"/>
      <c r="B51" s="3950"/>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946" t="s">
        <v>2655</v>
      </c>
      <c r="C73" s="3091" t="s">
        <v>2656</v>
      </c>
      <c r="D73" s="3091" t="s">
        <v>2657</v>
      </c>
      <c r="E73" s="3117">
        <v>0.2</v>
      </c>
      <c r="F73" s="3117">
        <v>25</v>
      </c>
    </row>
    <row r="74" spans="1:7" ht="24">
      <c r="A74" s="3117">
        <v>2</v>
      </c>
      <c r="B74" s="3948"/>
      <c r="C74" s="3091" t="s">
        <v>2658</v>
      </c>
      <c r="D74" s="3091" t="s">
        <v>2659</v>
      </c>
      <c r="E74" s="3117">
        <v>0.2</v>
      </c>
      <c r="F74" s="3117">
        <v>25</v>
      </c>
    </row>
    <row r="75" spans="1:7" ht="24">
      <c r="A75" s="3117">
        <v>3</v>
      </c>
      <c r="B75" s="3948"/>
      <c r="C75" s="3091" t="s">
        <v>2660</v>
      </c>
      <c r="D75" s="3091" t="s">
        <v>2661</v>
      </c>
      <c r="E75" s="3117">
        <v>0.2</v>
      </c>
      <c r="F75" s="3117">
        <v>25</v>
      </c>
    </row>
    <row r="76" spans="1:7" ht="13.5">
      <c r="A76" s="3117">
        <v>4</v>
      </c>
      <c r="B76" s="3948"/>
      <c r="C76" s="3091" t="s">
        <v>2662</v>
      </c>
      <c r="D76" s="3091" t="s">
        <v>2663</v>
      </c>
      <c r="E76" s="3117">
        <v>0.15</v>
      </c>
      <c r="F76" s="3117">
        <v>20</v>
      </c>
    </row>
    <row r="77" spans="1:7" ht="24">
      <c r="A77" s="3117">
        <v>5</v>
      </c>
      <c r="B77" s="3948"/>
      <c r="C77" s="3091" t="s">
        <v>2664</v>
      </c>
      <c r="D77" s="3091" t="s">
        <v>2665</v>
      </c>
      <c r="E77" s="3117">
        <v>0.15</v>
      </c>
      <c r="F77" s="3117">
        <v>20</v>
      </c>
    </row>
    <row r="78" spans="1:7" ht="24">
      <c r="A78" s="3117">
        <v>6</v>
      </c>
      <c r="B78" s="3948"/>
      <c r="C78" s="3091" t="s">
        <v>2666</v>
      </c>
      <c r="D78" s="3091" t="s">
        <v>2667</v>
      </c>
      <c r="E78" s="3117">
        <v>0.15</v>
      </c>
      <c r="F78" s="3117">
        <v>20</v>
      </c>
    </row>
    <row r="79" spans="1:7" ht="24">
      <c r="A79" s="3117">
        <v>7</v>
      </c>
      <c r="B79" s="3948"/>
      <c r="C79" s="3091" t="s">
        <v>2668</v>
      </c>
      <c r="D79" s="3091" t="s">
        <v>2669</v>
      </c>
      <c r="E79" s="3117">
        <v>0.15</v>
      </c>
      <c r="F79" s="3117">
        <v>20</v>
      </c>
    </row>
    <row r="80" spans="1:7" ht="24">
      <c r="A80" s="3117">
        <v>8</v>
      </c>
      <c r="B80" s="3948"/>
      <c r="C80" s="3091" t="s">
        <v>2670</v>
      </c>
      <c r="D80" s="3091" t="s">
        <v>2671</v>
      </c>
      <c r="E80" s="3117">
        <v>0.1</v>
      </c>
      <c r="F80" s="3117">
        <v>15</v>
      </c>
    </row>
    <row r="81" spans="1:6" ht="24">
      <c r="A81" s="3117">
        <v>9</v>
      </c>
      <c r="B81" s="3948"/>
      <c r="C81" s="3091" t="s">
        <v>2672</v>
      </c>
      <c r="D81" s="3091" t="s">
        <v>2673</v>
      </c>
      <c r="E81" s="3117">
        <v>0.1</v>
      </c>
      <c r="F81" s="3117">
        <v>15</v>
      </c>
    </row>
    <row r="82" spans="1:6" ht="24">
      <c r="A82" s="3117">
        <v>10</v>
      </c>
      <c r="B82" s="3948"/>
      <c r="C82" s="3091" t="s">
        <v>2674</v>
      </c>
      <c r="D82" s="3091" t="s">
        <v>2675</v>
      </c>
      <c r="E82" s="3117">
        <v>0.1</v>
      </c>
      <c r="F82" s="3117">
        <v>15</v>
      </c>
    </row>
    <row r="83" spans="1:6" ht="24">
      <c r="A83" s="3117">
        <v>11</v>
      </c>
      <c r="B83" s="3948"/>
      <c r="C83" s="3091" t="s">
        <v>2676</v>
      </c>
      <c r="D83" s="3091" t="s">
        <v>2677</v>
      </c>
      <c r="E83" s="3117">
        <v>0.1</v>
      </c>
      <c r="F83" s="3117">
        <v>15</v>
      </c>
    </row>
    <row r="84" spans="1:6" ht="24">
      <c r="A84" s="3117">
        <v>12</v>
      </c>
      <c r="B84" s="3948"/>
      <c r="C84" s="3091" t="s">
        <v>2678</v>
      </c>
      <c r="D84" s="3091" t="s">
        <v>2679</v>
      </c>
      <c r="E84" s="3117">
        <v>0.1</v>
      </c>
      <c r="F84" s="3117">
        <v>15</v>
      </c>
    </row>
    <row r="85" spans="1:6" ht="13.5">
      <c r="A85" s="3117">
        <v>13</v>
      </c>
      <c r="B85" s="3948"/>
      <c r="C85" s="3091" t="s">
        <v>2680</v>
      </c>
      <c r="D85" s="3091" t="s">
        <v>2681</v>
      </c>
      <c r="E85" s="3117">
        <v>0.1</v>
      </c>
      <c r="F85" s="3117">
        <v>15</v>
      </c>
    </row>
    <row r="86" spans="1:6" ht="13.5">
      <c r="A86" s="3117">
        <v>14</v>
      </c>
      <c r="B86" s="3948"/>
      <c r="C86" s="3091" t="s">
        <v>2682</v>
      </c>
      <c r="D86" s="3091" t="s">
        <v>2683</v>
      </c>
      <c r="E86" s="3117">
        <v>0.1</v>
      </c>
      <c r="F86" s="3117">
        <v>15</v>
      </c>
    </row>
    <row r="87" spans="1:6" ht="13.5">
      <c r="A87" s="3117">
        <v>15</v>
      </c>
      <c r="B87" s="3948"/>
      <c r="C87" s="3091" t="s">
        <v>2684</v>
      </c>
      <c r="D87" s="3091" t="s">
        <v>2685</v>
      </c>
      <c r="E87" s="3117">
        <v>0.1</v>
      </c>
      <c r="F87" s="3117">
        <v>15</v>
      </c>
    </row>
    <row r="88" spans="1:6" ht="24">
      <c r="A88" s="3117">
        <v>16</v>
      </c>
      <c r="B88" s="3948"/>
      <c r="C88" s="3091" t="s">
        <v>2686</v>
      </c>
      <c r="D88" s="3091" t="s">
        <v>2687</v>
      </c>
      <c r="E88" s="3117">
        <v>0.1</v>
      </c>
      <c r="F88" s="3117">
        <v>15</v>
      </c>
    </row>
    <row r="89" spans="1:6" ht="24">
      <c r="A89" s="3117">
        <v>17</v>
      </c>
      <c r="B89" s="3947"/>
      <c r="C89" s="3091" t="s">
        <v>2688</v>
      </c>
      <c r="D89" s="3091" t="s">
        <v>2689</v>
      </c>
      <c r="E89" s="3117">
        <v>0.1</v>
      </c>
      <c r="F89" s="3117">
        <v>15</v>
      </c>
    </row>
    <row r="90" spans="1:6" ht="13.5">
      <c r="A90" s="3117">
        <v>18</v>
      </c>
      <c r="B90" s="3946" t="s">
        <v>2690</v>
      </c>
      <c r="C90" s="3091" t="s">
        <v>2691</v>
      </c>
      <c r="D90" s="3091" t="s">
        <v>2692</v>
      </c>
      <c r="E90" s="3117">
        <v>0.2</v>
      </c>
      <c r="F90" s="3117">
        <v>25</v>
      </c>
    </row>
    <row r="91" spans="1:6" ht="24">
      <c r="A91" s="3117">
        <v>19</v>
      </c>
      <c r="B91" s="3948"/>
      <c r="C91" s="3091" t="s">
        <v>2693</v>
      </c>
      <c r="D91" s="3091" t="s">
        <v>2694</v>
      </c>
      <c r="E91" s="3117">
        <v>0.2</v>
      </c>
      <c r="F91" s="3117">
        <v>25</v>
      </c>
    </row>
    <row r="92" spans="1:6" ht="13.5">
      <c r="A92" s="3117">
        <v>20</v>
      </c>
      <c r="B92" s="3948"/>
      <c r="C92" s="3091" t="s">
        <v>2695</v>
      </c>
      <c r="D92" s="3091" t="s">
        <v>2696</v>
      </c>
      <c r="E92" s="3117">
        <v>0.15</v>
      </c>
      <c r="F92" s="3117">
        <v>20</v>
      </c>
    </row>
    <row r="93" spans="1:6" ht="24">
      <c r="A93" s="3117">
        <v>21</v>
      </c>
      <c r="B93" s="3948"/>
      <c r="C93" s="3091" t="s">
        <v>2697</v>
      </c>
      <c r="D93" s="3091" t="s">
        <v>2698</v>
      </c>
      <c r="E93" s="3117">
        <v>0.15</v>
      </c>
      <c r="F93" s="3117">
        <v>20</v>
      </c>
    </row>
    <row r="94" spans="1:6" ht="24">
      <c r="A94" s="3117">
        <v>22</v>
      </c>
      <c r="B94" s="3948"/>
      <c r="C94" s="3091" t="s">
        <v>2699</v>
      </c>
      <c r="D94" s="3091" t="s">
        <v>2700</v>
      </c>
      <c r="E94" s="3117">
        <v>0.15</v>
      </c>
      <c r="F94" s="3117">
        <v>20</v>
      </c>
    </row>
    <row r="95" spans="1:6" ht="36">
      <c r="A95" s="3117">
        <v>23</v>
      </c>
      <c r="B95" s="3948"/>
      <c r="C95" s="3091" t="s">
        <v>2701</v>
      </c>
      <c r="D95" s="3091" t="s">
        <v>2702</v>
      </c>
      <c r="E95" s="3117">
        <v>0.15</v>
      </c>
      <c r="F95" s="3117">
        <v>20</v>
      </c>
    </row>
    <row r="96" spans="1:6" ht="13.5">
      <c r="A96" s="3117">
        <v>24</v>
      </c>
      <c r="B96" s="3948"/>
      <c r="C96" s="3091" t="s">
        <v>2703</v>
      </c>
      <c r="D96" s="3091" t="s">
        <v>2704</v>
      </c>
      <c r="E96" s="3117">
        <v>0.1</v>
      </c>
      <c r="F96" s="3117">
        <v>15</v>
      </c>
    </row>
    <row r="97" spans="1:6" ht="24">
      <c r="A97" s="3117">
        <v>25</v>
      </c>
      <c r="B97" s="3948"/>
      <c r="C97" s="3091" t="s">
        <v>2705</v>
      </c>
      <c r="D97" s="3091" t="s">
        <v>2706</v>
      </c>
      <c r="E97" s="3117">
        <v>0.1</v>
      </c>
      <c r="F97" s="3117">
        <v>15</v>
      </c>
    </row>
    <row r="98" spans="1:6" ht="24">
      <c r="A98" s="3117">
        <v>26</v>
      </c>
      <c r="B98" s="3948"/>
      <c r="C98" s="3091" t="s">
        <v>2707</v>
      </c>
      <c r="D98" s="3091" t="s">
        <v>2708</v>
      </c>
      <c r="E98" s="3117">
        <v>0.1</v>
      </c>
      <c r="F98" s="3117">
        <v>15</v>
      </c>
    </row>
    <row r="99" spans="1:6" ht="24">
      <c r="A99" s="3117">
        <v>27</v>
      </c>
      <c r="B99" s="3948"/>
      <c r="C99" s="3091" t="s">
        <v>2709</v>
      </c>
      <c r="D99" s="3091" t="s">
        <v>2710</v>
      </c>
      <c r="E99" s="3117">
        <v>0.1</v>
      </c>
      <c r="F99" s="3117">
        <v>15</v>
      </c>
    </row>
    <row r="100" spans="1:6" ht="24">
      <c r="A100" s="3117">
        <v>28</v>
      </c>
      <c r="B100" s="3948"/>
      <c r="C100" s="3091" t="s">
        <v>2711</v>
      </c>
      <c r="D100" s="3091" t="s">
        <v>2712</v>
      </c>
      <c r="E100" s="3117">
        <v>0.1</v>
      </c>
      <c r="F100" s="3117">
        <v>15</v>
      </c>
    </row>
    <row r="101" spans="1:6" ht="24">
      <c r="A101" s="3117">
        <v>29</v>
      </c>
      <c r="B101" s="3948"/>
      <c r="C101" s="3091" t="s">
        <v>2713</v>
      </c>
      <c r="D101" s="3091" t="s">
        <v>2714</v>
      </c>
      <c r="E101" s="3117">
        <v>0.1</v>
      </c>
      <c r="F101" s="3117">
        <v>15</v>
      </c>
    </row>
    <row r="102" spans="1:6" ht="24">
      <c r="A102" s="3117">
        <v>30</v>
      </c>
      <c r="B102" s="3948"/>
      <c r="C102" s="3091" t="s">
        <v>2715</v>
      </c>
      <c r="D102" s="3091" t="s">
        <v>2716</v>
      </c>
      <c r="E102" s="3117">
        <v>0.1</v>
      </c>
      <c r="F102" s="3117">
        <v>15</v>
      </c>
    </row>
    <row r="103" spans="1:6" ht="24">
      <c r="A103" s="3117">
        <v>31</v>
      </c>
      <c r="B103" s="3948"/>
      <c r="C103" s="3091" t="s">
        <v>2717</v>
      </c>
      <c r="D103" s="3091" t="s">
        <v>2718</v>
      </c>
      <c r="E103" s="3117">
        <v>0.1</v>
      </c>
      <c r="F103" s="3117">
        <v>15</v>
      </c>
    </row>
    <row r="104" spans="1:6" ht="24">
      <c r="A104" s="3117">
        <v>32</v>
      </c>
      <c r="B104" s="3948"/>
      <c r="C104" s="3091" t="s">
        <v>2719</v>
      </c>
      <c r="D104" s="3091" t="s">
        <v>2720</v>
      </c>
      <c r="E104" s="3117">
        <v>0.1</v>
      </c>
      <c r="F104" s="3117">
        <v>15</v>
      </c>
    </row>
    <row r="105" spans="1:6" ht="24">
      <c r="A105" s="3117">
        <v>33</v>
      </c>
      <c r="B105" s="3948"/>
      <c r="C105" s="3091" t="s">
        <v>2721</v>
      </c>
      <c r="D105" s="3091" t="s">
        <v>2722</v>
      </c>
      <c r="E105" s="3117">
        <v>0.1</v>
      </c>
      <c r="F105" s="3117">
        <v>15</v>
      </c>
    </row>
    <row r="106" spans="1:6" ht="24">
      <c r="A106" s="3117">
        <v>34</v>
      </c>
      <c r="B106" s="3947"/>
      <c r="C106" s="3091" t="s">
        <v>2723</v>
      </c>
      <c r="D106" s="3091" t="s">
        <v>2724</v>
      </c>
      <c r="E106" s="3117">
        <v>0.1</v>
      </c>
      <c r="F106" s="3117">
        <v>15</v>
      </c>
    </row>
    <row r="107" spans="1:6" ht="24">
      <c r="A107" s="3117">
        <v>35</v>
      </c>
      <c r="B107" s="3946" t="s">
        <v>2725</v>
      </c>
      <c r="C107" s="3117" t="s">
        <v>2726</v>
      </c>
      <c r="D107" s="3091" t="s">
        <v>2727</v>
      </c>
      <c r="E107" s="3117">
        <v>0.15</v>
      </c>
      <c r="F107" s="3117">
        <v>20</v>
      </c>
    </row>
    <row r="108" spans="1:6" ht="24">
      <c r="A108" s="3117">
        <v>36</v>
      </c>
      <c r="B108" s="3948"/>
      <c r="C108" s="3117" t="s">
        <v>2728</v>
      </c>
      <c r="D108" s="3091" t="s">
        <v>2729</v>
      </c>
      <c r="E108" s="3117">
        <v>0.15</v>
      </c>
      <c r="F108" s="3117">
        <v>20</v>
      </c>
    </row>
    <row r="109" spans="1:6" ht="24">
      <c r="A109" s="3117">
        <v>37</v>
      </c>
      <c r="B109" s="3948"/>
      <c r="C109" s="3117" t="s">
        <v>2730</v>
      </c>
      <c r="D109" s="3091" t="s">
        <v>2731</v>
      </c>
      <c r="E109" s="3117">
        <v>0.15</v>
      </c>
      <c r="F109" s="3117">
        <v>20</v>
      </c>
    </row>
    <row r="110" spans="1:6" ht="13.5">
      <c r="A110" s="3117">
        <v>38</v>
      </c>
      <c r="B110" s="3948"/>
      <c r="C110" s="3117" t="s">
        <v>2732</v>
      </c>
      <c r="D110" s="3091" t="s">
        <v>2733</v>
      </c>
      <c r="E110" s="3117">
        <v>0.1</v>
      </c>
      <c r="F110" s="3117">
        <v>15</v>
      </c>
    </row>
    <row r="111" spans="1:6" ht="24">
      <c r="A111" s="3117">
        <v>39</v>
      </c>
      <c r="B111" s="3948"/>
      <c r="C111" s="3117" t="s">
        <v>2734</v>
      </c>
      <c r="D111" s="3091" t="s">
        <v>2735</v>
      </c>
      <c r="E111" s="3117">
        <v>0.1</v>
      </c>
      <c r="F111" s="3117">
        <v>15</v>
      </c>
    </row>
    <row r="112" spans="1:6" ht="24">
      <c r="A112" s="3117">
        <v>40</v>
      </c>
      <c r="B112" s="3947"/>
      <c r="C112" s="3117" t="s">
        <v>2736</v>
      </c>
      <c r="D112" s="3091" t="s">
        <v>2737</v>
      </c>
      <c r="E112" s="3117">
        <v>0.1</v>
      </c>
      <c r="F112" s="3117">
        <v>15</v>
      </c>
    </row>
    <row r="113" spans="1:6" ht="24">
      <c r="A113" s="3117">
        <v>41</v>
      </c>
      <c r="B113" s="3945" t="s">
        <v>2738</v>
      </c>
      <c r="C113" s="3117" t="s">
        <v>2739</v>
      </c>
      <c r="D113" s="3091" t="s">
        <v>2740</v>
      </c>
      <c r="E113" s="3117">
        <v>0.1</v>
      </c>
      <c r="F113" s="3117">
        <v>15</v>
      </c>
    </row>
    <row r="114" spans="1:6" ht="13.5">
      <c r="A114" s="3117">
        <v>42</v>
      </c>
      <c r="B114" s="3945"/>
      <c r="C114" s="3117" t="s">
        <v>2741</v>
      </c>
      <c r="D114" s="3091" t="s">
        <v>2742</v>
      </c>
      <c r="E114" s="3117">
        <v>0.1</v>
      </c>
      <c r="F114" s="3117">
        <v>15</v>
      </c>
    </row>
    <row r="115" spans="1:6" ht="24">
      <c r="A115" s="3117">
        <v>43</v>
      </c>
      <c r="B115" s="3945"/>
      <c r="C115" s="3117" t="s">
        <v>2743</v>
      </c>
      <c r="D115" s="3091" t="s">
        <v>2744</v>
      </c>
      <c r="E115" s="3117">
        <v>0.1</v>
      </c>
      <c r="F115" s="3117">
        <v>15</v>
      </c>
    </row>
    <row r="116" spans="1:6" ht="24">
      <c r="A116" s="3117">
        <v>44</v>
      </c>
      <c r="B116" s="3946" t="s">
        <v>2745</v>
      </c>
      <c r="C116" s="3117" t="s">
        <v>2746</v>
      </c>
      <c r="D116" s="3091" t="s">
        <v>2747</v>
      </c>
      <c r="E116" s="3117">
        <v>0.1</v>
      </c>
      <c r="F116" s="3117">
        <v>15</v>
      </c>
    </row>
    <row r="117" spans="1:6" ht="24">
      <c r="A117" s="3117">
        <v>45</v>
      </c>
      <c r="B117" s="3947"/>
      <c r="C117" s="3091" t="s">
        <v>2748</v>
      </c>
      <c r="D117" s="3091" t="s">
        <v>2749</v>
      </c>
      <c r="E117" s="3117">
        <v>0.1</v>
      </c>
      <c r="F117" s="3117">
        <v>15</v>
      </c>
    </row>
    <row r="118" spans="1:6" ht="24">
      <c r="A118" s="3117">
        <v>46</v>
      </c>
      <c r="B118" s="3946" t="s">
        <v>2750</v>
      </c>
      <c r="C118" s="3117" t="s">
        <v>2751</v>
      </c>
      <c r="D118" s="3091" t="s">
        <v>2752</v>
      </c>
      <c r="E118" s="3117">
        <v>0.1</v>
      </c>
      <c r="F118" s="3117">
        <v>15</v>
      </c>
    </row>
    <row r="119" spans="1:6" ht="24">
      <c r="A119" s="3117">
        <v>47</v>
      </c>
      <c r="B119" s="3947"/>
      <c r="C119" s="3117" t="s">
        <v>2753</v>
      </c>
      <c r="D119" s="3091" t="s">
        <v>2754</v>
      </c>
      <c r="E119" s="3117">
        <v>0.1</v>
      </c>
      <c r="F119" s="3117">
        <v>15</v>
      </c>
    </row>
    <row r="120" spans="1:6" ht="24">
      <c r="A120" s="3117">
        <v>48</v>
      </c>
      <c r="B120" s="3946" t="s">
        <v>2755</v>
      </c>
      <c r="C120" s="3117" t="s">
        <v>2756</v>
      </c>
      <c r="D120" s="3091" t="s">
        <v>2757</v>
      </c>
      <c r="E120" s="3117">
        <v>0.1</v>
      </c>
      <c r="F120" s="3117">
        <v>15</v>
      </c>
    </row>
    <row r="121" spans="1:6" ht="13.5">
      <c r="A121" s="3117">
        <v>49</v>
      </c>
      <c r="B121" s="3947"/>
      <c r="C121" s="3117" t="s">
        <v>2758</v>
      </c>
      <c r="D121" s="3091" t="s">
        <v>2759</v>
      </c>
      <c r="E121" s="3117">
        <v>0.1</v>
      </c>
      <c r="F121" s="3117">
        <v>15</v>
      </c>
    </row>
    <row r="122" spans="1:6" ht="24">
      <c r="A122" s="3117">
        <v>50</v>
      </c>
      <c r="B122" s="3945" t="s">
        <v>2760</v>
      </c>
      <c r="C122" s="3117" t="s">
        <v>2761</v>
      </c>
      <c r="D122" s="3091" t="s">
        <v>2762</v>
      </c>
      <c r="E122" s="3117">
        <v>0.1</v>
      </c>
      <c r="F122" s="3117">
        <v>15</v>
      </c>
    </row>
    <row r="123" spans="1:6" ht="24">
      <c r="A123" s="3117">
        <v>51</v>
      </c>
      <c r="B123" s="3945"/>
      <c r="C123" s="3117" t="s">
        <v>2763</v>
      </c>
      <c r="D123" s="3091" t="s">
        <v>2764</v>
      </c>
      <c r="E123" s="3117">
        <v>0.1</v>
      </c>
      <c r="F123" s="3117">
        <v>15</v>
      </c>
    </row>
    <row r="124" spans="1:6" ht="24">
      <c r="A124" s="3117">
        <v>52</v>
      </c>
      <c r="B124" s="3945" t="s">
        <v>2765</v>
      </c>
      <c r="C124" s="3117" t="s">
        <v>2766</v>
      </c>
      <c r="D124" s="3091" t="s">
        <v>2767</v>
      </c>
      <c r="E124" s="3117">
        <v>0.1</v>
      </c>
      <c r="F124" s="3117">
        <v>15</v>
      </c>
    </row>
    <row r="125" spans="1:6" ht="24">
      <c r="A125" s="3117">
        <v>53</v>
      </c>
      <c r="B125" s="3945"/>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13.5">
      <c r="A127" s="3117">
        <v>55</v>
      </c>
      <c r="B127" s="3945" t="s">
        <v>2773</v>
      </c>
      <c r="C127" s="3117" t="s">
        <v>2774</v>
      </c>
      <c r="D127" s="3091" t="s">
        <v>2775</v>
      </c>
      <c r="E127" s="3117">
        <v>0.1</v>
      </c>
      <c r="F127" s="3117">
        <v>15</v>
      </c>
    </row>
    <row r="128" spans="1:6" ht="13.5">
      <c r="A128" s="3117">
        <v>56</v>
      </c>
      <c r="B128" s="3945"/>
      <c r="C128" s="3117" t="s">
        <v>2776</v>
      </c>
      <c r="D128" s="3091" t="s">
        <v>2777</v>
      </c>
      <c r="E128" s="3117">
        <v>0.1</v>
      </c>
      <c r="F128" s="3117">
        <v>15</v>
      </c>
    </row>
    <row r="129" spans="1:6" ht="24">
      <c r="A129" s="3117">
        <v>57</v>
      </c>
      <c r="B129" s="3945"/>
      <c r="C129" s="3117" t="s">
        <v>2778</v>
      </c>
      <c r="D129" s="3091" t="s">
        <v>2779</v>
      </c>
      <c r="E129" s="3117">
        <v>0.1</v>
      </c>
      <c r="F129" s="3117">
        <v>15</v>
      </c>
    </row>
    <row r="130" spans="1:6" ht="24">
      <c r="A130" s="3117">
        <v>58</v>
      </c>
      <c r="B130" s="3945" t="s">
        <v>2780</v>
      </c>
      <c r="C130" s="3117" t="s">
        <v>2781</v>
      </c>
      <c r="D130" s="3091" t="s">
        <v>2782</v>
      </c>
      <c r="E130" s="3117">
        <v>0.1</v>
      </c>
      <c r="F130" s="3117">
        <v>15</v>
      </c>
    </row>
    <row r="131" spans="1:6" ht="24">
      <c r="A131" s="3117">
        <v>59</v>
      </c>
      <c r="B131" s="3945"/>
      <c r="C131" s="3117" t="s">
        <v>2783</v>
      </c>
      <c r="D131" s="3091" t="s">
        <v>2784</v>
      </c>
      <c r="E131" s="3117">
        <v>0.1</v>
      </c>
      <c r="F131" s="3117">
        <v>15</v>
      </c>
    </row>
    <row r="132" spans="1:6" ht="24">
      <c r="A132" s="3117">
        <v>60</v>
      </c>
      <c r="B132" s="3946" t="s">
        <v>2785</v>
      </c>
      <c r="C132" s="3117" t="s">
        <v>2786</v>
      </c>
      <c r="D132" s="3091" t="s">
        <v>2787</v>
      </c>
      <c r="E132" s="3117">
        <v>0.1</v>
      </c>
      <c r="F132" s="3117">
        <v>15</v>
      </c>
    </row>
    <row r="133" spans="1:6" ht="24">
      <c r="A133" s="3117">
        <v>61</v>
      </c>
      <c r="B133" s="3947"/>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945" t="s">
        <v>2793</v>
      </c>
      <c r="C135" s="3117" t="s">
        <v>2794</v>
      </c>
      <c r="D135" s="3091" t="s">
        <v>2795</v>
      </c>
      <c r="E135" s="3117">
        <v>0.1</v>
      </c>
      <c r="F135" s="3117">
        <v>15</v>
      </c>
    </row>
    <row r="136" spans="1:6" ht="13.5">
      <c r="A136" s="3117">
        <v>64</v>
      </c>
      <c r="B136" s="3945"/>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0</v>
      </c>
      <c r="D7" s="220"/>
      <c r="E7" s="218"/>
      <c r="F7" s="221">
        <f>'数据-取费表'!B48+'数据-取费表'!B49</f>
        <v>0</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48955.32</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0</v>
      </c>
      <c r="D19" s="848">
        <f>'数据-汇总表'!E3</f>
        <v>48955.32</v>
      </c>
      <c r="E19" s="211">
        <f>'数据-取费表'!B31</f>
        <v>0</v>
      </c>
      <c r="F19" s="231"/>
      <c r="G19" s="1" t="s">
        <v>436</v>
      </c>
    </row>
    <row r="20" spans="1:7" s="214" customFormat="1" ht="13.5" customHeight="1">
      <c r="A20" s="776" t="s">
        <v>419</v>
      </c>
      <c r="B20" s="210" t="s">
        <v>77</v>
      </c>
      <c r="C20" s="232">
        <f>ROUND((C5+C19)*F20,0)</f>
        <v>0</v>
      </c>
      <c r="D20" s="232"/>
      <c r="E20" s="232"/>
      <c r="F20" s="233">
        <f>'数据-取费表'!B37</f>
        <v>0</v>
      </c>
      <c r="G20" s="1066" t="s">
        <v>430</v>
      </c>
    </row>
    <row r="21" spans="1:7" s="214" customFormat="1" ht="13.5" customHeight="1">
      <c r="A21" s="776" t="s">
        <v>421</v>
      </c>
      <c r="B21" s="210" t="s">
        <v>78</v>
      </c>
      <c r="C21" s="235">
        <f>F21</f>
        <v>0</v>
      </c>
      <c r="D21" s="236" t="s">
        <v>99</v>
      </c>
      <c r="E21" s="232"/>
      <c r="F21" s="233">
        <f>'数据-取费表'!B38</f>
        <v>0</v>
      </c>
      <c r="G21" s="234" t="s">
        <v>79</v>
      </c>
    </row>
    <row r="22" spans="1:7" s="214" customFormat="1" ht="13.5" customHeight="1">
      <c r="A22" s="776" t="s">
        <v>341</v>
      </c>
      <c r="B22" s="210" t="s">
        <v>80</v>
      </c>
      <c r="C22" s="1103" t="e">
        <f ca="1">ROUND(SUM(C23:C25),0)</f>
        <v>#VALUE!</v>
      </c>
      <c r="D22" s="235" t="e">
        <f ca="1">C26</f>
        <v>#VALUE!</v>
      </c>
      <c r="E22" s="236" t="s">
        <v>99</v>
      </c>
      <c r="F22" s="237" t="e">
        <f ca="1">'数据-取费表'!B40</f>
        <v>#VALUE!</v>
      </c>
      <c r="G22" s="1066" t="str">
        <f>IF('数据-取费表'!B22&lt;=1,"单利计息","复利计息")</f>
        <v>单利计息</v>
      </c>
    </row>
    <row r="23" spans="1:7" s="214" customFormat="1" ht="13.5" customHeight="1">
      <c r="A23" s="779" t="s">
        <v>349</v>
      </c>
      <c r="B23" s="215" t="s">
        <v>423</v>
      </c>
      <c r="C23" s="1104" t="e">
        <f ca="1">ROUND(IF('数据-取费表'!B22&lt;=1,C5*F22*'数据-取费表'!B23,C5*(POWER((1+F22),'数据-取费表'!B23)-1)),0)</f>
        <v>#VALUE!</v>
      </c>
      <c r="D23" s="238"/>
      <c r="E23" s="238"/>
      <c r="F23" s="239"/>
      <c r="G23" s="240" t="s">
        <v>81</v>
      </c>
    </row>
    <row r="24" spans="1:7" s="214" customFormat="1" ht="13.5" customHeight="1">
      <c r="A24" s="779" t="s">
        <v>347</v>
      </c>
      <c r="B24" s="215" t="s">
        <v>418</v>
      </c>
      <c r="C24" s="1104" t="e">
        <f ca="1">ROUND(IF('数据-取费表'!B22&lt;=1,C19*F22*('数据-取费表'!B19/2+'数据-取费表'!B21),C19*(POWER((1+F22),('数据-取费表'!B19/2+'数据-取费表'!B21))-1)),0)</f>
        <v>#VALUE!</v>
      </c>
      <c r="D24" s="238"/>
      <c r="E24" s="238"/>
      <c r="F24" s="239"/>
      <c r="G24" s="240" t="s">
        <v>82</v>
      </c>
    </row>
    <row r="25" spans="1:7" s="214" customFormat="1" ht="24">
      <c r="A25" s="779" t="s">
        <v>348</v>
      </c>
      <c r="B25" s="215" t="s">
        <v>420</v>
      </c>
      <c r="C25" s="1104" t="e">
        <f ca="1">ROUND(IF('数据-取费表'!B22&lt;=1,C20*F22*'数据-取费表'!B23/2,C20*(POWER((1+F22),'数据-取费表'!B23/2)-1)),0)</f>
        <v>#VALUE!</v>
      </c>
      <c r="D25" s="238"/>
      <c r="E25" s="241"/>
      <c r="F25" s="239"/>
      <c r="G25" s="242" t="s">
        <v>83</v>
      </c>
    </row>
    <row r="26" spans="1:7" s="214" customFormat="1">
      <c r="A26" s="779" t="s">
        <v>350</v>
      </c>
      <c r="B26" s="215" t="s">
        <v>422</v>
      </c>
      <c r="C26" s="238" t="e">
        <f ca="1">ROUND(IF('数据-取费表'!B22&lt;=1,F21*F22*'数据-取费表'!B23/2,F21*(POWER((1+F22),'数据-取费表'!B23/2)-1)),4)</f>
        <v>#VALUE!</v>
      </c>
      <c r="D26" s="238"/>
      <c r="E26" s="241"/>
      <c r="F26" s="239"/>
      <c r="G26" s="243"/>
    </row>
    <row r="27" spans="1:7" s="214" customFormat="1" ht="24.75">
      <c r="A27" s="776" t="s">
        <v>342</v>
      </c>
      <c r="B27" s="244" t="s">
        <v>85</v>
      </c>
      <c r="C27" s="245" t="e">
        <f>C28</f>
        <v>#DIV/0!</v>
      </c>
      <c r="D27" s="235" t="e">
        <f>C29</f>
        <v>#DIV/0!</v>
      </c>
      <c r="E27" s="236" t="s">
        <v>99</v>
      </c>
      <c r="F27" s="246" t="e">
        <f>'数据-取费表'!Q16</f>
        <v>#DIV/0!</v>
      </c>
      <c r="G27" s="247" t="s">
        <v>431</v>
      </c>
    </row>
    <row r="28" spans="1:7" s="214" customFormat="1" ht="13.5" customHeight="1">
      <c r="A28" s="779" t="s">
        <v>349</v>
      </c>
      <c r="B28" s="248" t="s">
        <v>424</v>
      </c>
      <c r="C28" s="249" t="e">
        <f>ROUND((C5+C19+C20)*F27*'数据-取费表'!B21/'数据-取费表'!B20,0)</f>
        <v>#DIV/0!</v>
      </c>
      <c r="D28" s="235"/>
      <c r="E28" s="236"/>
      <c r="F28" s="246"/>
      <c r="G28" s="247"/>
    </row>
    <row r="29" spans="1:7" s="214" customFormat="1" ht="13.5" customHeight="1">
      <c r="A29" s="779" t="s">
        <v>347</v>
      </c>
      <c r="B29" s="248" t="s">
        <v>425</v>
      </c>
      <c r="C29" s="238" t="e">
        <f>ROUND(C21*F27*'数据-取费表'!B21/'数据-取费表'!B20,4)</f>
        <v>#DIV/0!</v>
      </c>
      <c r="D29" s="235"/>
      <c r="E29" s="236"/>
      <c r="F29" s="246"/>
      <c r="G29" s="247"/>
    </row>
    <row r="30" spans="1:7" s="214" customFormat="1" ht="13.5" customHeight="1">
      <c r="A30" s="776"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9" t="s">
        <v>351</v>
      </c>
      <c r="B35" s="215" t="s">
        <v>33</v>
      </c>
      <c r="C35" s="220">
        <f>ROUND(C34*F35,0)</f>
        <v>0</v>
      </c>
      <c r="D35" s="220"/>
      <c r="E35" s="220"/>
      <c r="F35" s="259">
        <f>'数据-取费表'!B33</f>
        <v>0</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0</v>
      </c>
      <c r="D37" s="217">
        <f>'数据-汇总表'!E3</f>
        <v>48955.32</v>
      </c>
      <c r="E37" s="249">
        <f>'数据-取费表'!B35</f>
        <v>0</v>
      </c>
      <c r="F37" s="259"/>
      <c r="G37" s="261" t="s">
        <v>92</v>
      </c>
    </row>
    <row r="38" spans="1:7" ht="13.5" customHeight="1">
      <c r="A38" s="779" t="s">
        <v>354</v>
      </c>
      <c r="B38" s="215" t="s">
        <v>36</v>
      </c>
      <c r="C38" s="220">
        <f>ROUND(C34*F38,0)</f>
        <v>0</v>
      </c>
      <c r="D38" s="220"/>
      <c r="E38" s="220"/>
      <c r="F38" s="259">
        <f>'数据-取费表'!B36</f>
        <v>0</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v>
      </c>
      <c r="D40" s="236" t="s">
        <v>102</v>
      </c>
      <c r="E40" s="232"/>
      <c r="F40" s="233"/>
      <c r="G40" s="234" t="s">
        <v>93</v>
      </c>
    </row>
    <row r="41" spans="1:7" s="214" customFormat="1" ht="13.5" customHeight="1">
      <c r="A41" s="776" t="s">
        <v>340</v>
      </c>
      <c r="B41" s="210" t="s">
        <v>80</v>
      </c>
      <c r="C41" s="232" t="e">
        <f ca="1">ROUND(SUM(C42:C43),0)</f>
        <v>#VALUE!</v>
      </c>
      <c r="D41" s="235" t="e">
        <f ca="1">C44</f>
        <v>#VALUE!</v>
      </c>
      <c r="E41" s="236" t="s">
        <v>102</v>
      </c>
      <c r="F41" s="237"/>
      <c r="G41" s="1066" t="str">
        <f>IF('数据-取费表'!B22&lt;=1,"单利计息","复利计息")</f>
        <v>单利计息</v>
      </c>
    </row>
    <row r="42" spans="1:7" ht="13.5" customHeight="1">
      <c r="A42" s="779" t="s">
        <v>349</v>
      </c>
      <c r="B42" s="215" t="s">
        <v>423</v>
      </c>
      <c r="C42" s="238" t="e">
        <f ca="1">ROUND(IF('数据-取费表'!B22&lt;=1,C33*F22*'数据-取费表'!B21/2,C33*(POWER((1+F22),'数据-取费表'!B21/2)-1)),0)</f>
        <v>#VALUE!</v>
      </c>
      <c r="D42" s="238"/>
      <c r="E42" s="238"/>
      <c r="F42" s="239"/>
      <c r="G42" s="3795" t="s">
        <v>94</v>
      </c>
    </row>
    <row r="43" spans="1:7" ht="13.5" customHeight="1">
      <c r="A43" s="779" t="s">
        <v>347</v>
      </c>
      <c r="B43" s="215" t="s">
        <v>426</v>
      </c>
      <c r="C43" s="238" t="e">
        <f ca="1">ROUND(IF('数据-取费表'!B22&lt;=1,C39*F22*'数据-取费表'!B21/2,C39*(POWER((1+F22),'数据-取费表'!B21/2)-1)),0)</f>
        <v>#VALUE!</v>
      </c>
      <c r="D43" s="238"/>
      <c r="E43" s="238"/>
      <c r="F43" s="239"/>
      <c r="G43" s="3796"/>
    </row>
    <row r="44" spans="1:7" ht="13.5" customHeight="1">
      <c r="A44" s="779" t="s">
        <v>348</v>
      </c>
      <c r="B44" s="215" t="s">
        <v>428</v>
      </c>
      <c r="C44" s="238" t="e">
        <f ca="1">ROUND(IF('数据-取费表'!B22&lt;=1,C40*F22*'数据-取费表'!B21/2,C40*(POWER((1+F22),'数据-取费表'!B21/2)-1)),4)</f>
        <v>#VALUE!</v>
      </c>
      <c r="D44" s="238"/>
      <c r="E44" s="238"/>
      <c r="F44" s="239"/>
      <c r="G44" s="3797"/>
    </row>
    <row r="45" spans="1:7" s="214" customFormat="1" ht="13.5" customHeight="1">
      <c r="A45" s="776" t="s">
        <v>341</v>
      </c>
      <c r="B45" s="244" t="s">
        <v>85</v>
      </c>
      <c r="C45" s="245" t="e">
        <f>C46</f>
        <v>#DIV/0!</v>
      </c>
      <c r="D45" s="235" t="e">
        <f>C47</f>
        <v>#DIV/0!</v>
      </c>
      <c r="E45" s="236" t="s">
        <v>102</v>
      </c>
      <c r="F45" s="246"/>
      <c r="G45" s="247" t="s">
        <v>434</v>
      </c>
    </row>
    <row r="46" spans="1:7" s="214" customFormat="1" ht="13.5" customHeight="1">
      <c r="A46" s="779" t="s">
        <v>349</v>
      </c>
      <c r="B46" s="248" t="s">
        <v>427</v>
      </c>
      <c r="C46" s="249" t="e">
        <f>ROUND((C33+C39)*F27,0)</f>
        <v>#DIV/0!</v>
      </c>
      <c r="D46" s="263"/>
      <c r="E46" s="236"/>
      <c r="F46" s="246"/>
      <c r="G46" s="247"/>
    </row>
    <row r="47" spans="1:7" s="214" customFormat="1" ht="13.5" customHeight="1">
      <c r="A47" s="779" t="s">
        <v>347</v>
      </c>
      <c r="B47" s="248" t="s">
        <v>429</v>
      </c>
      <c r="C47" s="238" t="e">
        <f>ROUND(C40*F27,4)</f>
        <v>#DIV/0!</v>
      </c>
      <c r="D47" s="263"/>
      <c r="E47" s="236"/>
      <c r="F47" s="246"/>
      <c r="G47" s="247"/>
    </row>
    <row r="48" spans="1:7" s="214" customFormat="1" ht="13.5" customHeight="1">
      <c r="A48" s="776" t="s">
        <v>342</v>
      </c>
      <c r="B48" s="210" t="s">
        <v>95</v>
      </c>
      <c r="C48" s="262">
        <f>F30</f>
        <v>0</v>
      </c>
      <c r="D48" s="236" t="s">
        <v>103</v>
      </c>
      <c r="E48" s="232"/>
      <c r="F48" s="237"/>
      <c r="G48" s="234" t="s">
        <v>96</v>
      </c>
    </row>
    <row r="49" spans="1:7" ht="16.5" customHeight="1">
      <c r="A49" s="776" t="s">
        <v>343</v>
      </c>
      <c r="B49" s="210" t="s">
        <v>104</v>
      </c>
      <c r="C49" s="232" t="e">
        <f ca="1">ROUND((C33+C39+C41+C45)/(1-C40-D41-D45-C48/(1+'数据-取费表'!B42)),0)</f>
        <v>#VALUE!</v>
      </c>
      <c r="D49" s="232"/>
      <c r="E49" s="232"/>
      <c r="F49" s="264"/>
      <c r="G49" s="234" t="s">
        <v>435</v>
      </c>
    </row>
    <row r="50" spans="1:7" s="258" customFormat="1" ht="24">
      <c r="A50" s="776" t="s">
        <v>344</v>
      </c>
      <c r="B50" s="210" t="s">
        <v>97</v>
      </c>
      <c r="C50" s="232"/>
      <c r="D50" s="232"/>
      <c r="E50" s="232"/>
      <c r="F50" s="264" t="e">
        <f>IF('数据-取费表'!B24=0,'数据-取费表'!N16,1)</f>
        <v>#DIV/0!</v>
      </c>
      <c r="G50" s="247" t="s">
        <v>98</v>
      </c>
    </row>
    <row r="51" spans="1:7" ht="16.5" customHeight="1">
      <c r="A51" s="776"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30" t="str">
        <f>IF(项目基本情况!B9="房地产市场价值","估价结果一览表","结果表-2")</f>
        <v>估价结果一览表</v>
      </c>
      <c r="B1" s="3630"/>
      <c r="C1" s="3630"/>
      <c r="D1" s="3630"/>
      <c r="E1" s="3630"/>
      <c r="F1" s="3630"/>
      <c r="G1" s="3630"/>
      <c r="H1" s="3630"/>
      <c r="I1" s="3630"/>
    </row>
    <row r="2" spans="1:9" ht="30" customHeight="1" thickTop="1">
      <c r="A2" s="3631" t="s">
        <v>928</v>
      </c>
      <c r="B2" s="3631" t="s">
        <v>929</v>
      </c>
      <c r="C2" s="3631" t="s">
        <v>930</v>
      </c>
      <c r="D2" s="3631" t="str">
        <f>结果表!D116</f>
        <v>出让国有建设用地使用权价值</v>
      </c>
      <c r="E2" s="3631"/>
      <c r="F2" s="3631" t="str">
        <f>结果表!F116</f>
        <v>在建建筑物价值</v>
      </c>
      <c r="G2" s="3631"/>
      <c r="H2" s="3631" t="str">
        <f>IF(项目基本情况!B9="房地产市场价值","房地产市场价值","房地产价值")</f>
        <v>房地产市场价值</v>
      </c>
      <c r="I2" s="3631"/>
    </row>
    <row r="3" spans="1:9" ht="15">
      <c r="A3" s="3626"/>
      <c r="B3" s="3626"/>
      <c r="C3" s="3626"/>
      <c r="D3" s="853" t="s">
        <v>925</v>
      </c>
      <c r="E3" s="853" t="s">
        <v>931</v>
      </c>
      <c r="F3" s="853" t="s">
        <v>925</v>
      </c>
      <c r="G3" s="853" t="s">
        <v>926</v>
      </c>
      <c r="H3" s="853" t="s">
        <v>925</v>
      </c>
      <c r="I3" s="853" t="s">
        <v>926</v>
      </c>
    </row>
    <row r="4" spans="1:9" ht="15">
      <c r="A4" s="1504" t="str">
        <f>项目基本情况!S2</f>
        <v>北京市房地产</v>
      </c>
      <c r="B4" s="853">
        <f>项目基本情况!C17</f>
        <v>48955.32</v>
      </c>
      <c r="C4" s="853">
        <f>项目基本情况!C18</f>
        <v>11881.76</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626" t="s">
        <v>927</v>
      </c>
      <c r="B5" s="3626"/>
      <c r="C5" s="3626"/>
      <c r="D5" s="3626" t="e">
        <f ca="1">结果表!D119</f>
        <v>#REF!</v>
      </c>
      <c r="E5" s="3626"/>
      <c r="F5" s="3626" t="e">
        <f ca="1">结果表!F119</f>
        <v>#REF!</v>
      </c>
      <c r="G5" s="3626"/>
      <c r="H5" s="3626" t="e">
        <f ca="1">结果表!H119</f>
        <v>#REF!</v>
      </c>
      <c r="I5" s="3626"/>
    </row>
    <row r="6" spans="1:9" ht="15.75">
      <c r="A6" s="3625" t="str">
        <f>结果表!A120</f>
        <v/>
      </c>
      <c r="B6" s="3625"/>
      <c r="C6" s="3625"/>
      <c r="D6" s="3625">
        <f>结果表!D120</f>
        <v>0</v>
      </c>
      <c r="E6" s="3625"/>
      <c r="F6" s="3625"/>
      <c r="G6" s="3625"/>
      <c r="H6" s="3625"/>
      <c r="I6" s="3625"/>
    </row>
    <row r="7" spans="1:9" ht="15">
      <c r="A7" s="3626" t="s">
        <v>927</v>
      </c>
      <c r="B7" s="3626"/>
      <c r="C7" s="3626"/>
      <c r="D7" s="3627" t="str">
        <f>结果表!D121</f>
        <v>零元整</v>
      </c>
      <c r="E7" s="3628"/>
      <c r="F7" s="3628"/>
      <c r="G7" s="3628"/>
      <c r="H7" s="3628"/>
      <c r="I7" s="3629"/>
    </row>
    <row r="8" spans="1:9" ht="15.75">
      <c r="A8" s="3625" t="str">
        <f>结果表!A122</f>
        <v/>
      </c>
      <c r="B8" s="3625"/>
      <c r="C8" s="3625"/>
      <c r="D8" s="3625" t="e">
        <f ca="1">结果表!D122</f>
        <v>#REF!</v>
      </c>
      <c r="E8" s="3625"/>
      <c r="F8" s="3625"/>
      <c r="G8" s="3625"/>
      <c r="H8" s="3625"/>
      <c r="I8" s="3625"/>
    </row>
    <row r="9" spans="1:9" ht="15">
      <c r="A9" s="3626" t="s">
        <v>927</v>
      </c>
      <c r="B9" s="3626"/>
      <c r="C9" s="3626"/>
      <c r="D9" s="3626" t="e">
        <f ca="1">结果表!D123</f>
        <v>#REF!</v>
      </c>
      <c r="E9" s="3626"/>
      <c r="F9" s="3626"/>
      <c r="G9" s="3626"/>
      <c r="H9" s="3626"/>
      <c r="I9" s="3626"/>
    </row>
    <row r="10" spans="1:9" ht="15.75">
      <c r="A10" s="3625" t="str">
        <f>结果表!A124</f>
        <v/>
      </c>
      <c r="B10" s="3625"/>
      <c r="C10" s="3625"/>
      <c r="D10" s="3625" t="str">
        <f>结果表!D124</f>
        <v>——</v>
      </c>
      <c r="E10" s="3625"/>
      <c r="F10" s="3625"/>
      <c r="G10" s="3625"/>
      <c r="H10" s="3625"/>
      <c r="I10" s="3625"/>
    </row>
    <row r="11" spans="1:9" ht="15">
      <c r="A11" s="3626" t="s">
        <v>927</v>
      </c>
      <c r="B11" s="3626"/>
      <c r="C11" s="3626"/>
      <c r="D11" s="3626" t="e">
        <f>结果表!D125</f>
        <v>#VALUE!</v>
      </c>
      <c r="E11" s="3626"/>
      <c r="F11" s="3626"/>
      <c r="G11" s="3626"/>
      <c r="H11" s="3626"/>
      <c r="I11" s="3626"/>
    </row>
    <row r="12" spans="1:9" ht="15.75">
      <c r="A12" s="3625" t="str">
        <f>结果表!A126</f>
        <v/>
      </c>
      <c r="B12" s="3625"/>
      <c r="C12" s="3625"/>
      <c r="D12" s="3625" t="str">
        <f>结果表!D126</f>
        <v>——</v>
      </c>
      <c r="E12" s="3625"/>
      <c r="F12" s="3625"/>
      <c r="G12" s="3625"/>
      <c r="H12" s="3625"/>
      <c r="I12" s="3625"/>
    </row>
    <row r="13" spans="1:9" ht="15.75" thickBot="1">
      <c r="A13" s="3623" t="s">
        <v>927</v>
      </c>
      <c r="B13" s="3623"/>
      <c r="C13" s="3623"/>
      <c r="D13" s="3623" t="e">
        <f>结果表!D127</f>
        <v>#VALUE!</v>
      </c>
      <c r="E13" s="3623"/>
      <c r="F13" s="3623"/>
      <c r="G13" s="3623"/>
      <c r="H13" s="3623"/>
      <c r="I13" s="3623"/>
    </row>
    <row r="14" spans="1:9" ht="15" thickTop="1">
      <c r="A14" s="3624" t="s">
        <v>932</v>
      </c>
      <c r="B14" s="3624"/>
      <c r="C14" s="3624"/>
      <c r="D14" s="3624"/>
      <c r="E14" s="3624"/>
      <c r="F14" s="3624"/>
      <c r="G14" s="3624"/>
      <c r="H14" s="3624"/>
      <c r="I14" s="362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125" style="3225" customWidth="1"/>
    <col min="7" max="7" width="10.5" style="3225" bestFit="1" customWidth="1"/>
    <col min="8" max="8" width="8.875" style="3221"/>
    <col min="9" max="9" width="13.375" style="3221" customWidth="1"/>
    <col min="10" max="13" width="13.375" style="3225" customWidth="1"/>
    <col min="14" max="14" width="18.125" style="3225" customWidth="1"/>
    <col min="15" max="17" width="15.125" style="3225" customWidth="1"/>
    <col min="18" max="20" width="11.5" style="3225" customWidth="1"/>
    <col min="21" max="16384" width="8.875" style="3225"/>
  </cols>
  <sheetData>
    <row r="1" spans="1:20" ht="12" thickBot="1">
      <c r="A1" s="3959" t="s">
        <v>2843</v>
      </c>
      <c r="B1" s="3959"/>
      <c r="C1" s="3959"/>
      <c r="D1" s="3959"/>
      <c r="E1" s="3959"/>
      <c r="F1" s="3959"/>
      <c r="G1" s="3960"/>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957"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958"/>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61" t="s">
        <v>3185</v>
      </c>
      <c r="B1" s="3961"/>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3289"/>
  </cols>
  <sheetData>
    <row r="1" spans="1:6">
      <c r="A1" s="3962" t="s">
        <v>3236</v>
      </c>
      <c r="B1" s="3962"/>
      <c r="C1" s="3962"/>
      <c r="D1" s="3962"/>
      <c r="E1" s="3962"/>
      <c r="F1" s="3963"/>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3" sqref="H3"/>
    </sheetView>
  </sheetViews>
  <sheetFormatPr defaultColWidth="8.875" defaultRowHeight="13.5"/>
  <cols>
    <col min="1" max="1" width="13.875" customWidth="1"/>
    <col min="11" max="17" width="0" hidden="1" customWidth="1"/>
    <col min="25" max="30" width="0" hidden="1" customWidth="1"/>
  </cols>
  <sheetData>
    <row r="1" spans="1:30">
      <c r="A1" s="3220">
        <f>基准地价修正!G23</f>
        <v>45291</v>
      </c>
      <c r="B1" s="3209" t="s">
        <v>3374</v>
      </c>
      <c r="C1" s="3210"/>
      <c r="D1" s="3210"/>
      <c r="E1" s="3210"/>
      <c r="F1" s="3210"/>
      <c r="G1" s="3210"/>
      <c r="H1" s="3210"/>
      <c r="I1" s="3210"/>
      <c r="J1" s="3164"/>
      <c r="K1" s="3210" t="s">
        <v>454</v>
      </c>
      <c r="L1" s="3210"/>
      <c r="M1" s="3210"/>
      <c r="N1" s="3210"/>
      <c r="O1" s="3210"/>
      <c r="P1" s="3210"/>
      <c r="Q1" s="3164"/>
      <c r="R1" s="3964" t="s">
        <v>456</v>
      </c>
      <c r="S1" s="3965"/>
      <c r="T1" s="3965"/>
      <c r="U1" s="3965"/>
      <c r="V1" s="3965"/>
      <c r="W1" s="3965"/>
      <c r="X1" s="3164"/>
      <c r="Y1" s="3964" t="s">
        <v>457</v>
      </c>
      <c r="Z1" s="3965"/>
      <c r="AA1" s="3965"/>
      <c r="AB1" s="3965"/>
      <c r="AC1" s="3965"/>
      <c r="AD1" s="396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2829</v>
      </c>
    </row>
    <row r="22" spans="1:30" s="3008" customFormat="1"/>
    <row r="23" spans="1:30" s="3208" customFormat="1" ht="12.75">
      <c r="B23" s="3209" t="s">
        <v>3375</v>
      </c>
      <c r="C23" s="3210"/>
      <c r="D23" s="3210"/>
      <c r="E23" s="3210"/>
      <c r="F23" s="3210"/>
      <c r="G23" s="3210"/>
      <c r="H23" s="3210"/>
      <c r="I23" s="3210"/>
      <c r="J23" s="3164"/>
      <c r="K23" s="3210" t="s">
        <v>2830</v>
      </c>
      <c r="L23" s="3210"/>
      <c r="M23" s="3210"/>
      <c r="N23" s="3210"/>
      <c r="O23" s="3210"/>
      <c r="P23" s="3210"/>
      <c r="Q23" s="3164"/>
      <c r="R23" s="3964" t="s">
        <v>2831</v>
      </c>
      <c r="S23" s="3965"/>
      <c r="T23" s="3965"/>
      <c r="U23" s="3965"/>
      <c r="V23" s="3965"/>
      <c r="W23" s="3965"/>
      <c r="X23" s="3164"/>
      <c r="Y23" s="3964" t="s">
        <v>2832</v>
      </c>
      <c r="Z23" s="3965"/>
      <c r="AA23" s="3965"/>
      <c r="AB23" s="3965"/>
      <c r="AC23" s="3965"/>
      <c r="AD23" s="3965"/>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1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1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71" t="s">
        <v>452</v>
      </c>
      <c r="C1" s="3971"/>
      <c r="D1" s="3971"/>
      <c r="E1" s="3971"/>
      <c r="F1" s="3971"/>
      <c r="G1" s="3970" t="s">
        <v>453</v>
      </c>
      <c r="H1" s="3970"/>
      <c r="I1" s="3970"/>
      <c r="J1" s="3970"/>
      <c r="K1" s="3970"/>
      <c r="L1" s="3970"/>
      <c r="N1" s="3970" t="s">
        <v>454</v>
      </c>
      <c r="O1" s="3970"/>
      <c r="P1" s="3970"/>
      <c r="Q1" s="3970"/>
      <c r="S1" s="3970" t="s">
        <v>455</v>
      </c>
      <c r="T1" s="3970"/>
      <c r="U1" s="3970"/>
      <c r="V1" s="3970"/>
      <c r="X1" s="3969" t="s">
        <v>456</v>
      </c>
      <c r="Y1" s="3970"/>
      <c r="Z1" s="3970"/>
      <c r="AA1" s="3970"/>
      <c r="AB1" s="3970"/>
      <c r="AD1" s="3969" t="s">
        <v>457</v>
      </c>
      <c r="AE1" s="3970"/>
      <c r="AF1" s="3970"/>
      <c r="AG1" s="3970"/>
      <c r="AH1" s="397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6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6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6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7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7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6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6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7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7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6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6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6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6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6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6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6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6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6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6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6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7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7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7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7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6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6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6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6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6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6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6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6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6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6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6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6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6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6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6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6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6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6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6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6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6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6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6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6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6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6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6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6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6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6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6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6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6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6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6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6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6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6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6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6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6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6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6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6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8.875" defaultRowHeight="13.5"/>
  <cols>
    <col min="1" max="1" width="4.875" style="1241" customWidth="1"/>
    <col min="2" max="2" width="13.1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125" style="1247" customWidth="1"/>
    <col min="9" max="9" width="9" style="1247"/>
    <col min="10" max="10" width="9.375" style="1247" bestFit="1" customWidth="1"/>
    <col min="11" max="11" width="4" style="1241" customWidth="1"/>
    <col min="12" max="12" width="5.125" style="1247" customWidth="1"/>
    <col min="13" max="13" width="13.875" style="1247" customWidth="1"/>
    <col min="14" max="256" width="9"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875" style="1238" customWidth="1"/>
    <col min="270" max="512" width="9"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875" style="1238" customWidth="1"/>
    <col min="526" max="768" width="9"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875" style="1238" customWidth="1"/>
    <col min="782" max="1024" width="9"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875" style="1238" customWidth="1"/>
    <col min="1038" max="1280" width="9"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875" style="1238" customWidth="1"/>
    <col min="1294" max="1536" width="9"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875" style="1238" customWidth="1"/>
    <col min="1550" max="1792" width="9"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875" style="1238" customWidth="1"/>
    <col min="1806" max="2048" width="9"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875" style="1238" customWidth="1"/>
    <col min="2062" max="2304" width="9"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875" style="1238" customWidth="1"/>
    <col min="2318" max="2560" width="9"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875" style="1238" customWidth="1"/>
    <col min="2574" max="2816" width="9"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875" style="1238" customWidth="1"/>
    <col min="2830" max="3072" width="9"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875" style="1238" customWidth="1"/>
    <col min="3086" max="3328" width="9"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875" style="1238" customWidth="1"/>
    <col min="3342" max="3584" width="9"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875" style="1238" customWidth="1"/>
    <col min="3598" max="3840" width="9"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875" style="1238" customWidth="1"/>
    <col min="3854" max="4096" width="9"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875" style="1238" customWidth="1"/>
    <col min="4110" max="4352" width="9"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875" style="1238" customWidth="1"/>
    <col min="4366" max="4608" width="9"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875" style="1238" customWidth="1"/>
    <col min="4622" max="4864" width="9"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875" style="1238" customWidth="1"/>
    <col min="4878" max="5120" width="9"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875" style="1238" customWidth="1"/>
    <col min="5134" max="5376" width="9"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875" style="1238" customWidth="1"/>
    <col min="5390" max="5632" width="9"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875" style="1238" customWidth="1"/>
    <col min="5646" max="5888" width="9"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875" style="1238" customWidth="1"/>
    <col min="5902" max="6144" width="9"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875" style="1238" customWidth="1"/>
    <col min="6158" max="6400" width="9"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875" style="1238" customWidth="1"/>
    <col min="6414" max="6656" width="9"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875" style="1238" customWidth="1"/>
    <col min="6670" max="6912" width="9"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875" style="1238" customWidth="1"/>
    <col min="6926" max="7168" width="9"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875" style="1238" customWidth="1"/>
    <col min="7182" max="7424" width="9"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875" style="1238" customWidth="1"/>
    <col min="7438" max="7680" width="9"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875" style="1238" customWidth="1"/>
    <col min="7694" max="7936" width="9"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875" style="1238" customWidth="1"/>
    <col min="7950" max="8192" width="9"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875" style="1238" customWidth="1"/>
    <col min="8206" max="8448" width="9"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875" style="1238" customWidth="1"/>
    <col min="8462" max="8704" width="9"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875" style="1238" customWidth="1"/>
    <col min="8718" max="8960" width="9"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875" style="1238" customWidth="1"/>
    <col min="8974" max="9216" width="9"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875" style="1238" customWidth="1"/>
    <col min="9230" max="9472" width="9"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875" style="1238" customWidth="1"/>
    <col min="9486" max="9728" width="9"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875" style="1238" customWidth="1"/>
    <col min="9742" max="9984" width="9"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875" style="1238" customWidth="1"/>
    <col min="9998" max="10240" width="9"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875" style="1238" customWidth="1"/>
    <col min="10254" max="10496" width="9"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875" style="1238" customWidth="1"/>
    <col min="10510" max="10752" width="9"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875" style="1238" customWidth="1"/>
    <col min="10766" max="11008" width="9"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875" style="1238" customWidth="1"/>
    <col min="11022" max="11264" width="9"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875" style="1238" customWidth="1"/>
    <col min="11278" max="11520" width="9"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875" style="1238" customWidth="1"/>
    <col min="11534" max="11776" width="9"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875" style="1238" customWidth="1"/>
    <col min="11790" max="12032" width="9"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875" style="1238" customWidth="1"/>
    <col min="12046" max="12288" width="9"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875" style="1238" customWidth="1"/>
    <col min="12302" max="12544" width="9"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875" style="1238" customWidth="1"/>
    <col min="12558" max="12800" width="9"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875" style="1238" customWidth="1"/>
    <col min="12814" max="13056" width="9"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875" style="1238" customWidth="1"/>
    <col min="13070" max="13312" width="9"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875" style="1238" customWidth="1"/>
    <col min="13326" max="13568" width="9"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875" style="1238" customWidth="1"/>
    <col min="13582" max="13824" width="9"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875" style="1238" customWidth="1"/>
    <col min="13838" max="14080" width="9"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875" style="1238" customWidth="1"/>
    <col min="14094" max="14336" width="9"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875" style="1238" customWidth="1"/>
    <col min="14350" max="14592" width="9"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875" style="1238" customWidth="1"/>
    <col min="14606" max="14848" width="9"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875" style="1238" customWidth="1"/>
    <col min="14862" max="15104" width="9"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875" style="1238" customWidth="1"/>
    <col min="15118" max="15360" width="9"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875" style="1238" customWidth="1"/>
    <col min="15374" max="15616" width="9"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875" style="1238" customWidth="1"/>
    <col min="15630" max="15872" width="9"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875" style="1238" customWidth="1"/>
    <col min="15886" max="16128" width="9"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875" style="1238" customWidth="1"/>
    <col min="16142" max="16384" width="9" style="1238"/>
  </cols>
  <sheetData>
    <row r="1" spans="1:257" s="1300" customFormat="1" ht="14.25" thickBot="1">
      <c r="A1" s="1294"/>
      <c r="B1" s="1301" t="s">
        <v>602</v>
      </c>
      <c r="C1" s="1295">
        <f>项目基本情况!D3</f>
        <v>45291</v>
      </c>
      <c r="D1" s="1301" t="s">
        <v>603</v>
      </c>
      <c r="E1" s="1296">
        <f>'数据-取费表'!B22</f>
        <v>0</v>
      </c>
      <c r="F1" s="1301" t="s">
        <v>604</v>
      </c>
      <c r="G1" s="1297" t="e">
        <f ca="1">INDIRECT("d"&amp;$K$1)/100</f>
        <v>#VALUE!</v>
      </c>
      <c r="H1" s="1301" t="s">
        <v>634</v>
      </c>
      <c r="I1" s="1297">
        <f ca="1">F4/100</f>
        <v>1.4999999999999999E-2</v>
      </c>
      <c r="J1" s="1302">
        <f>IF(C1&gt;C13,0,MATCH(C1,C$13:C$111,-1))+IF(SUMIF(C13:C111,C1,D13:D111)=0,13,12)</f>
        <v>13</v>
      </c>
      <c r="K1" s="1302">
        <f ca="1">MATCH(E1,C3:C7,1)+IF(SUMIF(C3:C7,E1,D3:D7)=0,2,1)</f>
        <v>2</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38" t="s">
        <v>949</v>
      </c>
      <c r="B1" s="3638"/>
      <c r="C1" s="3638"/>
      <c r="D1" s="3638"/>
    </row>
    <row r="2" spans="1:4" ht="18">
      <c r="A2" s="3639" t="s">
        <v>933</v>
      </c>
      <c r="B2" s="3639"/>
      <c r="C2" s="3639"/>
      <c r="D2" s="363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639" t="s">
        <v>939</v>
      </c>
      <c r="B6" s="3639"/>
      <c r="C6" s="3639"/>
      <c r="D6" s="363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640" t="s">
        <v>942</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spans="1:4" ht="30" customHeight="1">
      <c r="A13" s="3632" t="str">
        <f>IF(项目基本情况!B8="抵押","3.抵押双方在办理抵押登记手续时，应使用本公司出具的正式《房地产评估报告》，特提醒报告使用者注意。","——")</f>
        <v>——</v>
      </c>
      <c r="B13" s="3637"/>
      <c r="C13" s="3637"/>
      <c r="D13" s="3637"/>
    </row>
    <row r="14" spans="1:4" ht="15.75" customHeight="1">
      <c r="A14" s="3632" t="str">
        <f>IF(项目基本情况!B8="抵押","4.本次评估估价师所知悉的法定优先受偿款情况说明如下：","——")</f>
        <v>——</v>
      </c>
      <c r="B14" s="3637"/>
      <c r="C14" s="3637"/>
      <c r="D14" s="3637"/>
    </row>
    <row r="15" spans="1:4" ht="42" customHeight="1">
      <c r="A15" s="3632" t="str">
        <f>IF(项目基本情况!B8="抵押","（1）"&amp;CONCATENATE(项目基本情况!L20,项目基本情况!L21,项目基本情况!L22),"——")</f>
        <v>——</v>
      </c>
      <c r="B15" s="3632"/>
      <c r="C15" s="3632"/>
      <c r="D15" s="3632"/>
    </row>
    <row r="16" spans="1:4" ht="30" customHeight="1">
      <c r="A16" s="3634" t="s">
        <v>943</v>
      </c>
      <c r="B16" s="3634"/>
      <c r="C16" s="3634"/>
      <c r="D16" s="3634"/>
    </row>
    <row r="17" spans="1:4" ht="144" customHeight="1">
      <c r="A17" s="3634" t="s">
        <v>944</v>
      </c>
      <c r="B17" s="3634"/>
      <c r="C17" s="3634"/>
      <c r="D17" s="3634"/>
    </row>
    <row r="18" spans="1:4" ht="15.75" customHeight="1">
      <c r="A18" s="3632" t="str">
        <f>IF(项目基本情况!B8="抵押",结果表!K120,"——")</f>
        <v>——</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spans="1:4" ht="57.75" customHeight="1">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spans="1:4" ht="18.75" customHeight="1">
      <c r="A22" s="3636" t="s">
        <v>945</v>
      </c>
      <c r="B22" s="3636"/>
      <c r="C22" s="3636"/>
      <c r="D22" s="363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33">
        <v>42551</v>
      </c>
      <c r="D31" s="36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89"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46" t="s">
        <v>956</v>
      </c>
      <c r="B15" s="3641" t="s">
        <v>109</v>
      </c>
      <c r="C15" s="3642"/>
    </row>
    <row r="16" spans="1:7" ht="13.5">
      <c r="A16" s="3647"/>
      <c r="B16" s="3641" t="s">
        <v>42</v>
      </c>
      <c r="C16" s="3642"/>
    </row>
    <row r="17" spans="1:3" ht="13.5">
      <c r="A17" s="3647"/>
      <c r="B17" s="3644" t="s">
        <v>957</v>
      </c>
      <c r="C17" s="1531" t="s">
        <v>956</v>
      </c>
    </row>
    <row r="18" spans="1:3" ht="13.5">
      <c r="A18" s="3647"/>
      <c r="B18" s="3644"/>
      <c r="C18" s="1531" t="s">
        <v>958</v>
      </c>
    </row>
    <row r="19" spans="1:3" ht="13.5">
      <c r="A19" s="3647"/>
      <c r="B19" s="3644"/>
      <c r="C19" s="1531" t="s">
        <v>959</v>
      </c>
    </row>
    <row r="20" spans="1:3" ht="13.5">
      <c r="A20" s="3648"/>
      <c r="B20" s="3643" t="s">
        <v>960</v>
      </c>
      <c r="C20" s="3642"/>
    </row>
    <row r="21" spans="1:3" ht="13.5">
      <c r="A21" s="1532" t="s">
        <v>961</v>
      </c>
      <c r="B21" s="1533"/>
      <c r="C21" s="1534"/>
    </row>
    <row r="22" spans="1:3" ht="13.5">
      <c r="A22" s="3645" t="s">
        <v>962</v>
      </c>
      <c r="B22" s="3643" t="s">
        <v>963</v>
      </c>
      <c r="C22" s="3642"/>
    </row>
    <row r="23" spans="1:3" ht="13.5">
      <c r="A23" s="3645"/>
      <c r="B23" s="3643" t="s">
        <v>964</v>
      </c>
      <c r="C23" s="3642"/>
    </row>
    <row r="24" spans="1:3" ht="13.5">
      <c r="A24" s="3645"/>
      <c r="B24" s="3643" t="s">
        <v>965</v>
      </c>
      <c r="C24" s="3642"/>
    </row>
    <row r="25" spans="1:3" ht="13.5">
      <c r="A25" s="3645"/>
      <c r="B25" s="3644" t="s">
        <v>966</v>
      </c>
      <c r="C25" s="1531" t="s">
        <v>967</v>
      </c>
    </row>
    <row r="26" spans="1:3" ht="13.5">
      <c r="A26" s="3645"/>
      <c r="B26" s="3644"/>
      <c r="C26" s="1531" t="s">
        <v>968</v>
      </c>
    </row>
    <row r="27" spans="1:3" ht="13.5">
      <c r="A27" s="3645"/>
      <c r="B27" s="3644"/>
      <c r="C27" s="1531" t="s">
        <v>969</v>
      </c>
    </row>
    <row r="28" spans="1:3" ht="13.5">
      <c r="A28" s="3645"/>
      <c r="B28" s="3644"/>
      <c r="C28" s="1531" t="s">
        <v>970</v>
      </c>
    </row>
    <row r="29" spans="1:3" ht="13.5">
      <c r="A29" s="3645"/>
      <c r="B29" s="3644"/>
      <c r="C29" s="1531" t="s">
        <v>971</v>
      </c>
    </row>
    <row r="30" spans="1:3" ht="13.5">
      <c r="A30" s="3645"/>
      <c r="B30" s="3644"/>
      <c r="C30" s="1531" t="s">
        <v>972</v>
      </c>
    </row>
    <row r="31" spans="1:3" ht="13.5">
      <c r="A31" s="3645"/>
      <c r="B31" s="3644"/>
      <c r="C31" s="1531" t="s">
        <v>973</v>
      </c>
    </row>
    <row r="32" spans="1:3" ht="13.5">
      <c r="A32" s="3645"/>
      <c r="B32" s="3644"/>
      <c r="C32" s="1531" t="s">
        <v>974</v>
      </c>
    </row>
    <row r="33" spans="1:3" ht="13.5">
      <c r="A33" s="3645"/>
      <c r="B33" s="364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45326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49" t="s">
        <v>2160</v>
      </c>
      <c r="B17" s="3649"/>
      <c r="C17" s="3649"/>
      <c r="D17" s="3649"/>
      <c r="E17" s="3649"/>
      <c r="F17" s="3649"/>
      <c r="G17" s="3649"/>
      <c r="H17" s="3649"/>
    </row>
    <row r="18" spans="1:8" ht="24" customHeight="1">
      <c r="A18" s="3650" t="s">
        <v>2161</v>
      </c>
      <c r="B18" s="3650"/>
      <c r="C18" s="3650"/>
      <c r="D18" s="2342"/>
      <c r="E18" s="3651" t="s">
        <v>2162</v>
      </c>
      <c r="F18" s="3650"/>
      <c r="G18" s="365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1"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167</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产权面积明细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大宗交易案例2022</vt:lpstr>
      <vt:lpstr>Sheet7</vt:lpstr>
      <vt:lpstr>大宗交易案例2023</vt:lpstr>
      <vt:lpstr>收益预测(整体) </vt:lpstr>
      <vt:lpstr>租赁收入测算</vt:lpstr>
      <vt:lpstr>租赁情况</vt:lpstr>
      <vt:lpstr>比较法-办公 (租金)</vt:lpstr>
      <vt:lpstr>比较法-工业</vt:lpstr>
      <vt:lpstr>比较法-车位</vt:lpstr>
      <vt:lpstr>出租案例</vt:lpstr>
      <vt:lpstr>Sheet4</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'收益预测(整体) '!Print_Area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钱金霞</cp:lastModifiedBy>
  <cp:lastPrinted>2017-03-01T09:15:43Z</cp:lastPrinted>
  <dcterms:created xsi:type="dcterms:W3CDTF">2015-07-13T07:17:23Z</dcterms:created>
  <dcterms:modified xsi:type="dcterms:W3CDTF">2024-02-03T16:30:59Z</dcterms:modified>
</cp:coreProperties>
</file>