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<sst xmlns="http://schemas.openxmlformats.org/spreadsheetml/2006/main" count="7030" uniqueCount="2486">
  <si>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</si>
  <si>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</si>
  <si>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</si>
  <si>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</si>
  <si>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</si>
  <si>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</si>
  <si>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</si>
  <si>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</si>
  <si>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</si>
  <si>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</si>
  <si>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</si>
  <si>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</si>
  <si>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</si>
  <si>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</si>
  <si>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</si>
  <si>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</si>
  <si>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</si>
  <si>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</si>
  <si>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</si>
  <si>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</si>
  <si>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</si>
  <si>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</si>
  <si>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</si>
  <si>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</si>
  <si>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</si>
  <si>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</si>
  <si>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</si>
  <si>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</si>
  <si>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</si>
  <si>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</si>
  <si>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</si>
  <si>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</si>
  <si>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</si>
  <si>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</si>
  <si>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</si>
  <si>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</si>
  <si>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</si>
  <si>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</si>
  <si>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</si>
  <si>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</si>
  <si>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</si>
  <si>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</si>
  <si>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</si>
  <si>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</si>
  <si>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</si>
  <si>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</si>
  <si>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</si>
  <si>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</si>
  <si>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</si>
  <si>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</si>
  <si>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</si>
  <si>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</si>
  <si>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</si>
  <si>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</si>
  <si>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</si>
  <si>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</si>
  <si>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</si>
  <si>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</si>
  <si>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</si>
  <si>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</si>
  <si>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</si>
  <si>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</si>
  <si>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</si>
  <si>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</si>
  <si>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</si>
  <si>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</si>
  <si>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</si>
  <si>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</si>
  <si>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</si>
  <si>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</si>
  <si>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</si>
  <si>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</si>
  <si>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</si>
  <si>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</si>
  <si>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</si>
  <si>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</si>
  <si>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</si>
  <si>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</si>
  <si>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</si>
  <si>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</si>
  <si>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</si>
  <si>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</si>
  <si>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</si>
  <si>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</si>
  <si>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</si>
  <si>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</si>
  <si>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</si>
  <si>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</si>
  <si>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</si>
  <si>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</si>
  <si>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</si>
  <si>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</si>
  <si>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</si>
  <si>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</si>
  <si>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</si>
  <si>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79247413556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</si>
  <si>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</si>
  <si>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</si>
  <si>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</si>
  <si>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</si>
  <si>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</si>
  <si>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</si>
  <si>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</si>
  <si>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</si>
  <si>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</si>
  <si>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</si>
  <si>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</si>
  <si>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</si>
  <si>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</si>
  <si>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</si>
  <si>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</si>
  <si>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79247413556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</si>
  <si>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</si>
  <si>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</si>
  <si>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</si>
  <si>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</si>
  <si>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</si>
  <si>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</si>
  <si>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</si>
  <si>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</si>
  <si>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</si>
  <si>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</si>
  <si>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</si>
  <si>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</si>
  <si>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</si>
  <si>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79247413556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</si>
  <si>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</si>
  <si>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</si>
  <si>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</si>
  <si>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</si>
  <si>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</si>
  <si>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</si>
  <si>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</si>
  <si>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</si>
  <si>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</si>
  <si>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</si>
  <si>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</si>
  <si>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</si>
  <si>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</si>
  <si>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</si>
  <si>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</si>
  <si>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</si>
  <si>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</si>
  <si>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</si>
  <si>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</si>
  <si>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</si>
  <si>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</si>
  <si>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</si>
  <si>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</si>
  <si>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</si>
  <si>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</si>
  <si>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</si>
  <si>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</si>
  <si>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</si>
  <si>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</si>
  <si>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</si>
  <si>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</si>
  <si>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</si>
  <si>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</si>
  <si>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</si>
  <si>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</si>
  <si>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</si>
  <si>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</si>
  <si>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</si>
  <si>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</si>
  <si>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</si>
  <si>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</si>
  <si>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</si>
  <si>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</si>
  <si>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</si>
  <si>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</si>
  <si>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</si>
  <si>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</si>
  <si>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</si>
  <si>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</si>
  <si>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</si>
  <si>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</si>
  <si>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</si>
  <si>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</si>
  <si>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</si>
  <si>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</si>
  <si>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</si>
  <si>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</si>
  <si>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</si>
  <si>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</si>
  <si>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</si>
  <si>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</si>
  <si>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</si>
  <si>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</si>
  <si>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</si>
  <si>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</si>
  <si>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</si>
  <si>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</si>
  <si>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</si>
  <si>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</si>
  <si>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</si>
  <si>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</si>
  <si>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</si>
  <si>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</si>
  <si>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</si>
  <si>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</si>
  <si>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</si>
  <si>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</si>
  <si>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</si>
  <si>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</si>
  <si>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</si>
  <si>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</si>
  <si>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</si>
  <si>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</si>
  <si>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</si>
  <si>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</si>
  <si>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</si>
  <si>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</si>
  <si>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</si>
  <si>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</si>
  <si>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</si>
  <si>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</si>
  <si>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</si>
  <si>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</si>
  <si>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</si>
  <si>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</si>
  <si>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</si>
  <si>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</si>
  <si>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</si>
  <si>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</si>
  <si>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</si>
  <si>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</si>
  <si>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</si>
  <si>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</si>
  <si>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</si>
  <si>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</si>
  <si>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</si>
  <si>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</si>
  <si>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</si>
  <si>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</si>
  <si>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</si>
  <si>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</si>
  <si>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</si>
  <si>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</si>
  <si>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</si>
  <si>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</si>
  <si>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</si>
  <si>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</si>
  <si>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</si>
  <si>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</si>
  <si>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</si>
  <si>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</si>
  <si>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</si>
  <si>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</si>
  <si>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</si>
  <si>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</si>
  <si>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</si>
  <si>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</si>
  <si>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</si>
  <si>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</si>
  <si>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</si>
  <si>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</si>
  <si>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</si>
  <si>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</si>
  <si>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</si>
  <si>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</si>
  <si>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</si>
  <si>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</si>
  <si>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</si>
  <si>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</si>
  <si>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</si>
  <si>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</si>
  <si>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</si>
  <si>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</si>
  <si>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</si>
  <si>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</si>
  <si>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</si>
  <si>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</si>
  <si>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</si>
  <si>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</si>
  <si>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</si>
  <si>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</si>
  <si>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</si>
  <si>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</si>
  <si>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</si>
  <si>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</si>
  <si>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</si>
  <si>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</si>
  <si>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</si>
  <si>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</si>
  <si>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</si>
  <si>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</si>
  <si>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</si>
  <si>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</si>
  <si>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</si>
  <si>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</si>
  <si>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</si>
  <si>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</si>
  <si>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</si>
  <si>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</si>
  <si>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</si>
  <si>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</si>
  <si>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</si>
  <si>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</si>
  <si>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</si>
  <si>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</si>
  <si>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</si>
  <si>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</si>
  <si>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</si>
  <si>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</si>
  <si>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</si>
  <si>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</si>
  <si>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</si>
  <si>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</si>
  <si>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</si>
  <si>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</si>
  <si>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</si>
  <si>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</si>
  <si>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</si>
  <si>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</si>
  <si>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</si>
  <si>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</si>
  <si>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</si>
  <si>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</si>
  <si>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</si>
  <si>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</si>
  <si>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</si>
  <si>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</si>
  <si>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</si>
  <si>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</si>
  <si>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</si>
  <si>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</si>
  <si>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</si>
  <si>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</si>
  <si>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</si>
  <si>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</si>
  <si>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</si>
  <si>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</si>
  <si>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</si>
  <si>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</si>
  <si>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</si>
  <si>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</si>
  <si>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</si>
  <si>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</si>
  <si>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</si>
  <si>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</si>
  <si>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</si>
  <si>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</si>
  <si>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</si>
  <si>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</si>
  <si>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</si>
  <si>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</si>
  <si>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</si>
  <si>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</si>
  <si>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</si>
  <si>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</si>
  <si>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</si>
  <si>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</si>
  <si>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</si>
  <si>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</si>
  <si>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</si>
  <si>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</si>
  <si>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</si>
  <si>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</si>
  <si>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</si>
  <si>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</si>
  <si>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</si>
  <si>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</si>
  <si>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</si>
  <si>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</si>
  <si>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</si>
  <si>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</si>
  <si>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</si>
  <si>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</si>
  <si>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</si>
  <si>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</si>
  <si>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</si>
  <si>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</si>
  <si>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</si>
  <si>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</si>
  <si>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</si>
  <si>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</si>
  <si>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</si>
  <si>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</si>
  <si>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</si>
  <si>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</si>
  <si>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</si>
  <si>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</si>
  <si>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</si>
  <si>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</si>
  <si>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</si>
  <si>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</si>
  <si>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</si>
  <si>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</si>
  <si>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</si>
  <si>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</si>
  <si>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</si>
  <si>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</si>
  <si>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</si>
  <si>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</si>
  <si>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</si>
  <si>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</si>
  <si>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</si>
  <si>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</si>
  <si>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</si>
  <si>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</si>
  <si>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</si>
  <si>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</si>
  <si>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</si>
  <si>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</si>
  <si>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</si>
  <si>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</si>
  <si>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</si>
  <si>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</si>
  <si>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</si>
  <si>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</si>
  <si>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</si>
  <si>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</si>
  <si>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</si>
  <si>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</si>
  <si>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</si>
  <si>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</si>
  <si>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</si>
  <si>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</si>
  <si>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</si>
  <si>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</si>
  <si>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</si>
  <si>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</si>
  <si>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</si>
  <si>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</si>
  <si>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</si>
  <si>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</si>
  <si>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</si>
  <si>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</si>
  <si>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</si>
  <si>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</si>
  <si>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</si>
  <si>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</si>
  <si>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</si>
  <si>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</si>
  <si>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</si>
  <si>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</si>
  <si>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</si>
  <si>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</si>
  <si>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</si>
  <si>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</si>
  <si>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</si>
  <si>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</si>
  <si>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</si>
  <si>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</si>
  <si>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</si>
  <si>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</si>
  <si>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</si>
  <si>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</si>
  <si>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</si>
  <si>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</si>
  <si>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</si>
  <si>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</si>
  <si>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</si>
  <si>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</si>
  <si>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</si>
  <si>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</si>
  <si>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</si>
  <si>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</si>
  <si>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</si>
  <si>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</si>
  <si>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</si>
  <si>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</si>
  <si>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</si>
  <si>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</si>
  <si>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</si>
  <si>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</si>
  <si>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</si>
  <si>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</si>
  <si>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</si>
  <si>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</si>
  <si>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</si>
  <si>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</si>
  <si>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</si>
  <si>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</si>
  <si>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</si>
  <si>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</si>
  <si>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</si>
  <si>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</si>
  <si>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</si>
  <si>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</si>
  <si>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</si>
  <si>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</si>
  <si>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</si>
  <si>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</si>
  <si>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</si>
  <si>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</si>
  <si>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</si>
  <si>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</si>
  <si>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</si>
  <si>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</si>
  <si>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</si>
  <si>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</si>
  <si>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</si>
  <si>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</si>
  <si>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</si>
  <si>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</si>
  <si>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</si>
  <si>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</si>
  <si>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</si>
  <si>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</si>
  <si>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</si>
  <si>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</si>
  <si>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</si>
  <si>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</si>
  <si>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</si>
  <si>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</si>
  <si>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</si>
  <si>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</si>
  <si>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</si>
  <si>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</si>
  <si>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</si>
  <si>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</si>
  <si>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</si>
  <si>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</si>
  <si>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</si>
  <si>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</si>
  <si>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</si>
  <si>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</si>
  <si>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</si>
  <si>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</si>
  <si>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</si>
  <si>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</si>
  <si>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</si>
  <si>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</si>
  <si>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</si>
  <si>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</si>
  <si>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</si>
  <si>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</si>
  <si>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</si>
  <si>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</si>
  <si>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</si>
  <si>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</si>
  <si>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</si>
  <si>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</si>
  <si>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</si>
  <si>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</si>
  <si>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</si>
  <si>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</si>
  <si>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</si>
  <si>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</si>
  <si>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</si>
  <si>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</si>
  <si>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</si>
  <si>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</si>
  <si>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</si>
  <si>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</si>
  <si>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</si>
  <si>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</si>
  <si>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</si>
  <si>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</si>
  <si>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</si>
  <si>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</si>
  <si>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</si>
  <si>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</si>
  <si>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</si>
  <si>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</si>
  <si>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</si>
  <si>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</si>
  <si>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</si>
  <si>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</si>
  <si>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</si>
  <si>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</si>
  <si>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</si>
  <si>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</si>
  <si>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</si>
  <si>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</si>
  <si>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</si>
  <si>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</si>
  <si>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</si>
  <si>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</si>
  <si>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</si>
  <si>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</si>
  <si>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</si>
  <si>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</si>
  <si>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</si>
  <si>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</si>
  <si>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</si>
  <si>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</si>
  <si>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</si>
  <si>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</si>
  <si>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</si>
  <si>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</si>
  <si>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</si>
  <si>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</si>
  <si>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</si>
  <si>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</si>
  <si>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</si>
  <si>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</si>
  <si>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</si>
  <si>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</si>
  <si>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</si>
  <si>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</si>
  <si>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</si>
  <si>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</si>
  <si>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</si>
  <si>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</si>
  <si>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</si>
  <si>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</si>
  <si>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</si>
  <si>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</si>
  <si>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</si>
  <si>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</si>
  <si>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</si>
  <si>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</si>
  <si>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</si>
  <si>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</si>
  <si>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</si>
  <si>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</si>
  <si>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</si>
  <si>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</si>
  <si>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</si>
  <si>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</si>
  <si>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</si>
  <si>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</si>
  <si>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</si>
  <si>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</si>
  <si>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</si>
  <si>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</si>
  <si>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</si>
  <si>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</si>
  <si>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</si>
  <si>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</si>
  <si>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</si>
  <si>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</si>
  <si>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</si>
  <si>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</si>
  <si>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</si>
  <si>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</si>
  <si>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</si>
  <si>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</si>
  <si>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</si>
  <si>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</si>
  <si>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</si>
  <si>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</si>
  <si>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</si>
  <si>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</si>
  <si>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</si>
  <si>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</si>
  <si>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</si>
  <si>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</si>
  <si>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</si>
  <si>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</si>
  <si>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</si>
  <si>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成本价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</si>
  <si>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</si>
  <si>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</si>
  <si>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</si>
  <si>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</si>
  <si>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</si>
  <si>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</si>
  <si>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</si>
  <si>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</si>
  <si>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</si>
  <si>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</si>
  <si>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</si>
  <si>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</si>
  <si>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</si>
  <si>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</si>
  <si>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</si>
  <si>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</si>
  <si>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</si>
  <si>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</si>
  <si>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</si>
  <si>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</si>
  <si>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</si>
  <si>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</si>
  <si>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</si>
  <si>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</si>
  <si>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</si>
  <si>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</si>
  <si>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</si>
  <si>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</si>
  <si>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</si>
  <si>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</si>
  <si>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</si>
  <si>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</si>
  <si>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</si>
  <si>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</si>
  <si>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</si>
  <si>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</si>
  <si>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</si>
  <si>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</si>
  <si>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</si>
  <si>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</si>
  <si>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</si>
  <si>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</si>
  <si>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</si>
  <si>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</si>
  <si>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</si>
  <si>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</si>
  <si>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</si>
  <si>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</si>
  <si>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</si>
  <si>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</si>
  <si>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</si>
  <si>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</si>
  <si>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</si>
  <si>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</si>
  <si>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</si>
  <si>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</si>
  <si>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</si>
  <si>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</si>
  <si>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</si>
  <si>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</si>
  <si>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</si>
  <si>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</si>
  <si>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</si>
  <si>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</si>
  <si>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</si>
  <si>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</si>
  <si>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</si>
  <si>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</si>
  <si>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</si>
  <si>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</si>
  <si>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</si>
  <si>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</si>
  <si>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</si>
  <si>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</si>
  <si>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</si>
  <si>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</si>
  <si>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</si>
  <si>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</si>
  <si>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</si>
  <si>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</si>
  <si>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</si>
  <si>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</si>
  <si>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</si>
  <si>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</si>
  <si>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</si>
  <si>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</si>
  <si>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</si>
  <si>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</si>
  <si>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</si>
  <si>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</si>
  <si>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</si>
  <si>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</si>
  <si>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</si>
  <si>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</si>
  <si>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</si>
  <si>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</si>
  <si>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</si>
  <si>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</si>
  <si>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</si>
  <si>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</si>
  <si>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</si>
  <si>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</si>
  <si>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</si>
  <si>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</si>
  <si>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</si>
  <si>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</si>
  <si>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</si>
  <si>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</si>
  <si>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</si>
  <si>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</si>
  <si>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</si>
  <si>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</si>
  <si>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</si>
  <si>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</si>
  <si>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</si>
  <si>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</si>
  <si>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</si>
  <si>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</si>
  <si>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</si>
  <si>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</si>
  <si>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</si>
  <si>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</si>
  <si>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</si>
  <si>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</si>
  <si>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</si>
  <si>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</si>
  <si>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</si>
  <si>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</si>
  <si>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</si>
  <si>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</si>
  <si>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</si>
  <si>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</si>
  <si>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</si>
  <si>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</si>
  <si>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</si>
  <si>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</si>
  <si>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</si>
  <si>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</si>
  <si>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</si>
  <si>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</si>
  <si>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</si>
  <si>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</si>
  <si>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</si>
  <si>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</si>
  <si>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</si>
  <si>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</si>
  <si>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</si>
  <si>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</si>
  <si>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</si>
  <si>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</si>
  <si>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</si>
  <si>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</si>
  <si>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</si>
  <si>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</si>
  <si>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</si>
  <si>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</si>
  <si>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</si>
  <si>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</si>
  <si>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</si>
  <si>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79247413556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</si>
  <si>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</si>
  <si>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</si>
  <si>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</si>
  <si>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</si>
  <si>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79247413556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</si>
  <si>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</si>
  <si>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</si>
  <si>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</si>
  <si>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</si>
  <si>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</si>
  <si>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</si>
  <si>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</si>
  <si>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</si>
  <si>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</si>
  <si>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</si>
  <si>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</si>
  <si>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</si>
  <si>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</si>
  <si>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</si>
  <si>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</si>
  <si>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</si>
  <si>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</si>
  <si>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</si>
  <si>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</si>
  <si>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</si>
  <si>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</si>
  <si>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</si>
  <si>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</si>
  <si>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</si>
  <si>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</si>
  <si>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</si>
  <si>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</si>
  <si>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</si>
  <si>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</si>
  <si>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</si>
  <si>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</si>
  <si>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</si>
  <si>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</si>
  <si>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</si>
  <si>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</si>
  <si>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</si>
  <si>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</si>
  <si>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</si>
  <si>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</si>
  <si>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</si>
  <si>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</si>
  <si>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</si>
  <si>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</si>
  <si>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</si>
  <si>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</si>
  <si>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</si>
  <si>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</si>
  <si>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</si>
  <si>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</si>
  <si>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</si>
  <si>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</si>
  <si>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</si>
  <si>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</si>
  <si>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</si>
  <si>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</si>
  <si>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</si>
  <si>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</si>
  <si>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</si>
  <si>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</si>
  <si>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</si>
  <si>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</si>
  <si>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</si>
  <si>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</si>
  <si>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</si>
  <si>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</si>
  <si>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</si>
  <si>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</si>
  <si>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</si>
  <si>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</si>
  <si>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</si>
  <si>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</si>
  <si>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</si>
  <si>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模式口南里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</si>
  <si>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</si>
  <si>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</si>
  <si>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</si>
  <si>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</si>
  <si>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</si>
  <si>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</si>
  <si>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</si>
  <si>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</si>
  <si>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</si>
  <si>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</si>
  <si>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</si>
  <si>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</si>
  <si>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</si>
  <si>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</si>
  <si>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</si>
  <si>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</si>
  <si>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</si>
  <si>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</si>
  <si>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</si>
  <si>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</si>
  <si>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</si>
  <si>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</si>
  <si>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</si>
  <si>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</si>
  <si>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南北东</t>
  </si>
  <si>
    <t>楼层</t>
  </si>
  <si>
    <t>4/6</t>
  </si>
  <si>
    <t>5/6</t>
  </si>
  <si>
    <t>3/6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</si>
  <si>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</si>
  <si>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</si>
  <si>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</si>
  <si>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</si>
  <si>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</si>
  <si>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</si>
  <si>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</si>
  <si>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</si>
  <si>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</si>
  <si>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</si>
  <si>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</si>
  <si>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</si>
  <si>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</si>
  <si>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</si>
  <si>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</si>
  <si>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</si>
  <si>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一般装修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</si>
  <si>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</si>
  <si>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</si>
  <si>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</si>
  <si>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</si>
  <si>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</si>
  <si>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</si>
  <si>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</si>
  <si>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</si>
  <si>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</si>
  <si>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</si>
  <si>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</si>
  <si>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</si>
  <si>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</si>
  <si>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</si>
  <si>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</si>
  <si>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</si>
  <si>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</si>
  <si>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</si>
  <si>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</si>
  <si>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</si>
  <si>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</si>
  <si>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</si>
  <si>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</si>
  <si>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</si>
  <si>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</si>
  <si>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</si>
  <si>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</si>
  <si>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</si>
  <si>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</si>
  <si>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</si>
  <si>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</si>
  <si>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</si>
  <si>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</si>
  <si>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</si>
  <si>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</si>
  <si>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</si>
  <si>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</si>
  <si>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</si>
  <si>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</si>
  <si>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</si>
  <si>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</si>
  <si>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</si>
  <si>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</si>
  <si>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</si>
  <si>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</si>
  <si>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</si>
  <si>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</si>
  <si>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</si>
  <si>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</si>
  <si>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</si>
  <si>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</si>
  <si>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</si>
  <si>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</si>
  <si>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</si>
  <si>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</si>
  <si>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</si>
  <si>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</si>
  <si>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</si>
  <si>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</si>
  <si>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</si>
  <si>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</si>
  <si>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</si>
  <si>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</si>
  <si>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</si>
  <si>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</si>
  <si>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</si>
  <si>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</si>
  <si>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</si>
  <si>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</si>
  <si>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</si>
  <si>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</si>
  <si>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</si>
  <si>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</si>
  <si>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</si>
  <si>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</si>
  <si>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</si>
  <si>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</si>
  <si>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</si>
  <si>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</si>
  <si>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</si>
  <si>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</si>
  <si>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</si>
  <si>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</si>
  <si>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</si>
  <si>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</si>
  <si>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</si>
  <si>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</si>
  <si>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</si>
  <si>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</si>
  <si>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</si>
  <si>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</si>
  <si>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</si>
  <si>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</si>
  <si>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</si>
  <si>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</si>
  <si>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</si>
  <si>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</si>
  <si>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</si>
  <si>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</si>
  <si>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</si>
  <si>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</si>
  <si>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</si>
  <si>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</si>
  <si>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</si>
  <si>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</si>
  <si>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</si>
  <si>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</si>
  <si>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</si>
  <si>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</si>
  <si>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</si>
  <si>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</si>
  <si>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</si>
  <si>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</si>
  <si>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</si>
  <si>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</si>
  <si>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</si>
  <si>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</si>
  <si>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</si>
  <si>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</si>
  <si>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</si>
  <si>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</si>
  <si>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</si>
  <si>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</si>
  <si>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</si>
  <si>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</si>
  <si>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</si>
  <si>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</si>
  <si>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</si>
  <si>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</si>
  <si>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</si>
  <si>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</si>
  <si>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</si>
  <si>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</si>
  <si>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</si>
  <si>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</si>
  <si>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</si>
  <si>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</si>
  <si>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</si>
  <si>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</si>
  <si>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</si>
  <si>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</si>
  <si>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</si>
  <si>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</si>
  <si>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</si>
  <si>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</si>
  <si>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</si>
  <si>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</si>
  <si>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</si>
  <si>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</si>
  <si>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</si>
  <si>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</si>
  <si>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</si>
  <si>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</si>
  <si>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</si>
  <si>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</si>
  <si>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</si>
  <si>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</si>
  <si>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</si>
  <si>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</si>
  <si>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</si>
  <si>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</si>
  <si>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</si>
  <si>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</si>
  <si>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</si>
  <si>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</si>
  <si>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</si>
  <si>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</si>
  <si>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</si>
  <si>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</si>
  <si>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</si>
  <si>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</si>
  <si>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</si>
  <si>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</si>
  <si>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</si>
  <si>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</si>
  <si>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</si>
  <si>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</si>
  <si>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</si>
  <si>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</si>
  <si>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</si>
  <si>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</si>
  <si>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</si>
  <si>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</si>
  <si>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</si>
  <si>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</si>
  <si>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</si>
  <si>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</si>
  <si>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</si>
  <si>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</si>
  <si>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</si>
  <si>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</si>
  <si>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</si>
  <si>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</si>
  <si>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</si>
  <si>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</si>
  <si>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</si>
  <si>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</si>
  <si>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</si>
  <si>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</si>
  <si>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</si>
  <si>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</si>
  <si>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</si>
  <si>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</si>
  <si>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</si>
  <si>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</si>
  <si>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</si>
  <si>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</si>
  <si>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</si>
  <si>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</si>
  <si>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</si>
  <si>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</si>
  <si>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</si>
  <si>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</si>
  <si>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</si>
  <si>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</si>
  <si>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</si>
  <si>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</si>
  <si>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</si>
  <si>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</si>
  <si>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</si>
  <si>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</si>
  <si>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</si>
  <si>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</si>
  <si>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</si>
  <si>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</si>
  <si>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</si>
  <si>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</si>
  <si>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</si>
  <si>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</si>
  <si>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</si>
  <si>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</si>
  <si>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</si>
  <si>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</si>
  <si>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</si>
  <si>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</si>
  <si>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</si>
  <si>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</si>
  <si>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</si>
  <si>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</si>
  <si>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</si>
  <si>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</si>
  <si>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</si>
  <si>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</si>
  <si>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</si>
  <si>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</si>
  <si>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</si>
  <si>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</si>
  <si>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</si>
  <si>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</si>
  <si>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</si>
  <si>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</si>
  <si>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</si>
  <si>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</si>
  <si>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</si>
  <si>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</si>
  <si>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</si>
  <si>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</si>
  <si>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</si>
  <si>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</si>
  <si>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</si>
  <si>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</si>
  <si>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</si>
  <si>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</si>
  <si>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</si>
  <si>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</si>
  <si>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</si>
  <si>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</si>
  <si>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</si>
  <si>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面积</t>
  </si>
  <si>
    <t>朝向</t>
  </si>
  <si>
    <t>装修</t>
  </si>
  <si>
    <t>结构</t>
  </si>
  <si>
    <t>备注</t>
  </si>
  <si>
    <t>成交时间</t>
  </si>
  <si>
    <t>普装</t>
  </si>
  <si>
    <t>简装</t>
  </si>
  <si>
    <t>花园</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</si>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</sst>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_);[Red]\(0.0\)"/>
    <numFmt numFmtId="178" formatCode="0.0_ "/>
    <numFmt numFmtId="179" formatCode="0.000_ "/>
    <numFmt numFmtId="180" formatCode="yyyy/m/d;@"/>
    <numFmt numFmtId="181" formatCode="0_ "/>
    <numFmt numFmtId="182" formatCode="0.00_ "/>
    <numFmt numFmtId="183" formatCode="0_);[Red]\(0\)"/>
    <numFmt numFmtId="184" formatCode="0;_쐀"/>
    <numFmt numFmtId="185" formatCode="0_ ;[Red]\-0\ "/>
    <numFmt numFmtId="186" formatCode="0.0%"/>
    <numFmt numFmtId="187" formatCode="0.0000_ "/>
    <numFmt numFmtId="188" formatCode="yyyy&quot;年&quot;m&quot;月&quot;d&quot;日&quot;;@"/>
    <numFmt numFmtId="189" formatCode="0.00_);[Red]\(0.00\)"/>
    <numFmt numFmtId="190" formatCode="0.000_);[Red]\(0.000\)"/>
    <numFmt numFmtId="191" formatCode="yyyy&quot;年&quot;m&quot;月&quot;;@"/>
    <numFmt numFmtId="192" formatCode="0.0000%"/>
    <numFmt numFmtId="193" formatCode="0.000%"/>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792474135563"/>
      <name val="宋体"/>
      <charset val="134"/>
    </font>
    <font>
      <b/>
      <i/>
      <sz val="12"/>
      <color theme="3" tint="0.39979247413556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792474135563"/>
      <name val="宋体"/>
      <charset val="134"/>
    </font>
    <font>
      <b/>
      <i/>
      <sz val="12"/>
      <color theme="3" tint="0.39979247413556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sz val="16"/>
      <name val="宋体"/>
      <charset val="134"/>
    </font>
    <font>
      <sz val="11"/>
      <name val="宋体"/>
      <charset val="134"/>
    </font>
    <font>
      <sz val="9"/>
      <name val="宋体"/>
      <charset val="134"/>
    </font>
    <font>
      <sz val="11"/>
      <name val="宋体"/>
      <charset val="0"/>
      <scheme val="minor"/>
    </font>
    <font>
      <sz val="11"/>
      <name val="楷体_GB2312"/>
      <charset val="134"/>
    </font>
    <font>
      <sz val="14"/>
      <name val="楷体_GB2312"/>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79247413556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1536301767"/>
        <bgColor indexed="64"/>
      </patternFill>
    </fill>
    <fill>
      <patternFill patternType="solid">
        <fgColor rgb="FF92D050"/>
        <bgColor indexed="64"/>
      </patternFill>
    </fill>
    <fill>
      <patternFill patternType="solid">
        <fgColor theme="7" tint="0.39979247413556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3" fontId="17" fillId="5" borderId="0" xfId="20" applyNumberFormat="1" applyFont="1" applyFill="1" applyBorder="1" applyAlignment="1">
      <alignment horizontal="left" vertical="center"/>
    </xf>
    <xf numFmtId="183"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3"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3" fontId="16" fillId="6" borderId="23" xfId="20" applyNumberFormat="1" applyFont="1" applyFill="1" applyBorder="1" applyAlignment="1">
      <alignment horizontal="left" vertical="center" wrapText="1"/>
    </xf>
    <xf numFmtId="183" fontId="16" fillId="6" borderId="24" xfId="20" applyNumberFormat="1" applyFont="1" applyFill="1" applyBorder="1" applyAlignment="1">
      <alignment horizontal="left" vertical="center" wrapText="1"/>
    </xf>
    <xf numFmtId="183"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3" fontId="16" fillId="6" borderId="22" xfId="20" applyNumberFormat="1" applyFont="1" applyFill="1" applyBorder="1" applyAlignment="1">
      <alignment horizontal="left" vertical="center" wrapText="1"/>
    </xf>
    <xf numFmtId="183"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3"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3" fontId="16" fillId="6" borderId="29" xfId="20" applyNumberFormat="1" applyFont="1" applyFill="1" applyBorder="1" applyAlignment="1">
      <alignment horizontal="left" vertical="center" wrapText="1"/>
    </xf>
    <xf numFmtId="183" fontId="16" fillId="6" borderId="31" xfId="20" applyNumberFormat="1" applyFont="1" applyFill="1" applyBorder="1" applyAlignment="1">
      <alignment horizontal="left" vertical="center" wrapText="1"/>
    </xf>
    <xf numFmtId="183" fontId="18" fillId="5" borderId="0" xfId="20" applyNumberFormat="1" applyFont="1" applyFill="1" applyAlignment="1">
      <alignment horizontal="left" vertical="center"/>
    </xf>
    <xf numFmtId="183"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1" fontId="18" fillId="0" borderId="0" xfId="20" applyNumberFormat="1" applyFont="1" applyAlignment="1">
      <alignment horizontal="left" vertical="center"/>
    </xf>
    <xf numFmtId="186" fontId="18" fillId="0" borderId="19" xfId="20" applyNumberFormat="1" applyFont="1" applyBorder="1" applyAlignment="1">
      <alignment horizontal="left" vertical="center"/>
    </xf>
    <xf numFmtId="186" fontId="18" fillId="0" borderId="0" xfId="20" applyNumberFormat="1" applyFont="1" applyAlignment="1">
      <alignment horizontal="left" vertical="center"/>
    </xf>
    <xf numFmtId="0" fontId="18" fillId="0" borderId="0" xfId="20" applyFont="1" applyFill="1" applyAlignment="1">
      <alignment horizontal="left" vertical="center"/>
    </xf>
    <xf numFmtId="181"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1" fontId="18" fillId="0" borderId="18" xfId="20" applyNumberFormat="1" applyFont="1" applyBorder="1" applyAlignment="1">
      <alignment horizontal="left" vertical="center"/>
    </xf>
    <xf numFmtId="178"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1"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79" fontId="18" fillId="0" borderId="0" xfId="20" applyNumberFormat="1" applyFont="1" applyAlignment="1">
      <alignment horizontal="left" vertical="center"/>
    </xf>
    <xf numFmtId="179" fontId="18" fillId="0" borderId="19" xfId="20" applyNumberFormat="1" applyFont="1" applyBorder="1" applyAlignment="1">
      <alignment horizontal="left" vertical="center"/>
    </xf>
    <xf numFmtId="179"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9" fontId="19" fillId="0" borderId="0" xfId="20" applyNumberFormat="1" applyFont="1" applyAlignment="1">
      <alignment horizontal="left" vertical="center"/>
    </xf>
    <xf numFmtId="179"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78"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8" fontId="0" fillId="2" borderId="4" xfId="0" applyNumberFormat="1" applyFill="1" applyBorder="1" applyAlignment="1" applyProtection="1">
      <alignment horizontal="center" vertical="center"/>
    </xf>
    <xf numFmtId="17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8" fontId="0" fillId="2" borderId="7"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8" fontId="0" fillId="2" borderId="56" xfId="0" applyNumberForma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8" fontId="0" fillId="2" borderId="5" xfId="0" applyNumberFormat="1"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7"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7"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7"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7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7"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7"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7"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7"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7"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77"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7"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7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7"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7"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7"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7" fontId="61" fillId="2" borderId="117" xfId="0" applyNumberFormat="1" applyFont="1" applyFill="1" applyBorder="1" applyAlignment="1" applyProtection="1">
      <alignment horizontal="center" vertical="center"/>
      <protection locked="0"/>
    </xf>
    <xf numFmtId="177" fontId="43" fillId="13" borderId="14" xfId="0" applyNumberFormat="1" applyFont="1" applyFill="1" applyBorder="1" applyAlignment="1" applyProtection="1">
      <alignment horizontal="center" vertical="center"/>
      <protection locked="0"/>
    </xf>
    <xf numFmtId="17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7"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7"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3"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3" fontId="48" fillId="2" borderId="95" xfId="59" applyNumberFormat="1" applyFont="1" applyFill="1" applyBorder="1" applyAlignment="1">
      <alignment horizontal="left" vertical="center"/>
    </xf>
    <xf numFmtId="183"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3"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3"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3" fontId="48" fillId="2" borderId="39" xfId="59" applyNumberFormat="1" applyFont="1" applyFill="1" applyBorder="1" applyAlignment="1">
      <alignment horizontal="left" vertical="center"/>
    </xf>
    <xf numFmtId="186"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0"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6" xfId="59" applyNumberFormat="1" applyFont="1" applyFill="1" applyBorder="1" applyAlignment="1" applyProtection="1">
      <alignment horizontal="left" vertical="center"/>
      <protection locked="0"/>
    </xf>
    <xf numFmtId="189" fontId="24" fillId="0" borderId="141" xfId="59" applyNumberFormat="1" applyFont="1" applyFill="1" applyBorder="1" applyAlignment="1" applyProtection="1">
      <alignment horizontal="left" vertical="center"/>
      <protection locked="0"/>
    </xf>
    <xf numFmtId="189" fontId="24" fillId="0" borderId="87"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3"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1" fontId="48"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1"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7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49" fontId="0" fillId="0" borderId="0" xfId="0" applyNumberFormat="1">
      <alignment vertical="center"/>
    </xf>
    <xf numFmtId="0" fontId="0" fillId="16" borderId="0" xfId="0" applyFill="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6"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5"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77"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7" fontId="42" fillId="2" borderId="68" xfId="0" applyNumberFormat="1" applyFont="1" applyFill="1" applyBorder="1" applyAlignment="1" applyProtection="1">
      <alignment horizontal="left" vertical="center" wrapText="1"/>
    </xf>
    <xf numFmtId="17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77"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7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8" fontId="54" fillId="2" borderId="8" xfId="0" applyNumberFormat="1" applyFont="1" applyFill="1" applyBorder="1" applyAlignment="1" applyProtection="1">
      <alignment horizontal="left" vertical="center"/>
    </xf>
    <xf numFmtId="178"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8"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6"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7"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7"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6"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1"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79" fontId="43" fillId="2" borderId="6" xfId="57" applyNumberFormat="1" applyFont="1" applyFill="1" applyBorder="1" applyAlignment="1" applyProtection="1">
      <alignment horizontal="left" vertical="center" wrapText="1"/>
      <protection locked="0"/>
    </xf>
    <xf numFmtId="181"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9"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1"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89" fontId="43" fillId="2" borderId="57" xfId="57" applyNumberFormat="1" applyFont="1" applyFill="1" applyBorder="1" applyAlignment="1" applyProtection="1">
      <alignment horizontal="left" vertical="center" wrapText="1"/>
      <protection locked="0"/>
    </xf>
    <xf numFmtId="189" fontId="42" fillId="0" borderId="61"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8"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6" fontId="126" fillId="0" borderId="7" xfId="60" applyNumberFormat="1" applyFont="1" applyFill="1" applyBorder="1" applyAlignment="1">
      <alignment horizontal="left" vertical="center"/>
    </xf>
    <xf numFmtId="176"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8"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6"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8"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8"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8"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1"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9"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r:embed="rId1" cstate="print"/>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r:embed="rId2" cstate="print"/>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r:embed="rId3" cstate="print"/>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9" customWidth="1"/>
    <col min="2" max="2" width="94.875" style="3590" customWidth="1"/>
    <col min="3" max="16384" width="9" style="3591"/>
  </cols>
  <sheetData>
    <row r="1" s="3587" customFormat="1" ht="16.5" spans="1:2">
      <c r="A1" s="3592" t="s">
        <v>0</v>
      </c>
      <c r="B1" s="3593" t="s">
        <v>1</v>
      </c>
    </row>
    <row r="2" s="3588" customFormat="1" ht="15.75" spans="1:2">
      <c r="A2" s="3594" t="s">
        <v>2</v>
      </c>
      <c r="B2" s="3595" t="str">
        <f>'预评函-封皮'!B9</f>
        <v>北京市预评估</v>
      </c>
    </row>
    <row r="3" s="3588" customFormat="1" spans="1:2">
      <c r="A3" s="3596" t="s">
        <v>3</v>
      </c>
      <c r="B3" s="3597" t="str">
        <f>'预评函-封皮'!B12</f>
        <v>xx</v>
      </c>
    </row>
    <row r="4" s="3588" customFormat="1" spans="1:2">
      <c r="A4" s="3596" t="s">
        <v>4</v>
      </c>
      <c r="B4" s="3597" t="str">
        <f ca="1">'预评函-封皮'!B18</f>
        <v>（注册号:0）、（注册号:0)</v>
      </c>
    </row>
    <row r="5" s="3587" customFormat="1" ht="15.75" spans="1:2">
      <c r="A5" s="3598" t="s">
        <v>5</v>
      </c>
      <c r="B5" s="3599" t="str">
        <f>'预评函-封皮'!B21</f>
        <v>康正预评字号</v>
      </c>
    </row>
    <row r="6" s="3588" customFormat="1" ht="15.75" spans="1:2">
      <c r="A6" s="3596" t="s">
        <v>6</v>
      </c>
      <c r="B6" s="3595" t="str">
        <f>'预评函-1'!A4</f>
        <v>受您的委托，我公司对北京市房地产进行了预评估。</v>
      </c>
    </row>
    <row r="7" spans="1:2">
      <c r="A7" s="3596" t="s">
        <v>7</v>
      </c>
      <c r="B7" s="3600" t="str">
        <f>'预评函-1'!A6</f>
        <v>估价对象为北京市房地产，为XX所有。根据《》[]，估价对象建筑面积为59.11平方米。根据《》[]，估价对象（分摊）出让国有建设用地使用权面积为平方米。估价对象用途为。</v>
      </c>
    </row>
    <row r="8" spans="1:2">
      <c r="A8" s="3596" t="s">
        <v>8</v>
      </c>
      <c r="B8" s="3600" t="str">
        <f>'预评函-1'!A8</f>
        <v>为估价委托人了解估价对象房地产市场价值提供参考依据。</v>
      </c>
    </row>
    <row r="9" spans="1:2">
      <c r="A9" s="3596" t="s">
        <v>9</v>
      </c>
      <c r="B9" s="3600" t="str">
        <f>'预评函-1'!A10</f>
        <v>2022年11月8日</v>
      </c>
    </row>
    <row r="10" spans="1:2">
      <c r="A10" s="3596" t="s">
        <v>10</v>
      </c>
      <c r="B10" s="3600" t="str">
        <f>'预评函-1'!A13</f>
        <v>本次估价的“房地产价值”是指在正常市场情况下，在价值时点2022年11月8日，估价对象规划用途为，假定未设立法定优先受偿款下的房地产市场价值。</v>
      </c>
    </row>
    <row r="11" spans="1:2">
      <c r="A11" s="3596" t="s">
        <v>11</v>
      </c>
      <c r="B11" s="3600"/>
    </row>
    <row r="12"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5.75" spans="1:2">
      <c r="A15" s="3598" t="s">
        <v>15</v>
      </c>
      <c r="B15" s="3601" t="str">
        <f>'预评函-1'!A18</f>
        <v>本次评估采用的主估价方法为收益法和比较法。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6" t="s">
        <v>17</v>
      </c>
      <c r="B17" s="3600" t="str">
        <f>'预评函-2（1）'!B6</f>
        <v>北京市房地产</v>
      </c>
    </row>
    <row r="18" spans="1:2">
      <c r="A18" s="3596" t="s">
        <v>18</v>
      </c>
      <c r="B18" s="3600">
        <f>'预评函-2（1）'!C6</f>
        <v>59.11</v>
      </c>
    </row>
    <row r="19" spans="1:2">
      <c r="A19" s="3596" t="s">
        <v>19</v>
      </c>
      <c r="B19" s="3600">
        <f ca="1">'预评函-2（1）'!D7</f>
        <v>2529435</v>
      </c>
    </row>
    <row r="20" spans="1:2">
      <c r="A20" s="3596" t="s">
        <v>20</v>
      </c>
      <c r="B20" s="3600" t="str">
        <f>'预评函-2（1）'!C7</f>
        <v>总价（元）</v>
      </c>
    </row>
    <row r="21" spans="1:2">
      <c r="A21" s="3596" t="s">
        <v>21</v>
      </c>
      <c r="B21" s="3600">
        <f ca="1">'预评函-2（1）'!D9</f>
        <v>42792</v>
      </c>
    </row>
    <row r="22" spans="1:2">
      <c r="A22" s="3596" t="s">
        <v>22</v>
      </c>
      <c r="B22" s="3600" t="str">
        <f ca="1">'预评函-2（1）'!D8</f>
        <v>贰佰伍拾贰万玖仟肆佰叁拾伍元整</v>
      </c>
    </row>
    <row r="23" spans="1:2">
      <c r="A23" s="3596" t="s">
        <v>23</v>
      </c>
      <c r="B23" s="3600">
        <f>'预评函-2（1）'!D10</f>
        <v>0</v>
      </c>
    </row>
    <row r="24" spans="1:2">
      <c r="A24" s="3596" t="s">
        <v>24</v>
      </c>
      <c r="B24" s="3600" t="str">
        <f>'预评函-2（1）'!C10</f>
        <v>总额（元）</v>
      </c>
    </row>
    <row r="25" spans="1:2">
      <c r="A25" s="3596" t="s">
        <v>25</v>
      </c>
      <c r="B25" s="3600" t="str">
        <f>'预评函-2（1）'!D11</f>
        <v>零元整</v>
      </c>
    </row>
    <row r="26" spans="1:2">
      <c r="A26" s="3596" t="s">
        <v>26</v>
      </c>
      <c r="B26" s="3600">
        <f>'预评函-2（1）'!D12</f>
        <v>0</v>
      </c>
    </row>
    <row r="27" spans="1:2">
      <c r="A27" s="3596" t="s">
        <v>27</v>
      </c>
      <c r="B27" s="3600">
        <f>'预评函-2（1）'!D13</f>
        <v>0</v>
      </c>
    </row>
    <row r="28" spans="1:2">
      <c r="A28" s="3596" t="s">
        <v>28</v>
      </c>
      <c r="B28" s="3600">
        <f>'预评函-2（1）'!D14</f>
        <v>0</v>
      </c>
    </row>
    <row r="29" spans="1:2">
      <c r="A29" s="3596" t="s">
        <v>29</v>
      </c>
      <c r="B29" s="3600">
        <f ca="1">'预评函-2（1）'!D15</f>
        <v>2529435</v>
      </c>
    </row>
    <row r="30" spans="1:2">
      <c r="A30" s="3596" t="s">
        <v>30</v>
      </c>
      <c r="B30" s="3600" t="str">
        <f ca="1">'预评函-2（1）'!D16</f>
        <v>贰佰伍拾贰万玖仟肆佰叁拾伍元整</v>
      </c>
    </row>
    <row r="31" spans="1:2">
      <c r="A31" s="3596" t="s">
        <v>31</v>
      </c>
      <c r="B31" s="3600" t="str">
        <f ca="1">'预评函-2（1）'!D18</f>
        <v>——</v>
      </c>
    </row>
    <row r="32" spans="1:2">
      <c r="A32" s="3596" t="s">
        <v>32</v>
      </c>
      <c r="B32" s="3600" t="e">
        <f ca="1">'预评函-2（1）'!D19</f>
        <v>#VALUE!</v>
      </c>
    </row>
    <row r="33" spans="1:2">
      <c r="A33" s="3596" t="s">
        <v>33</v>
      </c>
      <c r="B33" s="3600" t="str">
        <f ca="1">'预评函-2（1）'!D21</f>
        <v>——</v>
      </c>
    </row>
    <row r="34" spans="1:2">
      <c r="A34" s="3596" t="s">
        <v>34</v>
      </c>
      <c r="B34" s="3600" t="str">
        <f ca="1">'预评函-2（1）'!D23</f>
        <v>——</v>
      </c>
    </row>
    <row r="35" spans="1:2">
      <c r="A35" s="3596" t="s">
        <v>35</v>
      </c>
      <c r="B35" s="3600" t="e">
        <f ca="1">'预评函-2（1）'!D22</f>
        <v>#VALUE!</v>
      </c>
    </row>
    <row r="36" spans="1:2">
      <c r="A36" s="3596" t="s">
        <v>36</v>
      </c>
      <c r="B36" s="3600">
        <f>'预评函-2（2）'!C4</f>
        <v>0</v>
      </c>
    </row>
    <row r="37" spans="1:2">
      <c r="A37" s="3596" t="s">
        <v>37</v>
      </c>
      <c r="B37" s="3600">
        <f ca="1">'预评函-2（2）'!D4</f>
        <v>2357425</v>
      </c>
    </row>
    <row r="38" spans="1:2">
      <c r="A38" s="3596" t="s">
        <v>38</v>
      </c>
      <c r="B38" s="3600">
        <f ca="1">'预评函-2（2）'!E4</f>
        <v>39882</v>
      </c>
    </row>
    <row r="39" spans="1:2">
      <c r="A39" s="3596" t="s">
        <v>39</v>
      </c>
      <c r="B39" s="3600" t="str">
        <f ca="1">'预评函-2（2）'!D5</f>
        <v>贰佰叁拾伍万柒仟肆佰贰拾伍元整</v>
      </c>
    </row>
    <row r="40" spans="1:2">
      <c r="A40" s="3596" t="s">
        <v>40</v>
      </c>
      <c r="B40" s="3600">
        <f ca="1">'预评函-2（2）'!F4</f>
        <v>172010</v>
      </c>
    </row>
    <row r="41" spans="1:2">
      <c r="A41" s="3596" t="s">
        <v>41</v>
      </c>
      <c r="B41" s="3600">
        <f ca="1">'预评函-2（2）'!G4</f>
        <v>2910</v>
      </c>
    </row>
    <row r="42" s="3587" customFormat="1" ht="15.75" spans="1:2">
      <c r="A42" s="3598" t="s">
        <v>42</v>
      </c>
      <c r="B42" s="3602" t="str">
        <f ca="1">'预评函-2（2）'!F5</f>
        <v>壹拾柒万贰仟零壹拾元整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spans="1:2">
      <c r="A44" s="3596" t="s">
        <v>44</v>
      </c>
      <c r="B44" s="3600" t="str">
        <f>'预评函-3'!A14</f>
        <v>——</v>
      </c>
    </row>
    <row r="45" spans="1:2">
      <c r="A45" s="3596" t="s">
        <v>45</v>
      </c>
      <c r="B45" s="3600" t="str">
        <f>'预评函-3'!A15</f>
        <v>——</v>
      </c>
    </row>
    <row r="46" spans="1:2">
      <c r="A46" s="3596" t="s">
        <v>46</v>
      </c>
      <c r="B46" s="3600" t="str">
        <f>'预评函-3'!A16</f>
        <v>——</v>
      </c>
    </row>
    <row r="47"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6" t="s">
        <v>48</v>
      </c>
      <c r="B48" s="3600" t="str">
        <f>'预评函-3'!A18</f>
        <v>——</v>
      </c>
    </row>
    <row r="49"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6" t="s">
        <v>50</v>
      </c>
      <c r="B50" s="3600" t="str">
        <f>'预评函-3'!A20</f>
        <v>6.其他需特殊说明事项：（没有时删除此项；注意修改序号）</v>
      </c>
    </row>
    <row r="51" s="3587" customFormat="1" spans="1:2">
      <c r="A51" s="3598" t="s">
        <v>51</v>
      </c>
      <c r="B51" s="3604">
        <f>'预评函-3'!D29</f>
        <v>42551</v>
      </c>
    </row>
    <row r="52" ht="15.75" spans="1:2">
      <c r="A52" s="3594" t="s">
        <v>52</v>
      </c>
      <c r="B52" s="3605">
        <f>'预评函-3'!A4</f>
        <v>0</v>
      </c>
    </row>
    <row r="53" spans="1:2">
      <c r="A53" s="3596" t="s">
        <v>53</v>
      </c>
      <c r="B53" s="3600">
        <f ca="1">'预评函-3'!B4</f>
        <v>0</v>
      </c>
    </row>
    <row r="54" spans="1:2">
      <c r="A54" s="3596" t="s">
        <v>54</v>
      </c>
      <c r="B54" s="3606">
        <f>'预评函-3'!A5</f>
        <v>0</v>
      </c>
    </row>
    <row r="55" s="3587" customFormat="1" ht="15.75" spans="1:2">
      <c r="A55" s="3598" t="s">
        <v>55</v>
      </c>
      <c r="B55" s="3602">
        <f ca="1">'预评函-3'!B5</f>
        <v>0</v>
      </c>
    </row>
    <row r="56" ht="15.75" spans="1:2">
      <c r="A56" s="3607" t="s">
        <v>56</v>
      </c>
      <c r="B56" s="3600" t="str">
        <f>'预评函-2（1）'!B15</f>
        <v>3.房地产抵押价值</v>
      </c>
    </row>
    <row r="57" spans="1:2">
      <c r="A57" s="3607" t="s">
        <v>57</v>
      </c>
      <c r="B57" s="3600" t="str">
        <f>'预评函-2（1）'!B18</f>
        <v>——</v>
      </c>
    </row>
    <row r="58" s="3587" customFormat="1" ht="15.75" spans="1:2">
      <c r="A58" s="3608" t="s">
        <v>58</v>
      </c>
      <c r="B58" s="3601" t="str">
        <f>'预评函-2（1）'!B21</f>
        <v>——</v>
      </c>
    </row>
    <row r="59" ht="15.75" spans="1:2">
      <c r="A59" s="3609" t="s">
        <v>59</v>
      </c>
      <c r="B59" s="3597" t="str">
        <f>'预评函-2（1）'!B45</f>
        <v>单位：元、元/平方米（单位：人民币）</v>
      </c>
    </row>
    <row r="60" spans="1:2">
      <c r="A60" s="3607" t="s">
        <v>60</v>
      </c>
      <c r="B60" s="3600" t="str">
        <f>'预评函-2（2）'!D2</f>
        <v>出让国有建设用地使用权价值</v>
      </c>
    </row>
    <row r="61" s="3588" customFormat="1" spans="1:2">
      <c r="A61" s="3607" t="s">
        <v>61</v>
      </c>
      <c r="B61" s="3600" t="str">
        <f>'预评函-2（2）'!A14</f>
        <v>单位：平方米、元、元/平方米（币种：人民币）</v>
      </c>
    </row>
    <row r="62" ht="28.5" spans="1:2">
      <c r="A62" s="3607" t="s">
        <v>62</v>
      </c>
      <c r="B62" s="3600">
        <f ca="1">'预评函-2（1）'!D38</f>
        <v>42792</v>
      </c>
    </row>
    <row r="63" s="3588" customFormat="1" ht="28.5"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5.75" spans="1:2">
      <c r="A67" s="3608" t="s">
        <v>67</v>
      </c>
      <c r="B67" s="3601" t="str">
        <f>'预评函-2（2）'!A12</f>
        <v/>
      </c>
    </row>
    <row r="68" ht="15.75" spans="1:2">
      <c r="A68" s="3589" t="s">
        <v>68</v>
      </c>
      <c r="B68" s="3590" t="str">
        <f>'预评函-3'!A9</f>
        <v>XX</v>
      </c>
    </row>
    <row r="69" spans="1:1">
      <c r="A69" s="3596" t="s">
        <v>69</v>
      </c>
    </row>
    <row r="70"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260" customWidth="1"/>
    <col min="2" max="2" width="15" style="3260" customWidth="1"/>
    <col min="3" max="3" width="14.125" style="3260" customWidth="1"/>
    <col min="4" max="4" width="12.5" style="3260" customWidth="1"/>
    <col min="5" max="5" width="13.875" style="3260" customWidth="1"/>
    <col min="6" max="6" width="15" style="3260" customWidth="1"/>
    <col min="7" max="7" width="14.875" style="3260" customWidth="1"/>
    <col min="8" max="8" width="4.25"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ht="13.5" spans="1:17">
      <c r="A1" s="3263" t="s">
        <v>331</v>
      </c>
      <c r="B1" s="3264" t="str">
        <f>IF(B6="北京市","北京市",C6)&amp;IF(E12="房屋所有权证",B29,E29)&amp;D5&amp;"预评估"</f>
        <v>北京市预评估</v>
      </c>
      <c r="C1" s="3265"/>
      <c r="D1" s="3265"/>
      <c r="E1" s="3265"/>
      <c r="F1" s="3266" t="s">
        <v>332</v>
      </c>
      <c r="G1" s="3267"/>
      <c r="I1" s="3399" t="str">
        <f>IF(B6="北京市","北京市",C6)&amp;IF(E12="房屋所有权证",B29,E29)&amp;"房地产"</f>
        <v>北京市房地产</v>
      </c>
      <c r="J1" s="3400"/>
      <c r="K1" s="3401"/>
      <c r="L1" s="3401"/>
      <c r="M1" s="3401"/>
      <c r="N1" s="3400"/>
      <c r="O1" s="3400"/>
      <c r="P1" s="3400"/>
      <c r="Q1" s="3400"/>
    </row>
    <row r="2" ht="13.5" spans="1:8">
      <c r="A2" s="3268" t="s">
        <v>333</v>
      </c>
      <c r="B2" s="3269"/>
      <c r="C2" s="3270" t="s">
        <v>334</v>
      </c>
      <c r="D2" s="3269">
        <v>44873</v>
      </c>
      <c r="E2" s="3271"/>
      <c r="F2" s="3271"/>
      <c r="G2" s="3272"/>
      <c r="H2" s="3273"/>
    </row>
    <row r="3" ht="13.5" spans="1:8">
      <c r="A3" s="3274" t="s">
        <v>335</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336</v>
      </c>
      <c r="B4" s="3280" t="s">
        <v>337</v>
      </c>
      <c r="C4" s="3281" t="s">
        <v>338</v>
      </c>
      <c r="D4" s="3282"/>
      <c r="E4" s="3271"/>
      <c r="F4" s="3271"/>
      <c r="G4" s="3272"/>
    </row>
    <row r="5" spans="1:17">
      <c r="A5" s="3283" t="s">
        <v>339</v>
      </c>
      <c r="B5" s="3284" t="s">
        <v>120</v>
      </c>
      <c r="C5" s="3285" t="s">
        <v>340</v>
      </c>
      <c r="D5" s="3286"/>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5" spans="1:7">
      <c r="A7" s="3295" t="s">
        <v>345</v>
      </c>
      <c r="B7" s="3296" t="s">
        <v>346</v>
      </c>
      <c r="C7" s="2293" t="str">
        <f>IF(B7="自然人","姓名","名称")</f>
        <v>姓名</v>
      </c>
      <c r="D7" s="3297" t="s">
        <v>120</v>
      </c>
      <c r="E7" s="3278"/>
      <c r="F7" s="3278"/>
      <c r="G7" s="3279"/>
    </row>
    <row r="8" ht="13.5" spans="1:7">
      <c r="A8" s="3298" t="s">
        <v>347</v>
      </c>
      <c r="B8" s="3299" t="s">
        <v>348</v>
      </c>
      <c r="C8" s="3300"/>
      <c r="D8" s="3301"/>
      <c r="E8" s="3302" t="s">
        <v>349</v>
      </c>
      <c r="F8" s="3303" t="s">
        <v>350</v>
      </c>
      <c r="G8" s="3304" t="str">
        <f>C6</f>
        <v>XX</v>
      </c>
    </row>
    <row r="9" spans="1:7">
      <c r="A9" s="3298"/>
      <c r="B9" s="2314" t="s">
        <v>351</v>
      </c>
      <c r="C9" s="3284"/>
      <c r="D9" s="3305"/>
      <c r="E9" s="3306" t="s">
        <v>352</v>
      </c>
      <c r="F9" s="3307"/>
      <c r="G9" s="3308"/>
    </row>
    <row r="10" ht="13.5" spans="1:7">
      <c r="A10" s="3298"/>
      <c r="B10" s="2314" t="s">
        <v>353</v>
      </c>
      <c r="C10" s="3309"/>
      <c r="D10" s="3310"/>
      <c r="E10" s="3311" t="s">
        <v>354</v>
      </c>
      <c r="F10" s="3312"/>
      <c r="G10" s="3313"/>
    </row>
    <row r="11" ht="13.5" spans="1:7">
      <c r="A11" s="3298"/>
      <c r="B11" s="2270" t="s">
        <v>355</v>
      </c>
      <c r="C11" s="3314"/>
      <c r="D11" s="3315"/>
      <c r="E11" s="3293"/>
      <c r="F11" s="3293"/>
      <c r="G11" s="3294"/>
    </row>
    <row r="12" ht="13.5" spans="1:7">
      <c r="A12" s="3316" t="s">
        <v>356</v>
      </c>
      <c r="B12" s="3317" t="s">
        <v>357</v>
      </c>
      <c r="C12" s="3318">
        <v>59.11</v>
      </c>
      <c r="D12" s="3319" t="s">
        <v>358</v>
      </c>
      <c r="E12" s="3320"/>
      <c r="F12" s="3321"/>
      <c r="G12" s="3294"/>
    </row>
    <row r="13" ht="21" customHeight="1" spans="1:17">
      <c r="A13" s="3322"/>
      <c r="B13" s="3323" t="s">
        <v>359</v>
      </c>
      <c r="C13" s="3324"/>
      <c r="D13" s="3325" t="s">
        <v>358</v>
      </c>
      <c r="E13" s="3326"/>
      <c r="F13" s="3293"/>
      <c r="G13" s="3294"/>
      <c r="I13" s="3293" t="s">
        <v>360</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5" spans="1:17">
      <c r="A14" s="3327"/>
      <c r="B14" s="3319" t="s">
        <v>361</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5" spans="1:17">
      <c r="A15" s="3329"/>
      <c r="B15" s="3330" t="s">
        <v>362</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363</v>
      </c>
      <c r="B16" s="3332" t="s">
        <v>364</v>
      </c>
      <c r="C16" s="3333"/>
      <c r="D16" s="3322" t="s">
        <v>365</v>
      </c>
      <c r="E16" s="3334"/>
      <c r="F16" s="3335" t="str">
        <f>IF(AND(C16="是",E16="否"),"是否提供他项权证或相关说明","")</f>
        <v/>
      </c>
      <c r="G16" s="3334"/>
      <c r="J16" s="3273"/>
    </row>
    <row r="17" ht="13.5" customHeight="1" spans="1:10">
      <c r="A17" s="3336" t="s">
        <v>366</v>
      </c>
      <c r="B17" s="3337" t="s">
        <v>367</v>
      </c>
      <c r="C17" s="3338"/>
      <c r="D17" s="3339" t="s">
        <v>368</v>
      </c>
      <c r="E17" s="3340"/>
      <c r="F17" s="3341" t="s">
        <v>369</v>
      </c>
      <c r="G17" s="3342"/>
      <c r="J17" s="3273"/>
    </row>
    <row r="18" ht="24" spans="1:10">
      <c r="A18" s="3336"/>
      <c r="B18" s="3343"/>
      <c r="C18" s="3288"/>
      <c r="D18" s="3344" t="s">
        <v>370</v>
      </c>
      <c r="E18" s="3345"/>
      <c r="F18" s="3346"/>
      <c r="G18" s="3347"/>
      <c r="H18" s="3273"/>
      <c r="J18" s="3273"/>
    </row>
    <row r="19" ht="21.75" customHeight="1" spans="1:7">
      <c r="A19" s="3336"/>
      <c r="B19" s="3348"/>
      <c r="C19" s="3326"/>
      <c r="D19" s="3336"/>
      <c r="E19" s="3293"/>
      <c r="F19" s="3293"/>
      <c r="G19" s="3347"/>
    </row>
    <row r="20" spans="1:7">
      <c r="A20" s="3342" t="s">
        <v>371</v>
      </c>
      <c r="B20" s="3349" t="s">
        <v>372</v>
      </c>
      <c r="C20" s="3350"/>
      <c r="D20" s="3351" t="s">
        <v>372</v>
      </c>
      <c r="E20" s="3350"/>
      <c r="F20" s="3293"/>
      <c r="G20" s="3347"/>
    </row>
    <row r="21" spans="1:7">
      <c r="A21" s="3347"/>
      <c r="B21" s="3352" t="s">
        <v>373</v>
      </c>
      <c r="C21" s="3310"/>
      <c r="D21" s="3336" t="s">
        <v>373</v>
      </c>
      <c r="E21" s="3353"/>
      <c r="F21" s="3293"/>
      <c r="G21" s="3347"/>
    </row>
    <row r="22" spans="1:7">
      <c r="A22" s="3347"/>
      <c r="B22" s="3293" t="s">
        <v>374</v>
      </c>
      <c r="C22" s="3354"/>
      <c r="D22" s="3293" t="s">
        <v>374</v>
      </c>
      <c r="E22" s="3353"/>
      <c r="F22" s="3293"/>
      <c r="G22" s="3347"/>
    </row>
    <row r="23" s="3256" customFormat="1" ht="16.5" spans="1:66">
      <c r="A23" s="3355"/>
      <c r="B23" s="3356" t="s">
        <v>375</v>
      </c>
      <c r="C23" s="3324"/>
      <c r="D23" s="3356" t="s">
        <v>375</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376</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25" spans="1:11">
      <c r="A25" s="3361" t="s">
        <v>377</v>
      </c>
      <c r="B25" s="3293"/>
      <c r="C25" s="3293"/>
      <c r="D25" s="3293"/>
      <c r="E25" s="3293"/>
      <c r="F25" s="3293"/>
      <c r="G25" s="3355"/>
      <c r="K25" s="3261"/>
    </row>
    <row r="26" s="3258" customFormat="1" ht="13.5" spans="1:66">
      <c r="A26" s="3362"/>
      <c r="B26" s="3363" t="s">
        <v>378</v>
      </c>
      <c r="C26" s="3362"/>
      <c r="D26" s="3363"/>
      <c r="E26" s="3364" t="s">
        <v>379</v>
      </c>
      <c r="F26" s="3362"/>
      <c r="G26" s="3365" t="s">
        <v>380</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381</v>
      </c>
      <c r="B28" s="3370"/>
      <c r="C28" s="3371" t="s">
        <v>381</v>
      </c>
      <c r="D28" s="3372"/>
      <c r="E28" s="3370"/>
      <c r="F28" s="3369" t="s">
        <v>381</v>
      </c>
      <c r="G28" s="3370"/>
      <c r="K28" s="3261"/>
    </row>
    <row r="29" spans="1:11">
      <c r="A29" s="3373" t="s">
        <v>382</v>
      </c>
      <c r="B29" s="3374"/>
      <c r="C29" s="3375" t="s">
        <v>383</v>
      </c>
      <c r="D29" s="3376"/>
      <c r="E29" s="3374"/>
      <c r="F29" s="3373" t="s">
        <v>383</v>
      </c>
      <c r="G29" s="3374"/>
      <c r="K29" s="3261"/>
    </row>
    <row r="30" spans="1:11">
      <c r="A30" s="3373" t="s">
        <v>384</v>
      </c>
      <c r="B30" s="3374"/>
      <c r="C30" s="3375" t="s">
        <v>384</v>
      </c>
      <c r="D30" s="3376"/>
      <c r="E30" s="3374"/>
      <c r="F30" s="3373" t="s">
        <v>385</v>
      </c>
      <c r="G30" s="3374"/>
      <c r="K30" s="3261"/>
    </row>
    <row r="31" spans="1:7">
      <c r="A31" s="3373" t="s">
        <v>386</v>
      </c>
      <c r="B31" s="3374"/>
      <c r="C31" s="3377" t="s">
        <v>387</v>
      </c>
      <c r="D31" s="3293"/>
      <c r="E31" s="3378" t="str">
        <f>E32&amp;" "&amp;E33&amp;" "&amp;E34&amp;" "&amp;E35</f>
        <v>   </v>
      </c>
      <c r="F31" s="3373" t="s">
        <v>388</v>
      </c>
      <c r="G31" s="3374"/>
    </row>
    <row r="32" spans="1:7">
      <c r="A32" s="3373" t="s">
        <v>389</v>
      </c>
      <c r="B32" s="3374"/>
      <c r="C32" s="3379"/>
      <c r="D32" s="2314" t="s">
        <v>390</v>
      </c>
      <c r="E32" s="3374"/>
      <c r="F32" s="3373" t="s">
        <v>391</v>
      </c>
      <c r="G32" s="3374"/>
    </row>
    <row r="33" ht="24.75" spans="1:7">
      <c r="A33" s="3380" t="s">
        <v>392</v>
      </c>
      <c r="B33" s="3381"/>
      <c r="C33" s="3379"/>
      <c r="D33" s="2314" t="s">
        <v>393</v>
      </c>
      <c r="E33" s="3374"/>
      <c r="F33" s="3373" t="s">
        <v>394</v>
      </c>
      <c r="G33" s="3374"/>
    </row>
    <row r="34" spans="1:7">
      <c r="A34" s="3369" t="s">
        <v>395</v>
      </c>
      <c r="B34" s="3370"/>
      <c r="C34" s="3379"/>
      <c r="D34" s="2314" t="s">
        <v>396</v>
      </c>
      <c r="E34" s="3374"/>
      <c r="F34" s="3373" t="s">
        <v>397</v>
      </c>
      <c r="G34" s="3374"/>
    </row>
    <row r="35" ht="13.5" spans="1:7">
      <c r="A35" s="3373" t="s">
        <v>398</v>
      </c>
      <c r="B35" s="3374"/>
      <c r="C35" s="3382"/>
      <c r="D35" s="2314" t="s">
        <v>399</v>
      </c>
      <c r="E35" s="3374"/>
      <c r="F35" s="3380" t="s">
        <v>400</v>
      </c>
      <c r="G35" s="3383"/>
    </row>
    <row r="36" spans="1:7">
      <c r="A36" s="3373" t="s">
        <v>357</v>
      </c>
      <c r="B36" s="3374"/>
      <c r="C36" s="3375" t="s">
        <v>401</v>
      </c>
      <c r="D36" s="3376"/>
      <c r="E36" s="3374"/>
      <c r="F36" s="3372" t="s">
        <v>402</v>
      </c>
      <c r="G36" s="3370"/>
    </row>
    <row r="37" ht="13.5" spans="1:7">
      <c r="A37" s="3373" t="s">
        <v>403</v>
      </c>
      <c r="B37" s="3374"/>
      <c r="C37" s="3384" t="s">
        <v>404</v>
      </c>
      <c r="D37" s="3385"/>
      <c r="E37" s="3381"/>
      <c r="F37" s="3376" t="s">
        <v>405</v>
      </c>
      <c r="G37" s="3374"/>
    </row>
    <row r="38" ht="13.5" spans="1:7">
      <c r="A38" s="3373" t="s">
        <v>406</v>
      </c>
      <c r="B38" s="3374"/>
      <c r="C38" s="3369" t="s">
        <v>407</v>
      </c>
      <c r="D38" s="3319" t="s">
        <v>391</v>
      </c>
      <c r="E38" s="3370"/>
      <c r="F38" s="3380" t="s">
        <v>408</v>
      </c>
      <c r="G38" s="3381"/>
    </row>
    <row r="39" spans="1:7">
      <c r="A39" s="3373" t="s">
        <v>409</v>
      </c>
      <c r="B39" s="3374"/>
      <c r="C39" s="3373"/>
      <c r="D39" s="2314" t="s">
        <v>398</v>
      </c>
      <c r="E39" s="3374"/>
      <c r="F39" s="3369" t="s">
        <v>410</v>
      </c>
      <c r="G39" s="3370"/>
    </row>
    <row r="40" spans="1:7">
      <c r="A40" s="3373" t="s">
        <v>411</v>
      </c>
      <c r="B40" s="3374"/>
      <c r="C40" s="3373" t="s">
        <v>412</v>
      </c>
      <c r="D40" s="2314" t="s">
        <v>357</v>
      </c>
      <c r="E40" s="3374"/>
      <c r="F40" s="3373" t="s">
        <v>413</v>
      </c>
      <c r="G40" s="3374"/>
    </row>
    <row r="41" ht="24.75" customHeight="1" spans="1:7">
      <c r="A41" s="3380" t="s">
        <v>414</v>
      </c>
      <c r="B41" s="3381"/>
      <c r="C41" s="3380"/>
      <c r="D41" s="3325" t="s">
        <v>359</v>
      </c>
      <c r="E41" s="3381"/>
      <c r="F41" s="3380" t="s">
        <v>415</v>
      </c>
      <c r="G41" s="3381"/>
    </row>
    <row r="42" spans="1:7">
      <c r="A42" s="3386" t="s">
        <v>416</v>
      </c>
      <c r="B42" s="3387"/>
      <c r="C42" s="3388" t="s">
        <v>416</v>
      </c>
      <c r="D42" s="3389"/>
      <c r="E42" s="3387"/>
      <c r="F42" s="3369" t="s">
        <v>417</v>
      </c>
      <c r="G42" s="3387"/>
    </row>
    <row r="43" spans="1:7">
      <c r="A43" s="3298" t="s">
        <v>418</v>
      </c>
      <c r="B43" s="3390"/>
      <c r="C43" s="3336"/>
      <c r="D43" s="3352"/>
      <c r="E43" s="3390"/>
      <c r="F43" s="3298"/>
      <c r="G43" s="3390"/>
    </row>
    <row r="44" spans="1:7">
      <c r="A44" s="3298" t="s">
        <v>372</v>
      </c>
      <c r="B44" s="3391"/>
      <c r="C44" s="3336"/>
      <c r="D44" s="2281" t="s">
        <v>372</v>
      </c>
      <c r="E44" s="3391"/>
      <c r="F44" s="3298" t="s">
        <v>372</v>
      </c>
      <c r="G44" s="3391"/>
    </row>
    <row r="45" spans="1:7">
      <c r="A45" s="3298" t="s">
        <v>373</v>
      </c>
      <c r="B45" s="3391"/>
      <c r="C45" s="3336"/>
      <c r="D45" s="3352" t="s">
        <v>373</v>
      </c>
      <c r="E45" s="3391"/>
      <c r="F45" s="3298" t="s">
        <v>373</v>
      </c>
      <c r="G45" s="3391"/>
    </row>
    <row r="46" spans="1:7">
      <c r="A46" s="3298" t="s">
        <v>374</v>
      </c>
      <c r="B46" s="3391"/>
      <c r="C46" s="3336"/>
      <c r="D46" s="3352" t="s">
        <v>374</v>
      </c>
      <c r="E46" s="3391"/>
      <c r="F46" s="3298" t="s">
        <v>374</v>
      </c>
      <c r="G46" s="3391"/>
    </row>
    <row r="47" spans="1:7">
      <c r="A47" s="3298" t="s">
        <v>375</v>
      </c>
      <c r="B47" s="3391"/>
      <c r="C47" s="3336"/>
      <c r="D47" s="3352" t="s">
        <v>375</v>
      </c>
      <c r="E47" s="3391"/>
      <c r="F47" s="3298" t="s">
        <v>375</v>
      </c>
      <c r="G47" s="3391"/>
    </row>
    <row r="48" spans="1:7">
      <c r="A48" s="3298"/>
      <c r="B48" s="3391"/>
      <c r="C48" s="3336"/>
      <c r="D48" s="3352"/>
      <c r="E48" s="3391"/>
      <c r="F48" s="3298"/>
      <c r="G48" s="3391"/>
    </row>
    <row r="49" ht="13.5" spans="1:7">
      <c r="A49" s="3380" t="s">
        <v>419</v>
      </c>
      <c r="B49" s="3381"/>
      <c r="C49" s="3392" t="s">
        <v>419</v>
      </c>
      <c r="D49" s="2281"/>
      <c r="E49" s="3393"/>
      <c r="F49" s="3380" t="s">
        <v>420</v>
      </c>
      <c r="G49" s="3381"/>
    </row>
    <row r="50" spans="1:7">
      <c r="A50" s="3373" t="s">
        <v>421</v>
      </c>
      <c r="B50" s="3394"/>
      <c r="C50" s="3369" t="s">
        <v>422</v>
      </c>
      <c r="D50" s="3319"/>
      <c r="E50" s="3395"/>
      <c r="F50" s="3396"/>
      <c r="G50" s="3397"/>
    </row>
    <row r="51" ht="13.5" spans="1:7">
      <c r="A51" s="3373" t="s">
        <v>423</v>
      </c>
      <c r="B51" s="3394"/>
      <c r="C51" s="3380" t="s">
        <v>424</v>
      </c>
      <c r="D51" s="3325"/>
      <c r="E51" s="3381"/>
      <c r="F51" s="3293"/>
      <c r="G51" s="3294"/>
    </row>
    <row r="52" spans="1:7">
      <c r="A52" s="3373" t="s">
        <v>402</v>
      </c>
      <c r="B52" s="3374"/>
      <c r="C52" s="3293"/>
      <c r="D52" s="3293"/>
      <c r="E52" s="3293"/>
      <c r="F52" s="3293"/>
      <c r="G52" s="3294"/>
    </row>
    <row r="53" ht="24.75" spans="1:7">
      <c r="A53" s="3380" t="s">
        <v>425</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2" customWidth="1"/>
    <col min="2" max="2" width="10.625" style="3252" customWidth="1"/>
    <col min="3" max="3" width="15.75" style="3252" customWidth="1"/>
    <col min="4" max="7" width="9.5" style="3252" customWidth="1"/>
    <col min="8" max="13" width="9.125" style="3252" customWidth="1"/>
    <col min="14" max="16384" width="9" style="3252"/>
  </cols>
  <sheetData>
    <row r="1" ht="14.25" spans="1:13">
      <c r="A1" s="3253" t="s">
        <v>426</v>
      </c>
      <c r="B1" s="3253" t="s">
        <v>427</v>
      </c>
      <c r="C1" s="3253" t="s">
        <v>428</v>
      </c>
      <c r="D1" s="3254" t="s">
        <v>429</v>
      </c>
      <c r="E1" s="3254" t="s">
        <v>430</v>
      </c>
      <c r="F1" s="3254"/>
      <c r="G1" s="3254"/>
      <c r="H1" s="3254"/>
      <c r="I1" s="3254"/>
      <c r="J1" s="3254"/>
      <c r="K1" s="3254"/>
      <c r="L1" s="3254"/>
      <c r="M1" s="3254"/>
    </row>
    <row r="2" ht="27" customHeight="1" spans="1:13">
      <c r="A2" s="3253"/>
      <c r="B2" s="3253"/>
      <c r="C2" s="3253"/>
      <c r="D2" s="3254"/>
      <c r="E2" s="3254" t="s">
        <v>431</v>
      </c>
      <c r="F2" s="3254" t="s">
        <v>432</v>
      </c>
      <c r="G2" s="3254"/>
      <c r="H2" s="3254"/>
      <c r="I2" s="3254"/>
      <c r="J2" s="3254" t="s">
        <v>433</v>
      </c>
      <c r="K2" s="3254"/>
      <c r="L2" s="3254"/>
      <c r="M2" s="3254"/>
    </row>
    <row r="3" ht="28.5" spans="1:13">
      <c r="A3" s="3253"/>
      <c r="B3" s="3253"/>
      <c r="C3" s="3253"/>
      <c r="D3" s="3254"/>
      <c r="E3" s="3254"/>
      <c r="F3" s="3255" t="s">
        <v>434</v>
      </c>
      <c r="G3" s="3255" t="s">
        <v>435</v>
      </c>
      <c r="H3" s="3255" t="s">
        <v>436</v>
      </c>
      <c r="I3" s="3255" t="s">
        <v>437</v>
      </c>
      <c r="J3" s="3255" t="s">
        <v>434</v>
      </c>
      <c r="K3" s="3255" t="s">
        <v>438</v>
      </c>
      <c r="L3" s="3255" t="s">
        <v>439</v>
      </c>
      <c r="M3" s="3255" t="s">
        <v>440</v>
      </c>
    </row>
    <row r="4" ht="42.75" spans="1:13">
      <c r="A4" s="3255" t="s">
        <v>441</v>
      </c>
      <c r="B4" s="3255" t="s">
        <v>442</v>
      </c>
      <c r="C4" s="3255" t="s">
        <v>443</v>
      </c>
      <c r="D4" s="3254">
        <v>3807.94</v>
      </c>
      <c r="E4" s="3254">
        <v>20666.91</v>
      </c>
      <c r="F4" s="3254">
        <v>19673</v>
      </c>
      <c r="G4" s="3254">
        <v>0</v>
      </c>
      <c r="H4" s="3254">
        <v>19673</v>
      </c>
      <c r="I4" s="3254">
        <v>0</v>
      </c>
      <c r="J4" s="3254">
        <v>993.91</v>
      </c>
      <c r="K4" s="3254">
        <v>0</v>
      </c>
      <c r="L4" s="3254">
        <v>0</v>
      </c>
      <c r="M4" s="3254">
        <v>993.91</v>
      </c>
    </row>
    <row r="5" ht="42.75" spans="1:13">
      <c r="A5" s="3255" t="s">
        <v>441</v>
      </c>
      <c r="B5" s="3255" t="s">
        <v>444</v>
      </c>
      <c r="C5" s="3255" t="s">
        <v>445</v>
      </c>
      <c r="D5" s="3254">
        <v>3667.86</v>
      </c>
      <c r="E5" s="3254">
        <v>19906.61</v>
      </c>
      <c r="F5" s="3254">
        <v>18792.87</v>
      </c>
      <c r="G5" s="3254">
        <v>18792.87</v>
      </c>
      <c r="H5" s="3254">
        <v>0</v>
      </c>
      <c r="I5" s="3254">
        <v>0</v>
      </c>
      <c r="J5" s="3254">
        <v>1113.74</v>
      </c>
      <c r="K5" s="3254">
        <v>55.59</v>
      </c>
      <c r="L5" s="3254">
        <v>0</v>
      </c>
      <c r="M5" s="3254">
        <v>1058.15</v>
      </c>
    </row>
    <row r="6" ht="42.75" spans="1:13">
      <c r="A6" s="3255" t="s">
        <v>441</v>
      </c>
      <c r="B6" s="3255" t="s">
        <v>444</v>
      </c>
      <c r="C6" s="3255" t="s">
        <v>446</v>
      </c>
      <c r="D6" s="3254">
        <v>2067.52</v>
      </c>
      <c r="E6" s="3254">
        <v>11221.06</v>
      </c>
      <c r="F6" s="3254">
        <v>9934.13</v>
      </c>
      <c r="G6" s="3254">
        <v>9934.13</v>
      </c>
      <c r="H6" s="3254">
        <v>0</v>
      </c>
      <c r="I6" s="3254">
        <v>0</v>
      </c>
      <c r="J6" s="3254">
        <v>1286.93</v>
      </c>
      <c r="K6" s="3254">
        <v>0</v>
      </c>
      <c r="L6" s="3254">
        <v>0</v>
      </c>
      <c r="M6" s="3254">
        <v>1286.93</v>
      </c>
    </row>
    <row r="7" ht="42.75" spans="1:13">
      <c r="A7" s="3255" t="s">
        <v>441</v>
      </c>
      <c r="B7" s="3255" t="s">
        <v>444</v>
      </c>
      <c r="C7" s="3255" t="s">
        <v>447</v>
      </c>
      <c r="D7" s="3254">
        <v>8.18</v>
      </c>
      <c r="E7" s="3254">
        <v>44.41</v>
      </c>
      <c r="F7" s="3254">
        <v>0</v>
      </c>
      <c r="G7" s="3254">
        <v>0</v>
      </c>
      <c r="H7" s="3254">
        <v>0</v>
      </c>
      <c r="I7" s="3254">
        <v>0</v>
      </c>
      <c r="J7" s="3254">
        <v>44.41</v>
      </c>
      <c r="K7" s="3254">
        <v>44.41</v>
      </c>
      <c r="L7" s="3254">
        <v>0</v>
      </c>
      <c r="M7" s="3254">
        <v>0</v>
      </c>
    </row>
    <row r="8" ht="42.75" spans="1:13">
      <c r="A8" s="3255" t="s">
        <v>441</v>
      </c>
      <c r="B8" s="3255" t="s">
        <v>444</v>
      </c>
      <c r="C8" s="3255" t="s">
        <v>437</v>
      </c>
      <c r="D8" s="3254">
        <v>2455.53</v>
      </c>
      <c r="E8" s="3254">
        <v>13326.96</v>
      </c>
      <c r="F8" s="3254">
        <v>9231.05</v>
      </c>
      <c r="G8" s="3254">
        <v>0</v>
      </c>
      <c r="H8" s="3254">
        <v>0</v>
      </c>
      <c r="I8" s="3254">
        <v>9231.05</v>
      </c>
      <c r="J8" s="3254">
        <v>4095.91</v>
      </c>
      <c r="K8" s="3254">
        <v>0</v>
      </c>
      <c r="L8" s="3254">
        <v>3320.79</v>
      </c>
      <c r="M8" s="3254">
        <v>775.12</v>
      </c>
    </row>
    <row r="9" ht="27" customHeight="1" spans="1:13">
      <c r="A9" s="3254" t="s">
        <v>448</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E15" activePane="bottomRight" state="frozen"/>
      <selection/>
      <selection pane="topRight"/>
      <selection pane="bottomLeft"/>
      <selection pane="bottomRight" activeCell="B50" sqref="B50"/>
    </sheetView>
  </sheetViews>
  <sheetFormatPr defaultColWidth="13.75" defaultRowHeight="12.75"/>
  <cols>
    <col min="1" max="1" width="20.875" style="3143" customWidth="1"/>
    <col min="2" max="2" width="16.75" style="3066" customWidth="1"/>
    <col min="3" max="3" width="18.25" style="3067" customWidth="1"/>
    <col min="4" max="4" width="34.125" style="3144" customWidth="1"/>
    <col min="5" max="5" width="17.625" style="3144" customWidth="1"/>
    <col min="6" max="6" width="15.5" style="3145" customWidth="1"/>
    <col min="7" max="8" width="9.125" style="3146" customWidth="1"/>
    <col min="9" max="9" width="15" style="3067" customWidth="1"/>
    <col min="10" max="14" width="8.875" style="3067" customWidth="1"/>
    <col min="15" max="16" width="12.375" style="3067" customWidth="1"/>
    <col min="17" max="17" width="8.625" style="3067" customWidth="1"/>
    <col min="18" max="18" width="12.5" style="3067" customWidth="1"/>
    <col min="19" max="19" width="8.5" style="3067" customWidth="1"/>
    <col min="20" max="21" width="10.875" style="3067" customWidth="1"/>
    <col min="22" max="23" width="12.5" style="3067" customWidth="1"/>
    <col min="24" max="24" width="12.125" style="3067" customWidth="1"/>
    <col min="25" max="25" width="7.5" style="3067" customWidth="1"/>
    <col min="26" max="26" width="6.375" style="3067" customWidth="1"/>
    <col min="27" max="32" width="6.75" style="3067" customWidth="1"/>
    <col min="33" max="33" width="6.5" style="3067" customWidth="1"/>
    <col min="34" max="36" width="7.25" style="3067" customWidth="1"/>
    <col min="37" max="41" width="8" style="3067" customWidth="1"/>
    <col min="42" max="16384" width="13.75" style="3066"/>
  </cols>
  <sheetData>
    <row r="1" ht="19.5" spans="1:5">
      <c r="A1" s="3147" t="s">
        <v>449</v>
      </c>
      <c r="B1" s="2423"/>
      <c r="D1" s="3145"/>
      <c r="E1" s="3145"/>
    </row>
    <row r="2" s="3070" customFormat="1" ht="15.75" spans="1:41">
      <c r="A2" s="3148" t="s">
        <v>450</v>
      </c>
      <c r="B2" s="3149">
        <f>项目基本情况!D2</f>
        <v>44873</v>
      </c>
      <c r="C2" s="1080"/>
      <c r="D2" s="3150" t="s">
        <v>451</v>
      </c>
      <c r="E2" s="3151"/>
      <c r="F2" s="3152"/>
      <c r="G2" s="3153"/>
      <c r="H2" s="3153"/>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0" customFormat="1" ht="15" customHeight="1" spans="1:41">
      <c r="A3" s="3154" t="s">
        <v>452</v>
      </c>
      <c r="B3" s="3155" t="s">
        <v>453</v>
      </c>
      <c r="C3" s="1080"/>
      <c r="D3" s="3156"/>
      <c r="E3" s="3157" t="s">
        <v>454</v>
      </c>
      <c r="F3" s="3152"/>
      <c r="G3" s="3153"/>
      <c r="H3" s="3153"/>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0" customFormat="1" ht="15" spans="1:41">
      <c r="A4" s="3158" t="s">
        <v>455</v>
      </c>
      <c r="B4" s="3155" t="s">
        <v>456</v>
      </c>
      <c r="C4" s="1080"/>
      <c r="D4" s="3156"/>
      <c r="E4" s="3157"/>
      <c r="F4" s="3152"/>
      <c r="G4" s="3153"/>
      <c r="H4" s="3153"/>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0" customFormat="1" ht="15" spans="1:41">
      <c r="A5" s="3154" t="s">
        <v>457</v>
      </c>
      <c r="B5" s="3159">
        <f>项目基本情况!C12</f>
        <v>59.11</v>
      </c>
      <c r="C5" s="1080"/>
      <c r="D5" s="3160" t="s">
        <v>458</v>
      </c>
      <c r="E5" s="3161"/>
      <c r="F5" s="3152"/>
      <c r="G5" s="3153"/>
      <c r="H5" s="3153"/>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0" customFormat="1" ht="15" spans="1:41">
      <c r="A6" s="3158" t="s">
        <v>459</v>
      </c>
      <c r="B6" s="3162">
        <f>项目基本情况!C13</f>
        <v>0</v>
      </c>
      <c r="C6" s="1080"/>
      <c r="D6" s="3160" t="s">
        <v>460</v>
      </c>
      <c r="E6" s="3161"/>
      <c r="F6" s="3152"/>
      <c r="G6" s="3153"/>
      <c r="H6" s="3153"/>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3"/>
      <c r="D7" s="3164"/>
      <c r="E7" s="3164"/>
      <c r="F7" s="3153"/>
      <c r="G7" s="3153"/>
      <c r="H7" s="3153"/>
    </row>
    <row r="8" s="1080" customFormat="1" ht="15" hidden="1" spans="1:8">
      <c r="A8" s="3163"/>
      <c r="D8" s="3164"/>
      <c r="E8" s="3164"/>
      <c r="F8" s="3153"/>
      <c r="G8" s="3153"/>
      <c r="H8" s="3153"/>
    </row>
    <row r="9" s="1080" customFormat="1" ht="15" hidden="1" spans="3:8">
      <c r="C9" s="3165"/>
      <c r="D9" s="3153"/>
      <c r="E9" s="3153"/>
      <c r="F9" s="3153"/>
      <c r="G9" s="3153"/>
      <c r="H9" s="3153"/>
    </row>
    <row r="10" s="3070" customFormat="1" ht="15" spans="1:41">
      <c r="A10" s="3166" t="s">
        <v>202</v>
      </c>
      <c r="B10" s="3167" t="s">
        <v>461</v>
      </c>
      <c r="C10" s="1080"/>
      <c r="D10" s="3148" t="s">
        <v>462</v>
      </c>
      <c r="E10" s="3168" t="s">
        <v>463</v>
      </c>
      <c r="F10" s="3169"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1" customFormat="1" ht="14.25" spans="1:41">
      <c r="A11" s="3170" t="s">
        <v>465</v>
      </c>
      <c r="B11" s="3171">
        <v>70</v>
      </c>
      <c r="C11" s="1080"/>
      <c r="D11" s="3172" t="s">
        <v>466</v>
      </c>
      <c r="E11" s="3173">
        <v>160</v>
      </c>
      <c r="F11" s="3174" t="s">
        <v>467</v>
      </c>
      <c r="G11" s="1080"/>
      <c r="H11" s="1080"/>
      <c r="I11" s="1080"/>
      <c r="J11" s="1080"/>
      <c r="K11" s="1080"/>
      <c r="L11" s="3072"/>
      <c r="M11" s="3072"/>
      <c r="N11" s="3072"/>
      <c r="O11" s="3072"/>
      <c r="P11" s="3072"/>
      <c r="Q11" s="3072"/>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0" customFormat="1" ht="15" spans="1:41">
      <c r="A12" s="3175" t="s">
        <v>468</v>
      </c>
      <c r="B12" s="3176"/>
      <c r="C12" s="1080"/>
      <c r="D12" s="3175" t="s">
        <v>469</v>
      </c>
      <c r="E12" s="3177">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0" customFormat="1" ht="15" spans="1:41">
      <c r="A13" s="3178" t="s">
        <v>470</v>
      </c>
      <c r="B13" s="3179">
        <f>IF(B12="",B11-(YEAR($B$2)-B27+B24),ROUNDDOWN(MIN((B12-$B$2)/365,B11),2))</f>
        <v>33</v>
      </c>
      <c r="C13" s="3180"/>
      <c r="D13" s="3181" t="s">
        <v>471</v>
      </c>
      <c r="E13" s="3182"/>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0" customFormat="1" ht="14.25" spans="1:41">
      <c r="A14" s="3175" t="s">
        <v>473</v>
      </c>
      <c r="B14" s="3183">
        <f>IF(ISERROR(ROUND(POWER(1+B15,B11-B13)*(POWER(1+B15,B13)-1)/(POWER(1+B15,B11)-1),3)),0,ROUND(POWER(1+B15,B11-B13)*(POWER(1+B15,B13)-1)/(POWER(1+B15,B11)-1),3))</f>
        <v>0.746</v>
      </c>
      <c r="C14" s="1080"/>
      <c r="D14" s="3184" t="s">
        <v>474</v>
      </c>
      <c r="E14" s="3185">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0" customFormat="1" ht="14.25" spans="1:41">
      <c r="A15" s="3175" t="s">
        <v>475</v>
      </c>
      <c r="B15" s="3186">
        <v>0.035</v>
      </c>
      <c r="C15" s="2608" t="s">
        <v>476</v>
      </c>
      <c r="D15" s="3175" t="s">
        <v>477</v>
      </c>
      <c r="E15" s="3187">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0" customFormat="1" ht="15" spans="1:41">
      <c r="A16" s="3175" t="s">
        <v>478</v>
      </c>
      <c r="B16" s="3186">
        <v>0.04</v>
      </c>
      <c r="C16" s="2608" t="s">
        <v>479</v>
      </c>
      <c r="D16" s="3188" t="s">
        <v>480</v>
      </c>
      <c r="E16" s="3189">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0" customFormat="1" ht="15" spans="1:41">
      <c r="A17" s="3188" t="s">
        <v>481</v>
      </c>
      <c r="B17" s="3190">
        <v>0.07</v>
      </c>
      <c r="C17" s="2608" t="s">
        <v>482</v>
      </c>
      <c r="D17" s="3166" t="s">
        <v>483</v>
      </c>
      <c r="E17" s="3191">
        <v>2500</v>
      </c>
      <c r="F17" s="2423"/>
      <c r="G17" s="1080"/>
      <c r="H17" s="1080"/>
      <c r="I17" s="1080"/>
      <c r="J17" s="1080">
        <v>1987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0" customFormat="1" ht="15" spans="1:41">
      <c r="A18" s="3192" t="s">
        <v>484</v>
      </c>
      <c r="B18" s="3193">
        <v>0.075</v>
      </c>
      <c r="C18" s="1080"/>
      <c r="D18" s="3194" t="str">
        <f>IF(B26=0,"建安总额","在建建安")</f>
        <v>建安总额</v>
      </c>
      <c r="E18" s="3195">
        <f>ROUND(B5*E17*IF(B26=0,1,E20),0)</f>
        <v>147775</v>
      </c>
      <c r="F18" s="3196">
        <f>ROUND(E5*E17*IF(B26=0,1,E20),0)</f>
        <v>0</v>
      </c>
      <c r="G18" s="1080"/>
      <c r="H18" s="1080"/>
      <c r="I18" s="1080"/>
      <c r="J18" s="1080">
        <f>J16-J17</f>
        <v>35</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0" customFormat="1" ht="15" spans="1:41">
      <c r="A19" s="2664"/>
      <c r="B19" s="2664"/>
      <c r="C19" s="1080"/>
      <c r="D19" s="3194" t="str">
        <f>IF(B26=0,"——","续建建安")</f>
        <v>——</v>
      </c>
      <c r="E19" s="3195" t="str">
        <f>IF(B26=0,"——",ROUND(B5*E17*(1-E20),0))</f>
        <v>——</v>
      </c>
      <c r="F19" s="3196"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0" customFormat="1" ht="15" spans="1:41">
      <c r="A20" s="3197" t="s">
        <v>485</v>
      </c>
      <c r="B20" s="2664"/>
      <c r="C20" s="1080"/>
      <c r="D20" s="3198" t="str">
        <f>IF(B26=0,"成新率","工程进度")</f>
        <v>成新率</v>
      </c>
      <c r="E20" s="3199">
        <v>0.6</v>
      </c>
      <c r="F20" s="2423"/>
      <c r="G20" s="1080"/>
      <c r="H20" s="1080"/>
      <c r="I20" s="1080"/>
      <c r="J20" s="1080">
        <f>J19-J18</f>
        <v>25</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0" customFormat="1" ht="14.25" spans="1:41">
      <c r="A21" s="3200" t="s">
        <v>486</v>
      </c>
      <c r="B21" s="3201">
        <v>0</v>
      </c>
      <c r="C21" s="1080"/>
      <c r="D21" s="3175" t="s">
        <v>487</v>
      </c>
      <c r="E21" s="3202">
        <v>0.03</v>
      </c>
      <c r="F21" s="3203" t="s">
        <v>488</v>
      </c>
      <c r="G21" s="1080"/>
      <c r="H21" s="1080"/>
      <c r="I21" s="1080"/>
      <c r="J21" s="1080">
        <f>J20/J19</f>
        <v>0.416666666666667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0" customFormat="1" ht="14.25" spans="1:41">
      <c r="A22" s="3204" t="s">
        <v>489</v>
      </c>
      <c r="B22" s="3205">
        <v>2</v>
      </c>
      <c r="C22" s="1080"/>
      <c r="D22" s="3175" t="s">
        <v>490</v>
      </c>
      <c r="E22" s="3206">
        <v>0.05</v>
      </c>
      <c r="F22" s="3203" t="s">
        <v>491</v>
      </c>
      <c r="G22" s="1080"/>
      <c r="H22" s="1080"/>
      <c r="I22" s="1080"/>
      <c r="J22" s="1080">
        <f>J21+K21</f>
        <v>1.21666666666667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0" customFormat="1" ht="14.25" spans="1:41">
      <c r="A23" s="3207" t="s">
        <v>492</v>
      </c>
      <c r="B23" s="3208">
        <v>2</v>
      </c>
      <c r="C23" s="1080"/>
      <c r="D23" s="3175" t="s">
        <v>493</v>
      </c>
      <c r="E23" s="3177">
        <v>200</v>
      </c>
      <c r="F23" s="3203"/>
      <c r="G23" s="1080"/>
      <c r="H23" s="1080"/>
      <c r="I23" s="1080"/>
      <c r="J23" s="1080">
        <f>J22/2</f>
        <v>0.608333333333333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0" customFormat="1" ht="15" spans="1:41">
      <c r="A24" s="3209" t="s">
        <v>494</v>
      </c>
      <c r="B24" s="3210">
        <f>B21+B22</f>
        <v>2</v>
      </c>
      <c r="C24" s="1080"/>
      <c r="D24" s="3188" t="s">
        <v>495</v>
      </c>
      <c r="E24" s="3211">
        <v>0.015</v>
      </c>
      <c r="F24" s="3203"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2" t="s">
        <v>497</v>
      </c>
      <c r="B25" s="3213">
        <f>B21+B23</f>
        <v>2</v>
      </c>
      <c r="C25" s="1080"/>
      <c r="D25" s="3172" t="s">
        <v>498</v>
      </c>
      <c r="E25" s="3202">
        <v>0.01</v>
      </c>
      <c r="F25" s="3203" t="s">
        <v>499</v>
      </c>
      <c r="I25" s="3146"/>
    </row>
    <row r="26" ht="15" spans="1:14">
      <c r="A26" s="3209" t="s">
        <v>500</v>
      </c>
      <c r="B26" s="3214">
        <f>B22-B23</f>
        <v>0</v>
      </c>
      <c r="D26" s="3175" t="s">
        <v>501</v>
      </c>
      <c r="E26" s="3206">
        <v>0.01</v>
      </c>
      <c r="F26" s="3203" t="s">
        <v>499</v>
      </c>
      <c r="G26" s="3153"/>
      <c r="H26" s="3153"/>
      <c r="I26" s="1080"/>
      <c r="J26" s="1080"/>
      <c r="K26" s="1080"/>
      <c r="L26" s="1080"/>
      <c r="M26" s="1080"/>
      <c r="N26" s="1080"/>
    </row>
    <row r="27" ht="15" spans="1:14">
      <c r="A27" s="3215" t="s">
        <v>502</v>
      </c>
      <c r="B27" s="3216">
        <v>1987</v>
      </c>
      <c r="C27" s="1080"/>
      <c r="D27" s="3217" t="s">
        <v>503</v>
      </c>
      <c r="E27" s="3218">
        <v>0.0475</v>
      </c>
      <c r="F27" s="3219">
        <v>0.005</v>
      </c>
      <c r="G27" s="3153"/>
      <c r="H27" s="3153"/>
      <c r="K27" s="1080"/>
      <c r="N27" s="1080"/>
    </row>
    <row r="28" ht="15" spans="1:14">
      <c r="A28" s="2423"/>
      <c r="B28" s="2423"/>
      <c r="D28" s="3181" t="s">
        <v>504</v>
      </c>
      <c r="E28" s="3220">
        <v>0.15</v>
      </c>
      <c r="G28" s="3153"/>
      <c r="H28" s="3153"/>
      <c r="K28" s="1080"/>
      <c r="N28" s="1080"/>
    </row>
    <row r="29" ht="14.25" spans="1:14">
      <c r="A29" s="3221" t="s">
        <v>505</v>
      </c>
      <c r="B29" s="3222" t="s">
        <v>506</v>
      </c>
      <c r="D29" s="3184" t="s">
        <v>507</v>
      </c>
      <c r="E29" s="3223">
        <f>E30+E31</f>
        <v>0.056</v>
      </c>
      <c r="F29" s="923"/>
      <c r="G29" s="3153"/>
      <c r="H29" s="3153"/>
      <c r="K29" s="1080"/>
      <c r="N29" s="1080"/>
    </row>
    <row r="30" ht="14.25" spans="1:14">
      <c r="A30" s="3175" t="str">
        <f>IF(B29="租赁期内按合同租金","合同租金","市场租金")</f>
        <v>市场租金</v>
      </c>
      <c r="B30" s="3224">
        <v>70</v>
      </c>
      <c r="D30" s="3188" t="s">
        <v>508</v>
      </c>
      <c r="E30" s="3225">
        <v>0.05</v>
      </c>
      <c r="F30" s="3226">
        <f>IF(B2&lt;DATE(2016,5,1),0,E30)</f>
        <v>0.05</v>
      </c>
      <c r="G30" s="3153"/>
      <c r="H30" s="3153"/>
      <c r="K30" s="1080"/>
      <c r="N30" s="1080"/>
    </row>
    <row r="31" ht="14.25" spans="1:14">
      <c r="A31" s="3175" t="s">
        <v>509</v>
      </c>
      <c r="B31" s="3227">
        <f ca="1">存贷款利率!I1</f>
        <v>0.015</v>
      </c>
      <c r="D31" s="3188" t="s">
        <v>510</v>
      </c>
      <c r="E31" s="3228">
        <f>E30*(E32+E33+E34)+E35</f>
        <v>0.006</v>
      </c>
      <c r="F31" s="923"/>
      <c r="G31" s="3153"/>
      <c r="H31" s="3153"/>
      <c r="K31" s="1080"/>
      <c r="N31" s="1080"/>
    </row>
    <row r="32" ht="14.25" spans="1:14">
      <c r="A32" s="3175" t="s">
        <v>511</v>
      </c>
      <c r="B32" s="3186">
        <v>0.03</v>
      </c>
      <c r="D32" s="3188" t="s">
        <v>512</v>
      </c>
      <c r="E32" s="3229">
        <v>0.07</v>
      </c>
      <c r="F32" s="3203" t="s">
        <v>513</v>
      </c>
      <c r="G32" s="3153"/>
      <c r="H32" s="3153"/>
      <c r="K32" s="1080"/>
      <c r="L32" s="1080"/>
      <c r="M32" s="1080"/>
      <c r="N32" s="1080"/>
    </row>
    <row r="33" ht="14.25" spans="1:14">
      <c r="A33" s="3175" t="s">
        <v>514</v>
      </c>
      <c r="B33" s="3186">
        <v>0.08</v>
      </c>
      <c r="D33" s="3188" t="s">
        <v>515</v>
      </c>
      <c r="E33" s="3225">
        <v>0.03</v>
      </c>
      <c r="F33" s="3230" t="s">
        <v>516</v>
      </c>
      <c r="G33" s="3153"/>
      <c r="H33" s="3153"/>
      <c r="K33" s="1080"/>
      <c r="L33" s="1080"/>
      <c r="M33" s="1080"/>
      <c r="N33" s="1080"/>
    </row>
    <row r="34" s="3067" customFormat="1" ht="14.25" spans="1:14">
      <c r="A34" s="3175" t="s">
        <v>517</v>
      </c>
      <c r="B34" s="3231">
        <f>收益法!J54</f>
        <v>33</v>
      </c>
      <c r="D34" s="3188" t="s">
        <v>518</v>
      </c>
      <c r="E34" s="3225">
        <v>0.02</v>
      </c>
      <c r="F34" s="3230" t="s">
        <v>519</v>
      </c>
      <c r="G34" s="3153"/>
      <c r="H34" s="3153"/>
      <c r="I34" s="1080"/>
      <c r="J34" s="1080"/>
      <c r="K34" s="1080"/>
      <c r="L34" s="1080"/>
      <c r="M34" s="1080"/>
      <c r="N34" s="1080"/>
    </row>
    <row r="35" s="3067" customFormat="1" ht="15" spans="1:14">
      <c r="A35" s="3188" t="str">
        <f>IF(B29="租赁期内按合同租金","剩余租赁期","——")</f>
        <v>——</v>
      </c>
      <c r="B35" s="3232"/>
      <c r="D35" s="3181" t="s">
        <v>520</v>
      </c>
      <c r="E35" s="3233"/>
      <c r="F35" s="3174" t="s">
        <v>467</v>
      </c>
      <c r="G35" s="3153"/>
      <c r="H35" s="3153"/>
      <c r="I35" s="1080"/>
      <c r="J35" s="1080"/>
      <c r="K35" s="1080"/>
      <c r="L35" s="1080"/>
      <c r="M35" s="1080"/>
      <c r="N35" s="1080"/>
    </row>
    <row r="36" s="3067" customFormat="1" ht="14.25" spans="1:14">
      <c r="A36" s="3234" t="s">
        <v>521</v>
      </c>
      <c r="B36" s="3235"/>
      <c r="D36" s="3236" t="s">
        <v>522</v>
      </c>
      <c r="E36" s="3237">
        <v>0.03</v>
      </c>
      <c r="F36" s="2664" t="s">
        <v>523</v>
      </c>
      <c r="G36" s="3153"/>
      <c r="H36" s="3153"/>
      <c r="I36" s="1080"/>
      <c r="J36" s="1080"/>
      <c r="K36" s="1080"/>
      <c r="L36" s="1080"/>
      <c r="M36" s="1080"/>
      <c r="N36" s="1080"/>
    </row>
    <row r="37" s="3067" customFormat="1" ht="15" spans="1:14">
      <c r="A37" s="3184" t="str">
        <f>IF(B29="租赁期内按合同租金","租金","——")</f>
        <v>——</v>
      </c>
      <c r="B37" s="3238"/>
      <c r="D37" s="3188" t="s">
        <v>524</v>
      </c>
      <c r="E37" s="3225">
        <v>0.0005</v>
      </c>
      <c r="F37" s="2664" t="s">
        <v>525</v>
      </c>
      <c r="G37" s="3153"/>
      <c r="H37" s="3153"/>
      <c r="I37" s="1080"/>
      <c r="J37" s="1080"/>
      <c r="K37" s="1080"/>
      <c r="L37" s="1080"/>
      <c r="M37" s="1080"/>
      <c r="N37" s="1080"/>
    </row>
    <row r="38" s="3067" customFormat="1" ht="14.25" spans="1:14">
      <c r="A38" s="3175" t="str">
        <f>IF(B29="租赁期内按合同租金","年租金增长率","——")</f>
        <v>——</v>
      </c>
      <c r="B38" s="3186"/>
      <c r="D38" s="3239" t="s">
        <v>526</v>
      </c>
      <c r="E38" s="3240">
        <v>0.012</v>
      </c>
      <c r="F38" s="2664"/>
      <c r="G38" s="3146"/>
      <c r="H38" s="3146"/>
      <c r="I38" s="3153"/>
      <c r="J38" s="1080"/>
      <c r="K38" s="1080"/>
      <c r="L38" s="1080"/>
      <c r="M38" s="1080"/>
      <c r="N38" s="1080"/>
    </row>
    <row r="39" s="3067" customFormat="1" ht="15" spans="1:14">
      <c r="A39" s="3175" t="str">
        <f>IF(B29="租赁期内按合同租金","空置率","——")</f>
        <v>——</v>
      </c>
      <c r="B39" s="3186"/>
      <c r="D39" s="3181" t="s">
        <v>527</v>
      </c>
      <c r="E39" s="3241">
        <v>0.12</v>
      </c>
      <c r="F39" s="2664"/>
      <c r="G39" s="3153"/>
      <c r="H39" s="3153"/>
      <c r="I39" s="1080"/>
      <c r="J39" s="1080"/>
      <c r="K39" s="1080"/>
      <c r="L39" s="1080"/>
      <c r="M39" s="1080"/>
      <c r="N39" s="1080"/>
    </row>
    <row r="40" ht="14.25" spans="1:14">
      <c r="A40" s="3175" t="str">
        <f>IF(B29="租赁期内按合同租金","成新率","——")</f>
        <v>——</v>
      </c>
      <c r="B40" s="3186"/>
      <c r="D40" s="3239" t="s">
        <v>528</v>
      </c>
      <c r="E40" s="3242">
        <f>SUMIF(D42:D51,E41,E42:E51)</f>
        <v>0</v>
      </c>
      <c r="F40" s="2664"/>
      <c r="G40" s="3153"/>
      <c r="H40" s="3153"/>
      <c r="I40" s="1080"/>
      <c r="J40" s="1080"/>
      <c r="K40" s="1080"/>
      <c r="L40" s="1080"/>
      <c r="M40" s="1080"/>
      <c r="N40" s="1080"/>
    </row>
    <row r="41" ht="15" spans="1:14">
      <c r="A41" s="3188" t="str">
        <f>IF(B29="租赁期内按合同租金","租赁期外收益期","——")</f>
        <v>——</v>
      </c>
      <c r="B41" s="3243" t="str">
        <f>IF(B29="租赁期内按合同租金",B34-B35,"——")</f>
        <v>——</v>
      </c>
      <c r="D41" s="3175" t="s">
        <v>529</v>
      </c>
      <c r="E41" s="3244"/>
      <c r="F41" s="2664" t="s">
        <v>530</v>
      </c>
      <c r="G41" s="1082" t="s">
        <v>531</v>
      </c>
      <c r="H41" s="3153"/>
      <c r="I41" s="1080"/>
      <c r="J41" s="1080"/>
      <c r="K41" s="1080"/>
      <c r="L41" s="1080"/>
      <c r="M41" s="1080"/>
      <c r="N41" s="1080"/>
    </row>
    <row r="42" ht="14.25" spans="1:14">
      <c r="A42" s="3172" t="s">
        <v>532</v>
      </c>
      <c r="B42" s="3245"/>
      <c r="D42" s="3246" t="s">
        <v>533</v>
      </c>
      <c r="E42" s="3224"/>
      <c r="F42" s="2664">
        <v>30</v>
      </c>
      <c r="G42" s="3153"/>
      <c r="H42" s="3153"/>
      <c r="I42" s="1080"/>
      <c r="J42" s="1080"/>
      <c r="K42" s="1080"/>
      <c r="L42" s="1080"/>
      <c r="M42" s="1080"/>
      <c r="N42" s="1080"/>
    </row>
    <row r="43" ht="14.25" spans="1:14">
      <c r="A43" s="3175" t="s">
        <v>534</v>
      </c>
      <c r="B43" s="3247">
        <v>12</v>
      </c>
      <c r="D43" s="3246" t="s">
        <v>535</v>
      </c>
      <c r="E43" s="3224"/>
      <c r="F43" s="2664">
        <v>24</v>
      </c>
      <c r="G43" s="3153"/>
      <c r="H43" s="3153"/>
      <c r="I43" s="1080"/>
      <c r="J43" s="1080"/>
      <c r="K43" s="1080"/>
      <c r="L43" s="1080"/>
      <c r="M43" s="1080"/>
      <c r="N43" s="1080"/>
    </row>
    <row r="44" ht="14.25" spans="1:14">
      <c r="A44" s="3175" t="s">
        <v>536</v>
      </c>
      <c r="B44" s="3224"/>
      <c r="D44" s="3246" t="s">
        <v>537</v>
      </c>
      <c r="E44" s="3224"/>
      <c r="F44" s="2664">
        <v>18</v>
      </c>
      <c r="G44" s="3067"/>
      <c r="H44" s="3067"/>
      <c r="I44" s="3153"/>
      <c r="J44" s="1080"/>
      <c r="K44" s="1080"/>
      <c r="L44" s="1080"/>
      <c r="M44" s="1080"/>
      <c r="N44" s="1080"/>
    </row>
    <row r="45" ht="14.25" spans="1:14">
      <c r="A45" s="3175" t="s">
        <v>538</v>
      </c>
      <c r="B45" s="3248">
        <v>0.015</v>
      </c>
      <c r="C45" s="2608" t="s">
        <v>539</v>
      </c>
      <c r="D45" s="3246" t="s">
        <v>540</v>
      </c>
      <c r="E45" s="3224"/>
      <c r="F45" s="2664">
        <v>12</v>
      </c>
      <c r="G45" s="3067"/>
      <c r="H45" s="3067"/>
      <c r="M45" s="1080"/>
      <c r="N45" s="1080"/>
    </row>
    <row r="46" ht="14.25" spans="1:14">
      <c r="A46" s="3175" t="s">
        <v>541</v>
      </c>
      <c r="B46" s="3248">
        <v>0.0015</v>
      </c>
      <c r="C46" s="2608" t="s">
        <v>542</v>
      </c>
      <c r="D46" s="3246" t="s">
        <v>264</v>
      </c>
      <c r="E46" s="3224"/>
      <c r="F46" s="2664">
        <v>3</v>
      </c>
      <c r="G46" s="3067"/>
      <c r="H46" s="3067"/>
      <c r="M46" s="1080"/>
      <c r="N46" s="1080"/>
    </row>
    <row r="47" ht="15" spans="1:14">
      <c r="A47" s="3181" t="s">
        <v>543</v>
      </c>
      <c r="B47" s="3248">
        <v>0.01</v>
      </c>
      <c r="C47" s="2608" t="s">
        <v>544</v>
      </c>
      <c r="D47" s="3246" t="s">
        <v>545</v>
      </c>
      <c r="E47" s="3224"/>
      <c r="F47" s="2664">
        <v>1.5</v>
      </c>
      <c r="G47" s="3067"/>
      <c r="H47" s="3067"/>
      <c r="M47" s="1080"/>
      <c r="N47" s="1080"/>
    </row>
    <row r="48" ht="14.25" spans="1:14">
      <c r="A48" s="3067"/>
      <c r="B48" s="3067"/>
      <c r="D48" s="3246" t="s">
        <v>546</v>
      </c>
      <c r="E48" s="3224"/>
      <c r="F48" s="2664"/>
      <c r="G48" s="3067"/>
      <c r="H48" s="3067"/>
      <c r="M48" s="1080"/>
      <c r="N48" s="1080"/>
    </row>
    <row r="49" ht="14.25" spans="1:14">
      <c r="A49" s="3067"/>
      <c r="B49" s="3067"/>
      <c r="D49" s="3246" t="s">
        <v>547</v>
      </c>
      <c r="E49" s="3224"/>
      <c r="F49" s="2664"/>
      <c r="G49" s="3067"/>
      <c r="H49" s="3067"/>
      <c r="M49" s="1080"/>
      <c r="N49" s="1080"/>
    </row>
    <row r="50" ht="14.25" spans="1:14">
      <c r="A50" s="3067"/>
      <c r="B50" s="3067"/>
      <c r="D50" s="3246" t="s">
        <v>548</v>
      </c>
      <c r="E50" s="3224"/>
      <c r="F50" s="2664"/>
      <c r="G50" s="3067"/>
      <c r="H50" s="3067"/>
      <c r="M50" s="1080"/>
      <c r="N50" s="1080"/>
    </row>
    <row r="51" s="2423" customFormat="1" ht="15" spans="1:41">
      <c r="A51" s="3067"/>
      <c r="B51" s="3067"/>
      <c r="C51" s="3067"/>
      <c r="D51" s="3249" t="s">
        <v>549</v>
      </c>
      <c r="E51" s="3250"/>
      <c r="F51" s="2664"/>
      <c r="G51" s="3067"/>
      <c r="H51" s="3067"/>
      <c r="I51" s="3067"/>
      <c r="J51" s="3067"/>
      <c r="K51" s="3067"/>
      <c r="L51" s="3067"/>
      <c r="M51" s="1080"/>
      <c r="N51" s="108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4.25" spans="4:14">
      <c r="D52" s="3153"/>
      <c r="E52" s="3153"/>
      <c r="F52" s="3153"/>
      <c r="G52" s="3153"/>
      <c r="H52" s="3153"/>
      <c r="I52" s="1080"/>
      <c r="J52" s="1080"/>
      <c r="K52" s="1080"/>
      <c r="L52" s="1080"/>
      <c r="M52" s="1080"/>
      <c r="N52" s="1080"/>
    </row>
    <row r="53" s="3067" customFormat="1" ht="14.25" spans="4:14">
      <c r="D53" s="3153"/>
      <c r="E53" s="3153"/>
      <c r="F53" s="3153"/>
      <c r="G53" s="3153"/>
      <c r="H53" s="3153"/>
      <c r="I53" s="1080"/>
      <c r="J53" s="1080"/>
      <c r="K53" s="1080"/>
      <c r="L53" s="1080"/>
      <c r="M53" s="1080"/>
      <c r="N53" s="1080"/>
    </row>
    <row r="54" s="3067" customFormat="1" ht="14.25" spans="4:14">
      <c r="D54" s="3153"/>
      <c r="E54" s="3153"/>
      <c r="F54" s="3153"/>
      <c r="G54" s="3153"/>
      <c r="H54" s="3153"/>
      <c r="I54" s="1080"/>
      <c r="J54" s="1080"/>
      <c r="K54" s="1080"/>
      <c r="L54" s="1080"/>
      <c r="M54" s="1080"/>
      <c r="N54" s="1080"/>
    </row>
    <row r="55" s="3067" customFormat="1" ht="14.25" spans="4:14">
      <c r="D55" s="3153"/>
      <c r="E55" s="3153"/>
      <c r="F55" s="3153"/>
      <c r="G55" s="3153"/>
      <c r="H55" s="3153"/>
      <c r="I55" s="1080"/>
      <c r="J55" s="1080"/>
      <c r="K55" s="1080"/>
      <c r="L55" s="1080"/>
      <c r="M55" s="1080"/>
      <c r="N55" s="1080"/>
    </row>
    <row r="56" s="3067" customFormat="1" ht="14.25" spans="4:14">
      <c r="D56" s="3153"/>
      <c r="E56" s="3153"/>
      <c r="F56" s="3153"/>
      <c r="G56" s="3153"/>
      <c r="H56" s="3153"/>
      <c r="I56" s="1080"/>
      <c r="J56" s="1080"/>
      <c r="K56" s="1080"/>
      <c r="L56" s="1080"/>
      <c r="M56" s="1080"/>
      <c r="N56" s="1080"/>
    </row>
    <row r="57" s="3067" customFormat="1" ht="14.25" spans="4:14">
      <c r="D57" s="3153"/>
      <c r="E57" s="3153"/>
      <c r="F57" s="3153"/>
      <c r="G57" s="3153"/>
      <c r="H57" s="3153"/>
      <c r="I57" s="1080"/>
      <c r="J57" s="1080"/>
      <c r="K57" s="1080"/>
      <c r="L57" s="1080"/>
      <c r="M57" s="1080"/>
      <c r="N57" s="1080"/>
    </row>
    <row r="58" s="3067" customFormat="1" ht="14.25" spans="4:14">
      <c r="D58" s="3153"/>
      <c r="E58" s="3153"/>
      <c r="F58" s="3153"/>
      <c r="G58" s="3153"/>
      <c r="H58" s="3153"/>
      <c r="I58" s="1080"/>
      <c r="J58" s="1080"/>
      <c r="K58" s="1080"/>
      <c r="L58" s="1080"/>
      <c r="M58" s="1080"/>
      <c r="N58" s="1080"/>
    </row>
    <row r="59" s="3067" customFormat="1" ht="14.25" spans="4:14">
      <c r="D59" s="3153"/>
      <c r="E59" s="3153"/>
      <c r="F59" s="3153"/>
      <c r="G59" s="3153"/>
      <c r="H59" s="3153"/>
      <c r="I59" s="1080"/>
      <c r="J59" s="1080"/>
      <c r="K59" s="1080"/>
      <c r="L59" s="1080"/>
      <c r="M59" s="1241"/>
      <c r="N59" s="1080"/>
    </row>
    <row r="60" s="3067" customFormat="1" ht="14.25" spans="4:14">
      <c r="D60" s="3153"/>
      <c r="E60" s="3153"/>
      <c r="F60" s="3153"/>
      <c r="G60" s="3153"/>
      <c r="H60" s="3153"/>
      <c r="I60" s="1080"/>
      <c r="J60" s="1080"/>
      <c r="K60" s="1080"/>
      <c r="L60" s="1080"/>
      <c r="M60" s="1080"/>
      <c r="N60" s="1080"/>
    </row>
    <row r="61" s="3067" customFormat="1" ht="14.25" spans="4:14">
      <c r="D61" s="3153"/>
      <c r="E61" s="3153"/>
      <c r="F61" s="3153"/>
      <c r="G61" s="3153"/>
      <c r="H61" s="3153"/>
      <c r="I61" s="1080"/>
      <c r="J61" s="1080"/>
      <c r="K61" s="1080"/>
      <c r="L61" s="1080"/>
      <c r="M61" s="1080"/>
      <c r="N61" s="1080"/>
    </row>
    <row r="62" s="3067" customFormat="1" ht="14.25" spans="4:14">
      <c r="D62" s="3153"/>
      <c r="E62" s="3153"/>
      <c r="F62" s="3153"/>
      <c r="G62" s="3153"/>
      <c r="H62" s="3153"/>
      <c r="I62" s="1080"/>
      <c r="J62" s="1080"/>
      <c r="K62" s="1080"/>
      <c r="L62" s="1080"/>
      <c r="M62" s="1080"/>
      <c r="N62" s="1080"/>
    </row>
    <row r="63" s="3067" customFormat="1" ht="14.25" spans="4:14">
      <c r="D63" s="3153"/>
      <c r="E63" s="3153"/>
      <c r="F63" s="3153"/>
      <c r="G63" s="3153"/>
      <c r="H63" s="3153"/>
      <c r="I63" s="1080"/>
      <c r="J63" s="1080"/>
      <c r="K63" s="1080"/>
      <c r="L63" s="1080"/>
      <c r="M63" s="1080"/>
      <c r="N63" s="1080"/>
    </row>
    <row r="64" s="3067" customFormat="1" ht="14.25" spans="4:14">
      <c r="D64" s="3153"/>
      <c r="E64" s="3153"/>
      <c r="F64" s="3153"/>
      <c r="G64" s="3153"/>
      <c r="H64" s="3153"/>
      <c r="I64" s="1080"/>
      <c r="J64" s="1080"/>
      <c r="K64" s="1080"/>
      <c r="L64" s="1080"/>
      <c r="M64" s="1080"/>
      <c r="N64" s="1080"/>
    </row>
    <row r="65" s="3067" customFormat="1" ht="14.25" spans="4:14">
      <c r="D65" s="3153"/>
      <c r="E65" s="3153"/>
      <c r="F65" s="3153"/>
      <c r="G65" s="3153"/>
      <c r="H65" s="3153"/>
      <c r="I65" s="1080"/>
      <c r="J65" s="1080"/>
      <c r="K65" s="1080"/>
      <c r="L65" s="1080"/>
      <c r="M65" s="1080"/>
      <c r="N65" s="1080"/>
    </row>
    <row r="66" s="3067" customFormat="1" ht="14.25" spans="4:14">
      <c r="D66" s="3153"/>
      <c r="E66" s="3153"/>
      <c r="F66" s="3153"/>
      <c r="G66" s="3153"/>
      <c r="H66" s="3153"/>
      <c r="I66" s="1080"/>
      <c r="J66" s="1080"/>
      <c r="K66" s="1080"/>
      <c r="L66" s="1080"/>
      <c r="M66" s="1080"/>
      <c r="N66" s="1080"/>
    </row>
    <row r="67" s="3067" customFormat="1" ht="14.25" spans="1:14">
      <c r="A67" s="3251"/>
      <c r="D67" s="3153"/>
      <c r="E67" s="3153"/>
      <c r="F67" s="3153"/>
      <c r="G67" s="3153"/>
      <c r="H67" s="3153"/>
      <c r="I67" s="1080"/>
      <c r="J67" s="1080"/>
      <c r="K67" s="1080"/>
      <c r="L67" s="1080"/>
      <c r="M67" s="1080"/>
      <c r="N67" s="1080"/>
    </row>
    <row r="68" s="3067" customFormat="1" ht="14.25" spans="1:8">
      <c r="A68" s="3251"/>
      <c r="D68" s="3153"/>
      <c r="E68" s="3153"/>
      <c r="F68" s="3153"/>
      <c r="G68" s="3146"/>
      <c r="H68" s="3146"/>
    </row>
    <row r="69" s="3067" customFormat="1" spans="1:8">
      <c r="A69" s="3251"/>
      <c r="D69" s="3146"/>
      <c r="E69" s="3146"/>
      <c r="F69" s="3146"/>
      <c r="G69" s="3146"/>
      <c r="H69" s="3146"/>
    </row>
    <row r="70" s="3067" customFormat="1" spans="1:8">
      <c r="A70" s="3251"/>
      <c r="D70" s="3146"/>
      <c r="E70" s="3146"/>
      <c r="F70" s="3146"/>
      <c r="G70" s="3146"/>
      <c r="H70" s="3146"/>
    </row>
    <row r="71" s="3067" customFormat="1" spans="1:8">
      <c r="A71" s="3251"/>
      <c r="D71" s="3146"/>
      <c r="E71" s="3146"/>
      <c r="F71" s="3146"/>
      <c r="G71" s="3146"/>
      <c r="H71" s="3146"/>
    </row>
    <row r="72" s="3067" customFormat="1" spans="1:8">
      <c r="A72" s="3251"/>
      <c r="D72" s="3146"/>
      <c r="E72" s="3146"/>
      <c r="F72" s="3146"/>
      <c r="G72" s="3146"/>
      <c r="H72" s="3146"/>
    </row>
    <row r="73" s="3067" customFormat="1" spans="1:8">
      <c r="A73" s="3251"/>
      <c r="D73" s="3146"/>
      <c r="E73" s="3146"/>
      <c r="F73" s="3146"/>
      <c r="G73" s="3146"/>
      <c r="H73" s="3146"/>
    </row>
    <row r="74" s="3067" customFormat="1" spans="1:8">
      <c r="A74" s="3251"/>
      <c r="D74" s="3146"/>
      <c r="E74" s="3146"/>
      <c r="F74" s="3146"/>
      <c r="G74" s="3146"/>
      <c r="H74" s="3146"/>
    </row>
    <row r="75" s="3067" customFormat="1" spans="1:8">
      <c r="A75" s="3251"/>
      <c r="D75" s="3146"/>
      <c r="E75" s="3146"/>
      <c r="F75" s="3146"/>
      <c r="G75" s="3146"/>
      <c r="H75" s="3146"/>
    </row>
    <row r="76" s="3067" customFormat="1" spans="1:8">
      <c r="A76" s="3251"/>
      <c r="D76" s="3146"/>
      <c r="E76" s="3146"/>
      <c r="F76" s="3146"/>
      <c r="G76" s="3146"/>
      <c r="H76" s="3146"/>
    </row>
    <row r="77" s="3067" customFormat="1" spans="1:8">
      <c r="A77" s="3251"/>
      <c r="D77" s="3146"/>
      <c r="E77" s="3146"/>
      <c r="F77" s="3146"/>
      <c r="G77" s="3146"/>
      <c r="H77" s="3146"/>
    </row>
    <row r="78" s="3067" customFormat="1" spans="1:8">
      <c r="A78" s="3251"/>
      <c r="D78" s="3146"/>
      <c r="E78" s="3146"/>
      <c r="F78" s="3146"/>
      <c r="G78" s="3146"/>
      <c r="H78" s="3146"/>
    </row>
    <row r="79" s="3067" customFormat="1" spans="1:8">
      <c r="A79" s="3251"/>
      <c r="D79" s="3146"/>
      <c r="E79" s="3146"/>
      <c r="F79" s="3146"/>
      <c r="G79" s="3146"/>
      <c r="H79" s="3146"/>
    </row>
    <row r="80" s="3067" customFormat="1" spans="1:8">
      <c r="A80" s="3251"/>
      <c r="D80" s="3146"/>
      <c r="E80" s="3146"/>
      <c r="F80" s="3146"/>
      <c r="G80" s="3146"/>
      <c r="H80" s="3146"/>
    </row>
    <row r="81" s="3067" customFormat="1" spans="1:8">
      <c r="A81" s="3251"/>
      <c r="D81" s="3146"/>
      <c r="E81" s="3146"/>
      <c r="F81" s="3146"/>
      <c r="G81" s="3146"/>
      <c r="H81" s="3146"/>
    </row>
    <row r="82" s="3067" customFormat="1" spans="1:8">
      <c r="A82" s="3251"/>
      <c r="D82" s="3146"/>
      <c r="E82" s="3146"/>
      <c r="F82" s="3146"/>
      <c r="G82" s="3146"/>
      <c r="H82" s="3146"/>
    </row>
    <row r="83" s="3067" customFormat="1" spans="1:8">
      <c r="A83" s="3251"/>
      <c r="D83" s="3146"/>
      <c r="E83" s="3146"/>
      <c r="F83" s="3146"/>
      <c r="G83" s="3146"/>
      <c r="H83" s="3146"/>
    </row>
    <row r="84" s="3067" customFormat="1" spans="1:8">
      <c r="A84" s="3251"/>
      <c r="D84" s="3146"/>
      <c r="E84" s="3146"/>
      <c r="F84" s="3146"/>
      <c r="G84" s="3146"/>
      <c r="H84" s="3146"/>
    </row>
    <row r="85" s="3067" customFormat="1" spans="1:8">
      <c r="A85" s="3251"/>
      <c r="D85" s="3146"/>
      <c r="E85" s="3146"/>
      <c r="F85" s="3146"/>
      <c r="G85" s="3146"/>
      <c r="H85" s="3146"/>
    </row>
    <row r="86" s="3067" customFormat="1" spans="1:8">
      <c r="A86" s="3251"/>
      <c r="D86" s="3146"/>
      <c r="E86" s="3146"/>
      <c r="F86" s="3146"/>
      <c r="G86" s="3146"/>
      <c r="H86" s="3146"/>
    </row>
    <row r="87" s="3067" customFormat="1" spans="1:8">
      <c r="A87" s="3251"/>
      <c r="D87" s="3146"/>
      <c r="E87" s="3146"/>
      <c r="F87" s="3146"/>
      <c r="G87" s="3146"/>
      <c r="H87" s="3146"/>
    </row>
    <row r="88" s="3067" customFormat="1" spans="1:8">
      <c r="A88" s="3251"/>
      <c r="D88" s="3146"/>
      <c r="E88" s="3146"/>
      <c r="F88" s="3146"/>
      <c r="G88" s="3146"/>
      <c r="H88" s="3146"/>
    </row>
    <row r="89" s="3067" customFormat="1" spans="1:8">
      <c r="A89" s="3251"/>
      <c r="D89" s="3146"/>
      <c r="E89" s="3146"/>
      <c r="F89" s="3146"/>
      <c r="G89" s="3146"/>
      <c r="H89" s="3146"/>
    </row>
    <row r="90" s="3067" customFormat="1" spans="1:8">
      <c r="A90" s="3251"/>
      <c r="D90" s="3146"/>
      <c r="E90" s="3146"/>
      <c r="F90" s="3146"/>
      <c r="G90" s="3146"/>
      <c r="H90" s="3146"/>
    </row>
    <row r="91" s="3067" customFormat="1" spans="1:8">
      <c r="A91" s="3251"/>
      <c r="D91" s="3146"/>
      <c r="E91" s="3146"/>
      <c r="F91" s="3146"/>
      <c r="G91" s="3146"/>
      <c r="H91" s="3146"/>
    </row>
    <row r="92" s="3067" customFormat="1" spans="1:8">
      <c r="A92" s="3251"/>
      <c r="D92" s="3146"/>
      <c r="E92" s="3146"/>
      <c r="F92" s="3146"/>
      <c r="G92" s="3146"/>
      <c r="H92" s="3146"/>
    </row>
    <row r="93" s="3067" customFormat="1" spans="1:8">
      <c r="A93" s="3251"/>
      <c r="D93" s="3146"/>
      <c r="E93" s="3146"/>
      <c r="F93" s="3146"/>
      <c r="G93" s="3146"/>
      <c r="H93" s="3146"/>
    </row>
    <row r="94" s="3067" customFormat="1" spans="1:8">
      <c r="A94" s="3251"/>
      <c r="D94" s="3146"/>
      <c r="E94" s="3146"/>
      <c r="F94" s="3146"/>
      <c r="G94" s="3146"/>
      <c r="H94" s="3146"/>
    </row>
    <row r="95" s="3067" customFormat="1" spans="1:8">
      <c r="A95" s="3251"/>
      <c r="D95" s="3146"/>
      <c r="E95" s="3146"/>
      <c r="F95" s="3146"/>
      <c r="G95" s="3146"/>
      <c r="H95" s="3146"/>
    </row>
    <row r="96" s="3067" customFormat="1" spans="1:8">
      <c r="A96" s="3251"/>
      <c r="D96" s="3146"/>
      <c r="E96" s="3146"/>
      <c r="F96" s="3146"/>
      <c r="G96" s="3146"/>
      <c r="H96" s="3146"/>
    </row>
    <row r="97" s="3067" customFormat="1" spans="1:8">
      <c r="A97" s="3251"/>
      <c r="D97" s="3146"/>
      <c r="E97" s="3146"/>
      <c r="F97" s="3146"/>
      <c r="G97" s="3146"/>
      <c r="H97" s="3146"/>
    </row>
    <row r="98" s="3067" customFormat="1" spans="1:8">
      <c r="A98" s="3251"/>
      <c r="D98" s="3146"/>
      <c r="E98" s="3146"/>
      <c r="F98" s="3146"/>
      <c r="G98" s="3146"/>
      <c r="H98" s="3146"/>
    </row>
    <row r="99" s="3067" customFormat="1" spans="1:8">
      <c r="A99" s="3251"/>
      <c r="D99" s="3146"/>
      <c r="E99" s="3146"/>
      <c r="F99" s="3146"/>
      <c r="G99" s="3146"/>
      <c r="H99" s="3146"/>
    </row>
    <row r="100" s="3067" customFormat="1" spans="1:8">
      <c r="A100" s="3251"/>
      <c r="D100" s="3146"/>
      <c r="E100" s="3146"/>
      <c r="F100" s="3146"/>
      <c r="G100" s="3146"/>
      <c r="H100" s="3146"/>
    </row>
    <row r="101" s="3067" customFormat="1" spans="1:8">
      <c r="A101" s="3251"/>
      <c r="D101" s="3146"/>
      <c r="E101" s="3146"/>
      <c r="F101" s="3146"/>
      <c r="G101" s="3146"/>
      <c r="H101" s="3146"/>
    </row>
    <row r="102" s="3067" customFormat="1" spans="1:8">
      <c r="A102" s="3251"/>
      <c r="D102" s="3146"/>
      <c r="E102" s="3146"/>
      <c r="F102" s="3146"/>
      <c r="G102" s="3146"/>
      <c r="H102" s="3146"/>
    </row>
    <row r="103" s="3067" customFormat="1" spans="1:8">
      <c r="A103" s="3251"/>
      <c r="D103" s="3146"/>
      <c r="E103" s="3146"/>
      <c r="F103" s="3146"/>
      <c r="G103" s="3146"/>
      <c r="H103" s="3146"/>
    </row>
    <row r="104" s="3067" customFormat="1" spans="1:8">
      <c r="A104" s="3251"/>
      <c r="D104" s="3146"/>
      <c r="E104" s="3146"/>
      <c r="F104" s="3146"/>
      <c r="G104" s="3146"/>
      <c r="H104" s="3146"/>
    </row>
    <row r="105" s="3067" customFormat="1" spans="1:8">
      <c r="A105" s="3251"/>
      <c r="D105" s="3146"/>
      <c r="E105" s="3146"/>
      <c r="F105" s="3146"/>
      <c r="G105" s="3146"/>
      <c r="H105" s="3146"/>
    </row>
    <row r="106" s="3067" customFormat="1" spans="1:8">
      <c r="A106" s="3251"/>
      <c r="D106" s="3146"/>
      <c r="E106" s="3146"/>
      <c r="F106" s="3146"/>
      <c r="G106" s="3146"/>
      <c r="H106" s="3146"/>
    </row>
    <row r="107" s="3067" customFormat="1" spans="1:8">
      <c r="A107" s="3251"/>
      <c r="D107" s="3146"/>
      <c r="E107" s="3146"/>
      <c r="F107" s="3146"/>
      <c r="G107" s="3146"/>
      <c r="H107" s="3146"/>
    </row>
    <row r="108" s="3067" customFormat="1" spans="1:8">
      <c r="A108" s="3251"/>
      <c r="D108" s="3146"/>
      <c r="E108" s="3146"/>
      <c r="F108" s="3146"/>
      <c r="G108" s="3146"/>
      <c r="H108" s="3146"/>
    </row>
    <row r="109" s="3067" customFormat="1" spans="1:8">
      <c r="A109" s="3251"/>
      <c r="D109" s="3146"/>
      <c r="E109" s="3146"/>
      <c r="F109" s="3146"/>
      <c r="G109" s="3146"/>
      <c r="H109" s="3146"/>
    </row>
    <row r="110" s="3067" customFormat="1" spans="1:8">
      <c r="A110" s="3251"/>
      <c r="D110" s="3146"/>
      <c r="E110" s="3146"/>
      <c r="F110" s="3146"/>
      <c r="G110" s="3146"/>
      <c r="H110" s="3146"/>
    </row>
    <row r="111" s="3067" customFormat="1" spans="1:8">
      <c r="A111" s="3251"/>
      <c r="D111" s="3146"/>
      <c r="E111" s="3146"/>
      <c r="F111" s="3146"/>
      <c r="G111" s="3146"/>
      <c r="H111" s="3146"/>
    </row>
    <row r="112" s="3067" customFormat="1" spans="1:8">
      <c r="A112" s="3251"/>
      <c r="D112" s="3146"/>
      <c r="E112" s="3146"/>
      <c r="F112" s="3146"/>
      <c r="G112" s="3146"/>
      <c r="H112" s="3146"/>
    </row>
    <row r="113" s="3067" customFormat="1" spans="1:8">
      <c r="A113" s="3251"/>
      <c r="D113" s="3146"/>
      <c r="E113" s="3146"/>
      <c r="F113" s="3146"/>
      <c r="G113" s="3146"/>
      <c r="H113" s="3146"/>
    </row>
    <row r="114" s="3067" customFormat="1" spans="1:8">
      <c r="A114" s="3251"/>
      <c r="D114" s="3146"/>
      <c r="E114" s="3146"/>
      <c r="F114" s="3146"/>
      <c r="G114" s="3146"/>
      <c r="H114" s="3146"/>
    </row>
    <row r="115" s="3067" customFormat="1" spans="1:8">
      <c r="A115" s="3251"/>
      <c r="D115" s="3146"/>
      <c r="E115" s="3146"/>
      <c r="F115" s="3146"/>
      <c r="G115" s="3146"/>
      <c r="H115" s="3146"/>
    </row>
    <row r="116" s="3067" customFormat="1" spans="1:8">
      <c r="A116" s="3251"/>
      <c r="D116" s="3146"/>
      <c r="E116" s="3146"/>
      <c r="F116" s="3146"/>
      <c r="G116" s="3146"/>
      <c r="H116" s="3146"/>
    </row>
    <row r="117" s="3067" customFormat="1" spans="1:8">
      <c r="A117" s="3251"/>
      <c r="D117" s="3146"/>
      <c r="E117" s="3146"/>
      <c r="F117" s="3146"/>
      <c r="G117" s="3146"/>
      <c r="H117" s="3146"/>
    </row>
    <row r="118" s="3067" customFormat="1" spans="1:8">
      <c r="A118" s="3251"/>
      <c r="D118" s="3146"/>
      <c r="E118" s="3146"/>
      <c r="F118" s="3146"/>
      <c r="G118" s="3146"/>
      <c r="H118" s="3146"/>
    </row>
    <row r="119" s="3067" customFormat="1" spans="1:8">
      <c r="A119" s="3251"/>
      <c r="D119" s="3146"/>
      <c r="E119" s="3146"/>
      <c r="F119" s="3146"/>
      <c r="G119" s="3146"/>
      <c r="H119" s="3146"/>
    </row>
    <row r="120" s="3067" customFormat="1" spans="1:8">
      <c r="A120" s="3251"/>
      <c r="D120" s="3146"/>
      <c r="E120" s="3146"/>
      <c r="F120" s="3146"/>
      <c r="G120" s="3146"/>
      <c r="H120" s="3146"/>
    </row>
    <row r="121" s="3067" customFormat="1" spans="1:8">
      <c r="A121" s="3251"/>
      <c r="D121" s="3146"/>
      <c r="E121" s="3146"/>
      <c r="F121" s="3146"/>
      <c r="G121" s="3146"/>
      <c r="H121" s="3146"/>
    </row>
    <row r="122" s="3067" customFormat="1" spans="1:8">
      <c r="A122" s="3251"/>
      <c r="D122" s="3146"/>
      <c r="E122" s="3146"/>
      <c r="F122" s="3146"/>
      <c r="G122" s="3146"/>
      <c r="H122" s="3146"/>
    </row>
    <row r="123" s="3067" customFormat="1" spans="1:8">
      <c r="A123" s="3251"/>
      <c r="D123" s="3146"/>
      <c r="E123" s="3146"/>
      <c r="F123" s="3146"/>
      <c r="G123" s="3146"/>
      <c r="H123" s="3146"/>
    </row>
    <row r="124" s="3067" customFormat="1" spans="1:8">
      <c r="A124" s="3251"/>
      <c r="D124" s="3146"/>
      <c r="E124" s="3146"/>
      <c r="F124" s="3146"/>
      <c r="G124" s="3146"/>
      <c r="H124" s="3146"/>
    </row>
    <row r="125" s="3067" customFormat="1" spans="1:8">
      <c r="A125" s="3251"/>
      <c r="D125" s="3146"/>
      <c r="E125" s="3146"/>
      <c r="F125" s="3146"/>
      <c r="G125" s="3146"/>
      <c r="H125" s="3146"/>
    </row>
    <row r="126" s="3067" customFormat="1" spans="1:8">
      <c r="A126" s="3251"/>
      <c r="D126" s="3146"/>
      <c r="E126" s="3146"/>
      <c r="F126" s="3146"/>
      <c r="G126" s="3146"/>
      <c r="H126" s="3146"/>
    </row>
    <row r="127" s="3067" customFormat="1" spans="1:8">
      <c r="A127" s="3251"/>
      <c r="D127" s="3146"/>
      <c r="E127" s="3146"/>
      <c r="F127" s="3146"/>
      <c r="G127" s="3146"/>
      <c r="H127" s="3146"/>
    </row>
    <row r="128" s="3067" customFormat="1" spans="1:8">
      <c r="A128" s="3251"/>
      <c r="D128" s="3146"/>
      <c r="E128" s="3146"/>
      <c r="F128" s="3146"/>
      <c r="G128" s="3146"/>
      <c r="H128" s="3146"/>
    </row>
    <row r="129" s="3067" customFormat="1" spans="1:8">
      <c r="A129" s="3251"/>
      <c r="D129" s="3146"/>
      <c r="E129" s="3146"/>
      <c r="F129" s="3146"/>
      <c r="G129" s="3146"/>
      <c r="H129" s="3146"/>
    </row>
    <row r="130" s="3067" customFormat="1" spans="1:8">
      <c r="A130" s="3251"/>
      <c r="D130" s="3146"/>
      <c r="E130" s="3146"/>
      <c r="F130" s="3146"/>
      <c r="G130" s="3146"/>
      <c r="H130" s="3146"/>
    </row>
    <row r="131" s="3067" customFormat="1" spans="1:8">
      <c r="A131" s="3251"/>
      <c r="D131" s="3146"/>
      <c r="E131" s="3146"/>
      <c r="F131" s="3146"/>
      <c r="G131" s="3146"/>
      <c r="H131" s="3146"/>
    </row>
    <row r="132" s="3067" customFormat="1" spans="1:8">
      <c r="A132" s="3251"/>
      <c r="D132" s="3146"/>
      <c r="E132" s="3146"/>
      <c r="F132" s="3146"/>
      <c r="G132" s="3146"/>
      <c r="H132" s="3146"/>
    </row>
    <row r="133" s="3067" customFormat="1" spans="1:8">
      <c r="A133" s="3251"/>
      <c r="D133" s="3146"/>
      <c r="E133" s="3146"/>
      <c r="F133" s="3146"/>
      <c r="G133" s="3146"/>
      <c r="H133" s="3146"/>
    </row>
    <row r="134" s="3067" customFormat="1" spans="1:8">
      <c r="A134" s="3251"/>
      <c r="D134" s="3146"/>
      <c r="E134" s="3146"/>
      <c r="F134" s="3146"/>
      <c r="G134" s="3146"/>
      <c r="H134" s="3146"/>
    </row>
    <row r="135" s="3067" customFormat="1" spans="1:8">
      <c r="A135" s="3251"/>
      <c r="D135" s="3146"/>
      <c r="E135" s="3146"/>
      <c r="F135" s="3146"/>
      <c r="G135" s="3146"/>
      <c r="H135" s="3146"/>
    </row>
    <row r="136" s="3067" customFormat="1" spans="1:8">
      <c r="A136" s="3251"/>
      <c r="D136" s="3146"/>
      <c r="E136" s="3146"/>
      <c r="F136" s="3146"/>
      <c r="G136" s="3146"/>
      <c r="H136" s="3146"/>
    </row>
    <row r="137" s="3067" customFormat="1" spans="1:8">
      <c r="A137" s="3251"/>
      <c r="D137" s="3146"/>
      <c r="E137" s="3146"/>
      <c r="F137" s="3146"/>
      <c r="G137" s="3146"/>
      <c r="H137" s="3146"/>
    </row>
    <row r="138" s="3067" customFormat="1" spans="1:8">
      <c r="A138" s="3251"/>
      <c r="D138" s="3146"/>
      <c r="E138" s="3146"/>
      <c r="F138" s="3146"/>
      <c r="G138" s="3146"/>
      <c r="H138" s="3146"/>
    </row>
    <row r="139" s="3067" customFormat="1" spans="1:8">
      <c r="A139" s="3251"/>
      <c r="D139" s="3146"/>
      <c r="E139" s="3146"/>
      <c r="F139" s="3146"/>
      <c r="G139" s="3146"/>
      <c r="H139" s="3146"/>
    </row>
    <row r="140" s="3067" customFormat="1" spans="1:8">
      <c r="A140" s="3251"/>
      <c r="D140" s="3146"/>
      <c r="E140" s="3146"/>
      <c r="F140" s="3146"/>
      <c r="G140" s="3146"/>
      <c r="H140" s="3146"/>
    </row>
    <row r="141" s="3067" customFormat="1" spans="1:8">
      <c r="A141" s="3251"/>
      <c r="D141" s="3146"/>
      <c r="E141" s="3146"/>
      <c r="F141" s="3146"/>
      <c r="G141" s="3146"/>
      <c r="H141" s="3146"/>
    </row>
    <row r="142" s="3067" customFormat="1" spans="1:8">
      <c r="A142" s="3251"/>
      <c r="D142" s="3146"/>
      <c r="E142" s="3146"/>
      <c r="F142" s="3146"/>
      <c r="G142" s="3146"/>
      <c r="H142" s="3146"/>
    </row>
    <row r="143" s="3067" customFormat="1" spans="1:8">
      <c r="A143" s="3251"/>
      <c r="D143" s="3146"/>
      <c r="E143" s="3146"/>
      <c r="F143" s="3146"/>
      <c r="G143" s="3146"/>
      <c r="H143" s="3146"/>
    </row>
    <row r="144" s="3067" customFormat="1" spans="1:8">
      <c r="A144" s="3251"/>
      <c r="D144" s="3146"/>
      <c r="E144" s="3146"/>
      <c r="F144" s="3146"/>
      <c r="G144" s="3146"/>
      <c r="H144" s="3146"/>
    </row>
    <row r="145" s="3067" customFormat="1" spans="1:8">
      <c r="A145" s="3251"/>
      <c r="D145" s="3146"/>
      <c r="E145" s="3146"/>
      <c r="F145" s="3146"/>
      <c r="G145" s="3146"/>
      <c r="H145" s="3146"/>
    </row>
    <row r="146" s="3067" customFormat="1" spans="1:8">
      <c r="A146" s="3251"/>
      <c r="D146" s="3146"/>
      <c r="E146" s="3146"/>
      <c r="F146" s="3146"/>
      <c r="G146" s="3146"/>
      <c r="H146" s="3146"/>
    </row>
    <row r="147" s="3067" customFormat="1" spans="1:8">
      <c r="A147" s="3251"/>
      <c r="D147" s="3146"/>
      <c r="E147" s="3146"/>
      <c r="F147" s="3146"/>
      <c r="G147" s="3146"/>
      <c r="H147" s="3146"/>
    </row>
    <row r="148" s="3067" customFormat="1" spans="1:8">
      <c r="A148" s="3251"/>
      <c r="D148" s="3146"/>
      <c r="E148" s="3146"/>
      <c r="F148" s="3146"/>
      <c r="G148" s="3146"/>
      <c r="H148" s="3146"/>
    </row>
    <row r="149" s="3067" customFormat="1" spans="1:8">
      <c r="A149" s="3251"/>
      <c r="D149" s="3146"/>
      <c r="E149" s="3146"/>
      <c r="F149" s="3146"/>
      <c r="G149" s="3146"/>
      <c r="H149" s="3146"/>
    </row>
    <row r="150" s="3067" customFormat="1" spans="1:8">
      <c r="A150" s="3251"/>
      <c r="D150" s="3146"/>
      <c r="E150" s="3146"/>
      <c r="F150" s="3146"/>
      <c r="G150" s="3146"/>
      <c r="H150" s="3146"/>
    </row>
    <row r="151" s="3067" customFormat="1" spans="1:8">
      <c r="A151" s="3251"/>
      <c r="D151" s="3146"/>
      <c r="E151" s="3146"/>
      <c r="F151" s="3146"/>
      <c r="G151" s="3146"/>
      <c r="H151" s="3146"/>
    </row>
    <row r="152" s="3067" customFormat="1" spans="1:8">
      <c r="A152" s="3251"/>
      <c r="D152" s="3146"/>
      <c r="E152" s="3146"/>
      <c r="F152" s="3146"/>
      <c r="G152" s="3146"/>
      <c r="H152" s="3146"/>
    </row>
    <row r="153" s="3067" customFormat="1" spans="1:8">
      <c r="A153" s="3251"/>
      <c r="D153" s="3146"/>
      <c r="E153" s="3146"/>
      <c r="F153" s="3146"/>
      <c r="G153" s="3146"/>
      <c r="H153" s="3146"/>
    </row>
    <row r="154" s="3067" customFormat="1" spans="1:8">
      <c r="A154" s="3251"/>
      <c r="D154" s="3146"/>
      <c r="E154" s="3146"/>
      <c r="F154" s="3146"/>
      <c r="G154" s="3146"/>
      <c r="H154" s="3146"/>
    </row>
    <row r="155" s="3067" customFormat="1" spans="1:8">
      <c r="A155" s="3251"/>
      <c r="D155" s="3146"/>
      <c r="E155" s="3146"/>
      <c r="F155" s="3146"/>
      <c r="G155" s="3146"/>
      <c r="H155" s="3146"/>
    </row>
    <row r="156" s="3067" customFormat="1" spans="1:8">
      <c r="A156" s="3251"/>
      <c r="D156" s="3146"/>
      <c r="E156" s="3146"/>
      <c r="F156" s="3146"/>
      <c r="G156" s="3146"/>
      <c r="H156" s="3146"/>
    </row>
    <row r="157" s="3067" customFormat="1" spans="1:8">
      <c r="A157" s="3251"/>
      <c r="D157" s="3146"/>
      <c r="E157" s="3146"/>
      <c r="F157" s="3146"/>
      <c r="G157" s="3146"/>
      <c r="H157" s="3146"/>
    </row>
    <row r="158" spans="1:2">
      <c r="A158" s="3251"/>
      <c r="B158" s="3067"/>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J18" sqref="J18"/>
    </sheetView>
  </sheetViews>
  <sheetFormatPr defaultColWidth="9" defaultRowHeight="14.25"/>
  <cols>
    <col min="1" max="1" width="14.75" style="3070" customWidth="1"/>
    <col min="2" max="2" width="24.5" style="3071" customWidth="1"/>
    <col min="3" max="3" width="28.375" style="3072" customWidth="1"/>
    <col min="4" max="4" width="2.625" style="3072" customWidth="1"/>
    <col min="5" max="5" width="5.875" style="3072" customWidth="1"/>
    <col min="6" max="6" width="27" style="3071" customWidth="1"/>
    <col min="7" max="7" width="32.375" style="3073" customWidth="1"/>
    <col min="8" max="8" width="11.875" style="3074" customWidth="1"/>
    <col min="9" max="9" width="16.75" style="3075" customWidth="1"/>
    <col min="10" max="10" width="2.625" style="3074" customWidth="1"/>
    <col min="11" max="11" width="11.875" style="3074" customWidth="1"/>
    <col min="12" max="12" width="16.75" style="3075" customWidth="1"/>
    <col min="13" max="13" width="2.625" style="3074" customWidth="1"/>
    <col min="14" max="14" width="11.875" style="3074" customWidth="1"/>
    <col min="15" max="15" width="16.75" style="3075" customWidth="1"/>
    <col min="16" max="16" width="2.625" style="3074" customWidth="1"/>
    <col min="17" max="17" width="11.875" style="3074" customWidth="1"/>
    <col min="18" max="18" width="16.75" style="3076" customWidth="1"/>
    <col min="19" max="29" width="9" style="3069"/>
    <col min="30" max="16384" width="9" style="3070"/>
  </cols>
  <sheetData>
    <row r="1" s="3065" customFormat="1" ht="19.5" spans="1:29">
      <c r="A1" s="3077" t="s">
        <v>550</v>
      </c>
      <c r="B1" s="3078"/>
      <c r="C1" s="3078"/>
      <c r="D1" s="3078"/>
      <c r="E1" s="3078"/>
      <c r="F1" s="3078"/>
      <c r="G1" s="3078"/>
      <c r="H1" s="3079"/>
      <c r="I1" s="3131"/>
      <c r="J1" s="3079"/>
      <c r="K1" s="3079"/>
      <c r="L1" s="3131"/>
      <c r="M1" s="3079"/>
      <c r="N1" s="3079"/>
      <c r="O1" s="3131"/>
      <c r="P1" s="3079"/>
      <c r="Q1" s="3139"/>
      <c r="R1" s="3140"/>
      <c r="S1" s="3141"/>
      <c r="T1" s="3141"/>
      <c r="U1" s="3141"/>
      <c r="V1" s="3141"/>
      <c r="W1" s="3141"/>
      <c r="X1" s="3141"/>
      <c r="Y1" s="3141"/>
      <c r="Z1" s="3141"/>
      <c r="AA1" s="3141"/>
      <c r="AB1" s="3141"/>
      <c r="AC1" s="3141"/>
    </row>
    <row r="2" s="3066" customFormat="1" ht="13.5" spans="1:29">
      <c r="A2" s="3080"/>
      <c r="B2" s="3081"/>
      <c r="C2" s="3082" t="s">
        <v>551</v>
      </c>
      <c r="D2" s="3083"/>
      <c r="E2" s="3080"/>
      <c r="F2" s="3084"/>
      <c r="G2" s="3082" t="s">
        <v>552</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36" spans="1:29">
      <c r="A3" s="3085" t="s">
        <v>553</v>
      </c>
      <c r="B3" s="3086" t="s">
        <v>554</v>
      </c>
      <c r="C3" s="3087" t="s">
        <v>555</v>
      </c>
      <c r="D3" s="3088"/>
      <c r="E3" s="3089" t="s">
        <v>553</v>
      </c>
      <c r="F3" s="3090" t="s">
        <v>556</v>
      </c>
      <c r="G3" s="3091" t="s">
        <v>557</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24.75" spans="1:29">
      <c r="A4" s="3089"/>
      <c r="B4" s="2327" t="s">
        <v>558</v>
      </c>
      <c r="C4" s="3092" t="s">
        <v>559</v>
      </c>
      <c r="D4" s="3088"/>
      <c r="E4" s="3093"/>
      <c r="F4" s="2714" t="s">
        <v>560</v>
      </c>
      <c r="G4" s="3094" t="s">
        <v>561</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24.75" spans="1:29">
      <c r="A5" s="3089"/>
      <c r="B5" s="2327" t="s">
        <v>562</v>
      </c>
      <c r="C5" s="3092" t="s">
        <v>563</v>
      </c>
      <c r="D5" s="3088"/>
      <c r="E5" s="3093"/>
      <c r="F5" s="2327" t="s">
        <v>564</v>
      </c>
      <c r="G5" s="3094" t="s">
        <v>565</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27" t="s">
        <v>560</v>
      </c>
      <c r="C6" s="3094" t="s">
        <v>561</v>
      </c>
      <c r="D6" s="3088"/>
      <c r="E6" s="3093"/>
      <c r="F6" s="2327" t="s">
        <v>566</v>
      </c>
      <c r="G6" s="3094" t="s">
        <v>567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27" t="s">
        <v>564</v>
      </c>
      <c r="C7" s="3094" t="s">
        <v>565</v>
      </c>
      <c r="D7" s="2718"/>
      <c r="E7" s="3095"/>
      <c r="F7" s="3096" t="s">
        <v>568</v>
      </c>
      <c r="G7" s="3097" t="s">
        <v>569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2.75" spans="1:29">
      <c r="A8" s="3089"/>
      <c r="B8" s="2327" t="s">
        <v>566</v>
      </c>
      <c r="C8" s="3094" t="s">
        <v>567</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27" t="s">
        <v>570</v>
      </c>
      <c r="C9" s="3092" t="s">
        <v>571</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5" spans="1:29">
      <c r="A10" s="3098"/>
      <c r="B10" s="2720" t="s">
        <v>572</v>
      </c>
      <c r="C10" s="3099"/>
      <c r="D10" s="3088"/>
      <c r="E10" s="3088"/>
      <c r="F10" s="2726"/>
      <c r="G10" s="2726"/>
      <c r="H10" s="2941"/>
      <c r="I10" s="3132"/>
      <c r="J10" s="3133"/>
      <c r="K10" s="2941"/>
      <c r="L10" s="3132"/>
      <c r="M10" s="3133"/>
      <c r="N10" s="2941"/>
      <c r="O10" s="3132"/>
      <c r="P10" s="3133"/>
      <c r="Q10" s="2941"/>
      <c r="R10" s="3132"/>
      <c r="S10" s="3068"/>
      <c r="T10" s="3068"/>
      <c r="U10" s="3068"/>
      <c r="V10" s="3068"/>
      <c r="W10" s="3068"/>
      <c r="X10" s="3068"/>
      <c r="Y10" s="3068"/>
      <c r="Z10" s="3068"/>
      <c r="AA10" s="3068"/>
      <c r="AB10" s="3068"/>
      <c r="AC10" s="3068"/>
    </row>
    <row r="11" s="3067" customFormat="1" ht="12.75" spans="1:29">
      <c r="A11" s="3100"/>
      <c r="B11" s="2718"/>
      <c r="C11" s="3088"/>
      <c r="D11" s="3088"/>
      <c r="E11" s="3088"/>
      <c r="F11" s="2718"/>
      <c r="G11" s="3101"/>
      <c r="H11" s="2941"/>
      <c r="I11" s="3132"/>
      <c r="J11" s="3133"/>
      <c r="K11" s="2941"/>
      <c r="L11" s="3132"/>
      <c r="M11" s="3133"/>
      <c r="N11" s="2941"/>
      <c r="O11" s="3132"/>
      <c r="P11" s="3133"/>
      <c r="Q11" s="2941"/>
      <c r="R11" s="3132"/>
      <c r="S11" s="3068"/>
      <c r="T11" s="3068"/>
      <c r="U11" s="3068"/>
      <c r="V11" s="3068"/>
      <c r="W11" s="3068"/>
      <c r="X11" s="3068"/>
      <c r="Y11" s="3068"/>
      <c r="Z11" s="3068"/>
      <c r="AA11" s="3068"/>
      <c r="AB11" s="3068"/>
      <c r="AC11" s="3068"/>
    </row>
    <row r="12" s="3065" customFormat="1" ht="18" spans="1:29">
      <c r="A12" s="3102"/>
      <c r="B12" s="3103"/>
      <c r="C12" s="3104"/>
      <c r="D12" s="3105"/>
      <c r="E12" s="3104"/>
      <c r="F12" s="3103"/>
      <c r="G12" s="2534"/>
      <c r="H12" s="3106"/>
      <c r="I12" s="3134"/>
      <c r="J12" s="3106"/>
      <c r="K12" s="3106"/>
      <c r="L12" s="3135"/>
      <c r="M12" s="3106"/>
      <c r="N12" s="3136"/>
      <c r="O12" s="3137"/>
      <c r="P12" s="3136"/>
      <c r="Q12" s="3136"/>
      <c r="R12" s="3140"/>
      <c r="S12" s="3141"/>
      <c r="T12" s="3141"/>
      <c r="U12" s="3141"/>
      <c r="V12" s="3141"/>
      <c r="W12" s="3141"/>
      <c r="X12" s="3141"/>
      <c r="Y12" s="3141"/>
      <c r="Z12" s="3141"/>
      <c r="AA12" s="3141"/>
      <c r="AB12" s="3141"/>
      <c r="AC12" s="3141"/>
    </row>
    <row r="13" ht="19.5" spans="1:7">
      <c r="A13" s="3107" t="s">
        <v>573</v>
      </c>
      <c r="B13" s="3105"/>
      <c r="C13" s="3105"/>
      <c r="D13" s="3108"/>
      <c r="E13" s="3105"/>
      <c r="F13" s="3105"/>
      <c r="G13" s="3105"/>
    </row>
    <row r="14" s="3066" customFormat="1" ht="13.5" spans="1:29">
      <c r="A14" s="3109"/>
      <c r="B14" s="3109"/>
      <c r="C14" s="3110" t="s">
        <v>551</v>
      </c>
      <c r="D14" s="3088"/>
      <c r="E14" s="3111"/>
      <c r="F14" s="3111"/>
      <c r="G14" s="3082" t="s">
        <v>552</v>
      </c>
      <c r="H14" s="3112"/>
      <c r="I14" s="3138"/>
      <c r="J14" s="3112"/>
      <c r="K14" s="3112"/>
      <c r="L14" s="3138"/>
      <c r="M14" s="3112"/>
      <c r="N14" s="3112"/>
      <c r="O14" s="3138"/>
      <c r="P14" s="3112"/>
      <c r="Q14" s="3112"/>
      <c r="R14" s="3142"/>
      <c r="S14" s="3068"/>
      <c r="T14" s="3068"/>
      <c r="U14" s="3068"/>
      <c r="V14" s="3068"/>
      <c r="W14" s="3068"/>
      <c r="X14" s="3068"/>
      <c r="Y14" s="3068"/>
      <c r="Z14" s="3068"/>
      <c r="AA14" s="3068"/>
      <c r="AB14" s="3068"/>
      <c r="AC14" s="3068"/>
    </row>
    <row r="15" s="3066" customFormat="1" ht="36" spans="1:29">
      <c r="A15" s="3113" t="s">
        <v>553</v>
      </c>
      <c r="B15" s="3114" t="s">
        <v>554</v>
      </c>
      <c r="C15" s="3115" t="str">
        <f>C3</f>
        <v>估价对象周边居住用地比例、居住小区规模和社区发展完善程度，综合评价居住社区成熟度一般</v>
      </c>
      <c r="D15" s="3088"/>
      <c r="E15" s="3116" t="s">
        <v>553</v>
      </c>
      <c r="F15" s="3114" t="s">
        <v>556</v>
      </c>
      <c r="G15" s="3117" t="str">
        <f>G3</f>
        <v>估价对象位于XX开发区，园区建设成熟度XX，产业集聚程度XX</v>
      </c>
      <c r="H15" s="3112"/>
      <c r="I15" s="3138"/>
      <c r="J15" s="3112"/>
      <c r="K15" s="3112"/>
      <c r="L15" s="3138"/>
      <c r="M15" s="3112"/>
      <c r="N15" s="3112"/>
      <c r="O15" s="3138"/>
      <c r="P15" s="3112"/>
      <c r="Q15" s="3112"/>
      <c r="R15" s="3142"/>
      <c r="S15" s="3068"/>
      <c r="T15" s="3068"/>
      <c r="U15" s="3068"/>
      <c r="V15" s="3068"/>
      <c r="W15" s="3068"/>
      <c r="X15" s="3068"/>
      <c r="Y15" s="3068"/>
      <c r="Z15" s="3068"/>
      <c r="AA15" s="3068"/>
      <c r="AB15" s="3068"/>
      <c r="AC15" s="3068"/>
    </row>
    <row r="16" s="3066" customFormat="1" ht="24.75" spans="1:29">
      <c r="A16" s="3118"/>
      <c r="B16" s="2709" t="s">
        <v>558</v>
      </c>
      <c r="C16" s="3119" t="str">
        <f>C4</f>
        <v>估价对象位于XX商圈，周边商业氛围成熟，人流量大，商业繁华度好</v>
      </c>
      <c r="D16" s="3088"/>
      <c r="E16" s="3120"/>
      <c r="F16" s="2711" t="s">
        <v>560</v>
      </c>
      <c r="G16" s="3121" t="str">
        <f>G4</f>
        <v>估价对象周边道路状况、公共交通通达情况、停车便捷程度，综合评价交通便捷度较好</v>
      </c>
      <c r="H16" s="3112"/>
      <c r="I16" s="3138"/>
      <c r="J16" s="3112"/>
      <c r="K16" s="3112"/>
      <c r="L16" s="3138"/>
      <c r="M16" s="3112"/>
      <c r="N16" s="3112"/>
      <c r="O16" s="3138"/>
      <c r="P16" s="3112"/>
      <c r="Q16" s="3112"/>
      <c r="R16" s="3142"/>
      <c r="S16" s="3068"/>
      <c r="T16" s="3068"/>
      <c r="U16" s="3068"/>
      <c r="V16" s="3068"/>
      <c r="W16" s="3068"/>
      <c r="X16" s="3068"/>
      <c r="Y16" s="3068"/>
      <c r="Z16" s="3068"/>
      <c r="AA16" s="3068"/>
      <c r="AB16" s="3068"/>
      <c r="AC16" s="3068"/>
    </row>
    <row r="17" s="3066" customFormat="1" ht="24.75" spans="1:29">
      <c r="A17" s="3118"/>
      <c r="B17" s="2709" t="s">
        <v>562</v>
      </c>
      <c r="C17" s="3119" t="str">
        <f>C5</f>
        <v>估价对象位于XX商圈，周边办公楼项目较多，入驻率高，办公集聚程度较好</v>
      </c>
      <c r="D17" s="2718"/>
      <c r="E17" s="3120"/>
      <c r="F17" s="2711" t="s">
        <v>574</v>
      </c>
      <c r="G17" s="3122"/>
      <c r="H17" s="3112"/>
      <c r="I17" s="3138"/>
      <c r="J17" s="3112"/>
      <c r="K17" s="3112"/>
      <c r="L17" s="3138"/>
      <c r="M17" s="3112"/>
      <c r="N17" s="3112"/>
      <c r="O17" s="3138"/>
      <c r="P17" s="3112"/>
      <c r="Q17" s="3112"/>
      <c r="R17" s="3142"/>
      <c r="S17" s="3068"/>
      <c r="T17" s="3068"/>
      <c r="U17" s="3068"/>
      <c r="V17" s="3068"/>
      <c r="W17" s="3068"/>
      <c r="X17" s="3068"/>
      <c r="Y17" s="3068"/>
      <c r="Z17" s="3068"/>
      <c r="AA17" s="3068"/>
      <c r="AB17" s="3068"/>
      <c r="AC17" s="3068"/>
    </row>
    <row r="18" s="3066" customFormat="1" ht="36" spans="1:29">
      <c r="A18" s="3118"/>
      <c r="B18" s="2711" t="s">
        <v>560</v>
      </c>
      <c r="C18" s="3121" t="str">
        <f>C6</f>
        <v>估价对象周边道路状况、公共交通通达情况、停车便捷程度，综合评价交通便捷度较好</v>
      </c>
      <c r="D18" s="2718"/>
      <c r="E18" s="3120"/>
      <c r="F18" s="2711" t="s">
        <v>568</v>
      </c>
      <c r="G18" s="3121" t="str">
        <f>G7</f>
        <v>该园区内是否有污染型企业，绿化情况，卫生条件，整体环境状况判断</v>
      </c>
      <c r="H18" s="3112"/>
      <c r="I18" s="3138"/>
      <c r="J18" s="3112"/>
      <c r="K18" s="3112"/>
      <c r="L18" s="3138"/>
      <c r="M18" s="3112"/>
      <c r="N18" s="3112"/>
      <c r="O18" s="3138"/>
      <c r="P18" s="3112"/>
      <c r="Q18" s="3112"/>
      <c r="R18" s="3142"/>
      <c r="S18" s="3068"/>
      <c r="T18" s="3068"/>
      <c r="U18" s="3068"/>
      <c r="V18" s="3068"/>
      <c r="W18" s="3068"/>
      <c r="X18" s="3068"/>
      <c r="Y18" s="3068"/>
      <c r="Z18" s="3068"/>
      <c r="AA18" s="3068"/>
      <c r="AB18" s="3068"/>
      <c r="AC18" s="3068"/>
    </row>
    <row r="19" s="3066" customFormat="1" ht="12.75" spans="1:29">
      <c r="A19" s="3118"/>
      <c r="B19" s="2711" t="s">
        <v>574</v>
      </c>
      <c r="C19" s="3122"/>
      <c r="D19" s="3088"/>
      <c r="E19" s="3120"/>
      <c r="F19" s="2327" t="s">
        <v>564</v>
      </c>
      <c r="G19" s="3121" t="str">
        <f>G5</f>
        <v>估价对象所在区域公共配套设施齐备情况</v>
      </c>
      <c r="H19" s="3112"/>
      <c r="I19" s="3138"/>
      <c r="J19" s="3112"/>
      <c r="K19" s="3112"/>
      <c r="L19" s="3138"/>
      <c r="M19" s="3112"/>
      <c r="N19" s="3112"/>
      <c r="O19" s="3138"/>
      <c r="P19" s="3112"/>
      <c r="Q19" s="3112"/>
      <c r="R19" s="3142"/>
      <c r="S19" s="3068"/>
      <c r="T19" s="3068"/>
      <c r="U19" s="3068"/>
      <c r="V19" s="3068"/>
      <c r="W19" s="3068"/>
      <c r="X19" s="3068"/>
      <c r="Y19" s="3068"/>
      <c r="Z19" s="3068"/>
      <c r="AA19" s="3068"/>
      <c r="AB19" s="3068"/>
      <c r="AC19" s="3068"/>
    </row>
    <row r="20" s="3066" customFormat="1" ht="24" spans="1:29">
      <c r="A20" s="3118"/>
      <c r="B20" s="2711" t="s">
        <v>575</v>
      </c>
      <c r="C20" s="3119" t="str">
        <f>C9</f>
        <v>区域自然环境：；人文环境；综合评价环境状况一般</v>
      </c>
      <c r="D20" s="2718"/>
      <c r="E20" s="3120"/>
      <c r="F20" s="2327" t="s">
        <v>566</v>
      </c>
      <c r="G20" s="3121" t="str">
        <f>G6</f>
        <v>估价对象所在区域基础设施水平</v>
      </c>
      <c r="H20" s="3112"/>
      <c r="I20" s="3138"/>
      <c r="J20" s="3112"/>
      <c r="K20" s="3112"/>
      <c r="L20" s="3138"/>
      <c r="M20" s="3112"/>
      <c r="N20" s="3112"/>
      <c r="O20" s="3138"/>
      <c r="P20" s="3112"/>
      <c r="Q20" s="3112"/>
      <c r="R20" s="3142"/>
      <c r="S20" s="3068"/>
      <c r="T20" s="3068"/>
      <c r="U20" s="3068"/>
      <c r="V20" s="3068"/>
      <c r="W20" s="3068"/>
      <c r="X20" s="3068"/>
      <c r="Y20" s="3068"/>
      <c r="Z20" s="3068"/>
      <c r="AA20" s="3068"/>
      <c r="AB20" s="3068"/>
      <c r="AC20" s="3068"/>
    </row>
    <row r="21" s="3066" customFormat="1" ht="24" spans="1:29">
      <c r="A21" s="3118"/>
      <c r="B21" s="2327" t="s">
        <v>564</v>
      </c>
      <c r="C21" s="3121" t="str">
        <f>C7</f>
        <v>估价对象所在区域公共配套设施齐备情况</v>
      </c>
      <c r="D21" s="3088"/>
      <c r="E21" s="3120"/>
      <c r="F21" s="2711" t="s">
        <v>576</v>
      </c>
      <c r="G21" s="3123"/>
      <c r="H21" s="3112"/>
      <c r="I21" s="3138"/>
      <c r="J21" s="3112"/>
      <c r="K21" s="3112"/>
      <c r="L21" s="3138"/>
      <c r="M21" s="3112"/>
      <c r="N21" s="3112"/>
      <c r="O21" s="3138"/>
      <c r="P21" s="3112"/>
      <c r="Q21" s="3112"/>
      <c r="R21" s="3142"/>
      <c r="S21" s="3068"/>
      <c r="T21" s="3068"/>
      <c r="U21" s="3068"/>
      <c r="V21" s="3068"/>
      <c r="W21" s="3068"/>
      <c r="X21" s="3068"/>
      <c r="Y21" s="3068"/>
      <c r="Z21" s="3068"/>
      <c r="AA21" s="3068"/>
      <c r="AB21" s="3068"/>
      <c r="AC21" s="3068"/>
    </row>
    <row r="22" s="3066" customFormat="1" ht="12.75" spans="1:29">
      <c r="A22" s="3118"/>
      <c r="B22" s="2327" t="s">
        <v>566</v>
      </c>
      <c r="C22" s="3121" t="str">
        <f>C8</f>
        <v>估价对象所在区域基础设施水平</v>
      </c>
      <c r="D22" s="3088"/>
      <c r="E22" s="3120"/>
      <c r="F22" s="2711" t="s">
        <v>572</v>
      </c>
      <c r="G22" s="3124"/>
      <c r="H22" s="3112"/>
      <c r="I22" s="3138"/>
      <c r="J22" s="3112"/>
      <c r="K22" s="3112"/>
      <c r="L22" s="3138"/>
      <c r="M22" s="3112"/>
      <c r="N22" s="3112"/>
      <c r="O22" s="3138"/>
      <c r="P22" s="3112"/>
      <c r="Q22" s="3112"/>
      <c r="R22" s="3142"/>
      <c r="S22" s="3068"/>
      <c r="T22" s="3068"/>
      <c r="U22" s="3068"/>
      <c r="V22" s="3068"/>
      <c r="W22" s="3068"/>
      <c r="X22" s="3068"/>
      <c r="Y22" s="3068"/>
      <c r="Z22" s="3068"/>
      <c r="AA22" s="3068"/>
      <c r="AB22" s="3068"/>
      <c r="AC22" s="3068"/>
    </row>
    <row r="23" s="3068" customFormat="1" ht="13.5" spans="1:18">
      <c r="A23" s="3118"/>
      <c r="B23" s="2711" t="s">
        <v>576</v>
      </c>
      <c r="C23" s="3123"/>
      <c r="D23" s="3112"/>
      <c r="E23" s="3125"/>
      <c r="F23" s="2719" t="s">
        <v>352</v>
      </c>
      <c r="G23" s="3126"/>
      <c r="H23" s="3112"/>
      <c r="I23" s="3138"/>
      <c r="J23" s="3112"/>
      <c r="K23" s="3112"/>
      <c r="L23" s="3138"/>
      <c r="M23" s="3112"/>
      <c r="N23" s="3112"/>
      <c r="O23" s="3138"/>
      <c r="P23" s="3112"/>
      <c r="Q23" s="3112"/>
      <c r="R23" s="3142"/>
    </row>
    <row r="24" s="3068" customFormat="1" ht="13.5" spans="1:18">
      <c r="A24" s="3127"/>
      <c r="B24" s="2719" t="s">
        <v>572</v>
      </c>
      <c r="C24" s="3128">
        <f>C10</f>
        <v>0</v>
      </c>
      <c r="D24" s="3112"/>
      <c r="E24" s="3129"/>
      <c r="F24" s="3129"/>
      <c r="G24" s="3130"/>
      <c r="H24" s="3112"/>
      <c r="I24" s="3138"/>
      <c r="J24" s="3112"/>
      <c r="K24" s="3112"/>
      <c r="L24" s="3138"/>
      <c r="M24" s="3112"/>
      <c r="N24" s="3112"/>
      <c r="O24" s="3138"/>
      <c r="P24" s="3112"/>
      <c r="Q24" s="3112"/>
      <c r="R24" s="3142"/>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D14" sqref="D14"/>
    </sheetView>
  </sheetViews>
  <sheetFormatPr defaultColWidth="14.625" defaultRowHeight="13.5"/>
  <cols>
    <col min="1" max="1" width="24.375" style="3051" customWidth="1"/>
    <col min="2" max="16384" width="14.625" style="3051"/>
  </cols>
  <sheetData>
    <row r="1" ht="16.5" spans="1:7">
      <c r="A1" s="3052" t="s">
        <v>577</v>
      </c>
      <c r="B1" s="3052">
        <f>SUM(B14:B23)</f>
        <v>59.11</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44873</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252.9435</v>
      </c>
      <c r="C5" s="3052">
        <f ca="1">ROUND(B5*10000/$B$1,0)</f>
        <v>42792</v>
      </c>
      <c r="D5" s="3052" t="e">
        <f ca="1">ROUND(B5*10000/$B$2,0)</f>
        <v>#DIV/0!</v>
      </c>
      <c r="E5" s="3053"/>
      <c r="F5" s="3054"/>
      <c r="G5" s="3054"/>
    </row>
    <row r="6" ht="16.5" spans="1:7">
      <c r="A6" s="3052" t="s">
        <v>585</v>
      </c>
      <c r="B6" s="3052">
        <f ca="1">SUM(G14:G23)</f>
        <v>252.9435</v>
      </c>
      <c r="C6" s="3052">
        <f ca="1" t="shared" ref="C6:C8" si="0">ROUND(B6*10000/$B$1,0)</f>
        <v>42792</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59.11</v>
      </c>
      <c r="C14" s="3060">
        <f>项目基本情况!C13</f>
        <v>0</v>
      </c>
      <c r="D14" s="3060">
        <f ca="1">ROUND(结果表!G20*B14/10000,4)-(结果表!D30/10000)</f>
        <v>252.9435</v>
      </c>
      <c r="E14" s="3060">
        <f ca="1">ROUND(D14/B14*10000,0)</f>
        <v>42792</v>
      </c>
      <c r="F14" s="3060" t="e">
        <f ca="1">ROUND(D14*10000/C14,0)</f>
        <v>#DIV/0!</v>
      </c>
      <c r="G14" s="3060">
        <f ca="1">D14</f>
        <v>252.9435</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1" t="s">
        <v>597</v>
      </c>
      <c r="B15" s="3062"/>
      <c r="C15" s="3062"/>
      <c r="D15" s="3062"/>
      <c r="E15" s="3060" t="e">
        <f t="shared" ref="E15:E23" si="2">ROUND(D15*10000/B15,0)</f>
        <v>#DIV/0!</v>
      </c>
      <c r="F15" s="3060" t="e">
        <f t="shared" ref="F15:F23" si="3">ROUND(D15*10000/C15,0)</f>
        <v>#DIV/0!</v>
      </c>
      <c r="G15" s="3063"/>
      <c r="H15" s="3063"/>
      <c r="I15" s="3062"/>
    </row>
    <row r="16" ht="16.5" spans="1:9">
      <c r="A16" s="3061" t="s">
        <v>598</v>
      </c>
      <c r="B16" s="3062"/>
      <c r="C16" s="3062"/>
      <c r="D16" s="3062"/>
      <c r="E16" s="3060" t="e">
        <f t="shared" si="2"/>
        <v>#DIV/0!</v>
      </c>
      <c r="F16" s="3060" t="e">
        <f t="shared" si="3"/>
        <v>#DIV/0!</v>
      </c>
      <c r="G16" s="3063"/>
      <c r="H16" s="3063"/>
      <c r="I16" s="3062"/>
    </row>
    <row r="17" ht="16.5" spans="1:9">
      <c r="A17" s="3061" t="s">
        <v>599</v>
      </c>
      <c r="B17" s="3062"/>
      <c r="C17" s="3062"/>
      <c r="D17" s="3062"/>
      <c r="E17" s="3060" t="e">
        <f t="shared" si="2"/>
        <v>#DIV/0!</v>
      </c>
      <c r="F17" s="3060" t="e">
        <f t="shared" si="3"/>
        <v>#DIV/0!</v>
      </c>
      <c r="G17" s="3063"/>
      <c r="H17" s="3063"/>
      <c r="I17" s="3062"/>
    </row>
    <row r="18" ht="16.5" spans="1:9">
      <c r="A18" s="3061" t="s">
        <v>600</v>
      </c>
      <c r="B18" s="3062"/>
      <c r="C18" s="3062"/>
      <c r="D18" s="3062"/>
      <c r="E18" s="3060" t="e">
        <f t="shared" si="2"/>
        <v>#DIV/0!</v>
      </c>
      <c r="F18" s="3060" t="e">
        <f t="shared" si="3"/>
        <v>#DIV/0!</v>
      </c>
      <c r="G18" s="3062"/>
      <c r="H18" s="3062"/>
      <c r="I18" s="3062"/>
    </row>
    <row r="19" ht="16.5" spans="1:9">
      <c r="A19" s="3061" t="s">
        <v>601</v>
      </c>
      <c r="B19" s="3062"/>
      <c r="C19" s="3062"/>
      <c r="D19" s="3062"/>
      <c r="E19" s="3060" t="e">
        <f t="shared" si="2"/>
        <v>#DIV/0!</v>
      </c>
      <c r="F19" s="3060" t="e">
        <f t="shared" si="3"/>
        <v>#DIV/0!</v>
      </c>
      <c r="G19" s="3062"/>
      <c r="H19" s="3062"/>
      <c r="I19" s="3062"/>
    </row>
    <row r="20" ht="16.5" spans="1:9">
      <c r="A20" s="3061" t="s">
        <v>602</v>
      </c>
      <c r="B20" s="3062"/>
      <c r="C20" s="3062"/>
      <c r="D20" s="3062"/>
      <c r="E20" s="3060" t="e">
        <f t="shared" si="2"/>
        <v>#DIV/0!</v>
      </c>
      <c r="F20" s="3060" t="e">
        <f t="shared" si="3"/>
        <v>#DIV/0!</v>
      </c>
      <c r="G20" s="3062"/>
      <c r="H20" s="3062"/>
      <c r="I20" s="3062"/>
    </row>
    <row r="21" ht="16.5" spans="1:9">
      <c r="A21" s="3061" t="s">
        <v>603</v>
      </c>
      <c r="B21" s="3062"/>
      <c r="C21" s="3062"/>
      <c r="D21" s="3062"/>
      <c r="E21" s="3060" t="e">
        <f t="shared" si="2"/>
        <v>#DIV/0!</v>
      </c>
      <c r="F21" s="3060" t="e">
        <f t="shared" si="3"/>
        <v>#DIV/0!</v>
      </c>
      <c r="G21" s="3062"/>
      <c r="H21" s="3062"/>
      <c r="I21" s="3062"/>
    </row>
    <row r="22" ht="16.5" spans="1:9">
      <c r="A22" s="3061" t="s">
        <v>604</v>
      </c>
      <c r="B22" s="3062"/>
      <c r="C22" s="3062"/>
      <c r="D22" s="3062"/>
      <c r="E22" s="3060" t="e">
        <f t="shared" si="2"/>
        <v>#DIV/0!</v>
      </c>
      <c r="F22" s="3060" t="e">
        <f t="shared" si="3"/>
        <v>#DIV/0!</v>
      </c>
      <c r="G22" s="3062"/>
      <c r="H22" s="3062"/>
      <c r="I22" s="3062"/>
    </row>
    <row r="23" ht="16.5" spans="1:9">
      <c r="A23" s="3061" t="s">
        <v>605</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C5" sqref="C5:C18"/>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3.5" spans="1:10">
      <c r="A3" s="2599" t="s">
        <v>607</v>
      </c>
      <c r="B3" s="2323"/>
      <c r="C3" s="2323"/>
      <c r="D3" s="2323"/>
      <c r="E3" s="2323"/>
      <c r="F3" s="2323"/>
      <c r="G3" s="2323"/>
      <c r="H3" s="2323"/>
      <c r="I3" s="2323"/>
      <c r="J3" s="2730"/>
    </row>
    <row r="4" ht="14.25" spans="1:15">
      <c r="A4" s="2600" t="s">
        <v>608</v>
      </c>
      <c r="B4" s="2600" t="s">
        <v>609</v>
      </c>
      <c r="C4" s="2601" t="s">
        <v>610</v>
      </c>
      <c r="D4" s="2601" t="s">
        <v>611</v>
      </c>
      <c r="E4" s="2305" t="s">
        <v>612</v>
      </c>
      <c r="F4" s="2306"/>
      <c r="G4" s="2306"/>
      <c r="H4" s="2306"/>
      <c r="I4" s="2714"/>
      <c r="J4" s="2731"/>
      <c r="L4" s="2597" t="str">
        <f>IF(ISNUMBER(FIND("比较法",结果表!C4)),"比较法",IF(ISNUMBER(FIND("成本法",结果表!C4)),"成本法",IF(ISNUMBER(FIND("假设开发法",结果表!C4)),"假设开发法",IF(ISNUMBER(FIND("收益法",结果表!C4)),"收益法","基准地价系数修正法"))))</f>
        <v>收益法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294" t="s">
        <v>613</v>
      </c>
      <c r="B5" s="1294">
        <v>25</v>
      </c>
      <c r="C5" s="2602">
        <v>11</v>
      </c>
      <c r="D5" s="2603">
        <v>23</v>
      </c>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v>8</v>
      </c>
      <c r="D8" s="2603">
        <v>14</v>
      </c>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v>7</v>
      </c>
      <c r="D10" s="2603">
        <v>14</v>
      </c>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v>8</v>
      </c>
      <c r="D12" s="2603">
        <v>14</v>
      </c>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v>6</v>
      </c>
      <c r="D14" s="2603">
        <v>28</v>
      </c>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40</v>
      </c>
      <c r="D17" s="2607">
        <f>SUM(D5:D16)</f>
        <v>93</v>
      </c>
      <c r="E17" s="2608"/>
      <c r="F17" s="2608"/>
      <c r="G17" s="2608"/>
      <c r="H17" s="2608"/>
      <c r="I17" s="2608"/>
      <c r="J17" s="2732"/>
    </row>
    <row r="18" ht="30" customHeight="1" spans="1:10">
      <c r="A18" s="2609" t="s">
        <v>631</v>
      </c>
      <c r="B18" s="2610"/>
      <c r="C18" s="2611">
        <f>ROUND(C17/SUM(C17:D17),2)</f>
        <v>0.3</v>
      </c>
      <c r="D18" s="2611">
        <f>1-C18</f>
        <v>0.7</v>
      </c>
      <c r="E18" s="2612" t="s">
        <v>632</v>
      </c>
      <c r="F18" s="2613"/>
      <c r="G18" s="2613"/>
      <c r="H18" s="2613"/>
      <c r="I18" s="2613"/>
      <c r="J18" s="2732"/>
    </row>
    <row r="19" ht="14.25" spans="1:10">
      <c r="A19" s="2614" t="s">
        <v>633</v>
      </c>
      <c r="B19" s="2615" t="s">
        <v>634</v>
      </c>
      <c r="C19" s="2616">
        <f ca="1">SUMIF(INDIRECT("'"&amp;C4&amp;"'"&amp;"!A:A"),结果表!B19,INDIRECT("'"&amp;C4&amp;"'"&amp;"!B:B"))</f>
        <v>1996563</v>
      </c>
      <c r="D19" s="2617">
        <f ca="1">SUMIF(INDIRECT("'"&amp;D4&amp;"'"&amp;"!A:A"),结果表!B19,INDIRECT("'"&amp;D4&amp;"'"&amp;"!B:B"))</f>
        <v>2757777</v>
      </c>
      <c r="E19" s="2614" t="s">
        <v>635</v>
      </c>
      <c r="F19" s="2615" t="s">
        <v>634</v>
      </c>
      <c r="G19" s="2618">
        <f ca="1">ROUND(C19*$C$18+D19*$D$18,0)</f>
        <v>2529413</v>
      </c>
      <c r="H19" s="2619" t="str">
        <f>'数据-取费表'!B3</f>
        <v>元</v>
      </c>
      <c r="I19" s="2993"/>
      <c r="J19" s="2994"/>
    </row>
    <row r="20" ht="15" spans="1:10">
      <c r="A20" s="2620"/>
      <c r="B20" s="1311" t="s">
        <v>636</v>
      </c>
      <c r="C20" s="1218">
        <f ca="1">SUMIF(INDIRECT("'"&amp;C4&amp;"'"&amp;"!A:A"),结果表!B20,INDIRECT("'"&amp;C4&amp;"'"&amp;"!B:B"))</f>
        <v>33777</v>
      </c>
      <c r="D20" s="2557">
        <f ca="1">SUMIF(INDIRECT("'"&amp;D4&amp;"'"&amp;"!A:A"),结果表!B20,INDIRECT("'"&amp;D4&amp;"'"&amp;"!B:B"))</f>
        <v>46655</v>
      </c>
      <c r="E20" s="2620"/>
      <c r="F20" s="1311" t="s">
        <v>636</v>
      </c>
      <c r="G20" s="1242">
        <f ca="1">ROUND(C20*$C$18+D20*$D$18,0)</f>
        <v>42792</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0.381262199089135</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644</v>
      </c>
      <c r="B27" s="2636">
        <f>'数据-取费表'!B5</f>
        <v>59.11</v>
      </c>
      <c r="C27" s="2636">
        <v>15.6</v>
      </c>
      <c r="D27" s="2637">
        <f>ROUND(B27*C27,0)</f>
        <v>922</v>
      </c>
      <c r="E27" s="2423"/>
      <c r="F27" s="2423"/>
      <c r="G27" s="2423"/>
      <c r="H27" s="2423"/>
      <c r="I27" s="2423"/>
      <c r="J27" s="2732"/>
    </row>
    <row r="28" ht="14.25" spans="1:10">
      <c r="A28" s="2635"/>
      <c r="B28" s="2636"/>
      <c r="C28" s="2636"/>
      <c r="D28" s="2637">
        <f t="shared" ref="D28:D29" si="0">ROUND(C28*B28/10000,0)</f>
        <v>0</v>
      </c>
      <c r="E28" s="2423"/>
      <c r="F28" s="2423"/>
      <c r="G28" s="2423"/>
      <c r="H28" s="2423"/>
      <c r="I28" s="2423"/>
      <c r="J28" s="2732"/>
    </row>
    <row r="29" ht="14.25" spans="1:10">
      <c r="A29" s="2635"/>
      <c r="B29" s="2636"/>
      <c r="C29" s="2636"/>
      <c r="D29" s="2637">
        <f t="shared" si="0"/>
        <v>0</v>
      </c>
      <c r="E29" s="2423"/>
      <c r="F29" s="2423"/>
      <c r="G29" s="2423"/>
      <c r="H29" s="2423"/>
      <c r="I29" s="2423"/>
      <c r="J29" s="2732"/>
    </row>
    <row r="30" ht="15" spans="1:10">
      <c r="A30" s="2640" t="s">
        <v>645</v>
      </c>
      <c r="B30" s="2640"/>
      <c r="C30" s="2640"/>
      <c r="D30" s="2640"/>
      <c r="E30" s="2641" t="s">
        <v>646</v>
      </c>
      <c r="F30" s="2608"/>
      <c r="G30" s="2608"/>
      <c r="H30" s="2608"/>
      <c r="I30" s="2608"/>
      <c r="J30" s="2732"/>
    </row>
    <row r="31" s="2590" customFormat="1" ht="26.45"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3" t="s">
        <v>648</v>
      </c>
      <c r="B32" s="2964" t="str">
        <f>'数据-取费表'!B4</f>
        <v>楼面单价</v>
      </c>
      <c r="C32" s="2965">
        <f ca="1">IF(B32="总价",G19-C24,G20-C25)</f>
        <v>42792</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649</v>
      </c>
      <c r="B33" s="2308"/>
      <c r="C33" s="2969"/>
      <c r="D33" s="2970"/>
      <c r="E33" s="2971" t="s">
        <v>650</v>
      </c>
      <c r="F33" s="2972" t="str">
        <f>IF(B32="楼面单价","取值（单价）","取值（总价）")</f>
        <v>取值（单价）</v>
      </c>
      <c r="G33" s="2423"/>
      <c r="H33" s="2423"/>
      <c r="I33" s="2423"/>
      <c r="J33" s="2732"/>
    </row>
    <row r="34" ht="15" spans="1:10">
      <c r="A34" s="2973"/>
      <c r="B34" s="2974" t="s">
        <v>651</v>
      </c>
      <c r="C34" s="2975">
        <f ca="1">IF(D33="自定义",F34,C32-C35)</f>
        <v>39882</v>
      </c>
      <c r="D34" s="2976">
        <f ca="1">IF(D33="自定义",ROUND(C34/C32,3),1-D35)</f>
        <v>0.932</v>
      </c>
      <c r="E34" s="2977" t="s">
        <v>652</v>
      </c>
      <c r="F34" s="2978">
        <v>2000</v>
      </c>
      <c r="G34" s="2423"/>
      <c r="H34" s="2423"/>
      <c r="I34" s="2423"/>
      <c r="J34" s="2732"/>
    </row>
    <row r="35" ht="15.75" spans="1:10">
      <c r="A35" s="2657"/>
      <c r="B35" s="2979" t="s">
        <v>653</v>
      </c>
      <c r="C35" s="2980">
        <f ca="1">IF(D33="自定义",F35,ROUND(C32*D35,0))</f>
        <v>2910</v>
      </c>
      <c r="D35" s="2981">
        <f ca="1">IF(D33="自定义",ROUND(C35/C32,3),IF(D33="成本法成本比率",成本法!C56,IF(D33="收益法收益比率",收益法!J38,收益法!J41)))</f>
        <v>0.068</v>
      </c>
      <c r="E35" s="2982" t="s">
        <v>654</v>
      </c>
      <c r="F35" s="2678">
        <v>4460</v>
      </c>
      <c r="G35" s="2423"/>
      <c r="H35" s="2423"/>
      <c r="I35" s="2423"/>
      <c r="J35" s="2732"/>
    </row>
    <row r="36" ht="15.75" spans="1:10">
      <c r="A36" s="1122" t="s">
        <v>655</v>
      </c>
      <c r="B36" s="2655" t="s">
        <v>656</v>
      </c>
      <c r="C36" s="2660">
        <v>0</v>
      </c>
      <c r="D36" s="2661"/>
      <c r="E36" s="2662"/>
      <c r="F36" s="2662"/>
      <c r="G36" s="2423"/>
      <c r="H36" s="2423"/>
      <c r="I36" s="2423"/>
      <c r="J36" s="2732"/>
    </row>
    <row r="37" ht="15.75" spans="1:10">
      <c r="A37" s="1134"/>
      <c r="B37" s="1293" t="s">
        <v>657</v>
      </c>
      <c r="C37" s="2663">
        <v>0</v>
      </c>
      <c r="D37" s="2664"/>
      <c r="E37" s="2664"/>
      <c r="F37" s="2662"/>
      <c r="G37" s="2664"/>
      <c r="H37" s="2664"/>
      <c r="I37" s="2664"/>
      <c r="J37" s="2737"/>
    </row>
    <row r="38" ht="15.75" spans="1:10">
      <c r="A38" s="2665"/>
      <c r="B38" s="2658" t="s">
        <v>658</v>
      </c>
      <c r="C38" s="2666">
        <v>0</v>
      </c>
      <c r="D38" s="2667" t="s">
        <v>659</v>
      </c>
      <c r="E38" s="2664"/>
      <c r="F38" s="2662"/>
      <c r="G38" s="2664"/>
      <c r="H38" s="2664"/>
      <c r="I38" s="2664"/>
      <c r="J38" s="2737"/>
    </row>
    <row r="39" ht="14.25" spans="1:10">
      <c r="A39" s="2620" t="s">
        <v>660</v>
      </c>
      <c r="B39" s="2668" t="s">
        <v>641</v>
      </c>
      <c r="C39" s="2669" t="s">
        <v>642</v>
      </c>
      <c r="D39" s="2669" t="s">
        <v>661</v>
      </c>
      <c r="E39" s="2670" t="s">
        <v>643</v>
      </c>
      <c r="F39" s="2662"/>
      <c r="G39" s="2664"/>
      <c r="H39" s="2664"/>
      <c r="I39" s="2664"/>
      <c r="J39" s="2737"/>
    </row>
    <row r="40" ht="14.25" spans="1:10">
      <c r="A40" s="2671" t="s">
        <v>662</v>
      </c>
      <c r="B40" s="2672"/>
      <c r="C40" s="2673"/>
      <c r="D40" s="2673"/>
      <c r="E40" s="2674"/>
      <c r="F40" s="2662"/>
      <c r="G40" s="2664"/>
      <c r="H40" s="2664"/>
      <c r="I40" s="2664"/>
      <c r="J40" s="2737"/>
    </row>
    <row r="41" ht="14.25" spans="1:10">
      <c r="A41" s="2671" t="s">
        <v>663</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3"/>
      <c r="G43" s="2983"/>
      <c r="H43" s="2983"/>
      <c r="I43" s="2997"/>
      <c r="J43" s="2739"/>
    </row>
    <row r="44" ht="18.75" spans="1:17">
      <c r="A44" s="2681" t="s">
        <v>664</v>
      </c>
      <c r="B44" s="2682"/>
      <c r="C44" s="2682"/>
      <c r="D44" s="2984"/>
      <c r="E44" s="2984"/>
      <c r="F44" s="2985"/>
      <c r="G44" s="2985"/>
      <c r="H44" s="2985"/>
      <c r="I44" s="2740" t="s">
        <v>665</v>
      </c>
      <c r="J44" s="2998"/>
      <c r="K44" s="2742" t="s">
        <v>666</v>
      </c>
      <c r="L44" s="2743"/>
      <c r="M44" s="2743"/>
      <c r="N44" s="2743"/>
      <c r="O44" s="2743"/>
      <c r="P44" s="2743"/>
      <c r="Q44" s="2593"/>
    </row>
    <row r="45" ht="14.25" customHeight="1" spans="1:17">
      <c r="A45" s="2684" t="s">
        <v>667</v>
      </c>
      <c r="B45" s="2685"/>
      <c r="C45" s="2686"/>
      <c r="D45" s="2284">
        <f ca="1">ROUND(I102*F45,0)</f>
        <v>2529435</v>
      </c>
      <c r="E45" s="2372" t="s">
        <v>668</v>
      </c>
      <c r="F45" s="2687">
        <v>1</v>
      </c>
      <c r="G45" s="2688" t="s">
        <v>669</v>
      </c>
      <c r="H45" s="2423"/>
      <c r="I45" s="2423"/>
      <c r="J45" s="2732"/>
      <c r="K45" s="2999" t="s">
        <v>670</v>
      </c>
      <c r="L45" s="2999"/>
      <c r="M45" s="2999"/>
      <c r="N45" s="2999"/>
      <c r="O45" s="2999"/>
      <c r="P45" s="2999"/>
      <c r="Q45" s="2593"/>
    </row>
    <row r="46" ht="14.25" customHeight="1" spans="1:17">
      <c r="A46" s="2689" t="s">
        <v>671</v>
      </c>
      <c r="B46" s="2690"/>
      <c r="C46" s="2690"/>
      <c r="D46" s="2690"/>
      <c r="E46" s="2690"/>
      <c r="F46" s="2690"/>
      <c r="G46" s="2691"/>
      <c r="H46" s="2692"/>
      <c r="I46" s="2423"/>
      <c r="J46" s="2732"/>
      <c r="K46" s="3000">
        <v>1</v>
      </c>
      <c r="L46" s="3001" t="s">
        <v>97</v>
      </c>
      <c r="M46" s="3001"/>
      <c r="N46" s="3002" t="str">
        <f>项目基本情况!B1</f>
        <v>北京市预评估</v>
      </c>
      <c r="O46" s="3002"/>
      <c r="P46" s="3002"/>
      <c r="Q46" s="2593"/>
    </row>
    <row r="47" ht="12" customHeight="1" spans="1:17">
      <c r="A47" s="2693" t="s">
        <v>672</v>
      </c>
      <c r="B47" s="2694"/>
      <c r="C47" s="2695"/>
      <c r="D47" s="2322" t="s">
        <v>673</v>
      </c>
      <c r="E47" s="2272" t="s">
        <v>674</v>
      </c>
      <c r="F47" s="2484" t="s">
        <v>675</v>
      </c>
      <c r="G47" s="2696" t="s">
        <v>676</v>
      </c>
      <c r="H47" s="2692"/>
      <c r="I47" s="2423"/>
      <c r="J47" s="2732"/>
      <c r="K47" s="3000">
        <v>2</v>
      </c>
      <c r="L47" s="3001" t="s">
        <v>677</v>
      </c>
      <c r="M47" s="3001"/>
      <c r="N47" s="3003">
        <f>'数据-取费表'!B2</f>
        <v>44873</v>
      </c>
      <c r="O47" s="3003"/>
      <c r="P47" s="3003"/>
      <c r="Q47" s="2593"/>
    </row>
    <row r="48" ht="24.75" spans="1:17">
      <c r="A48" s="2697" t="s">
        <v>678</v>
      </c>
      <c r="B48" s="2327"/>
      <c r="C48" s="2327"/>
      <c r="D48" s="2384">
        <f ca="1">IF(H48="情况1",0,IF(H48="情况2",D52,IF(H48="情况3",D53,IF(H48="情况4",D54))))</f>
        <v>134903</v>
      </c>
      <c r="E48" s="2327" t="str">
        <f>IF(H48="情况4","(销售额-原购置价)×税（费）率","销售额×税（费）率")</f>
        <v>销售额×税（费）率</v>
      </c>
      <c r="F48" s="2698">
        <f>IF(H48="情况1","免征",'数据-取费表'!E29)</f>
        <v>0.056</v>
      </c>
      <c r="G48" s="2699" t="s">
        <v>679</v>
      </c>
      <c r="H48" s="2700" t="s">
        <v>680</v>
      </c>
      <c r="I48" s="2692"/>
      <c r="J48" s="2749"/>
      <c r="K48" s="3000">
        <v>3</v>
      </c>
      <c r="L48" s="3001" t="s">
        <v>681</v>
      </c>
      <c r="M48" s="3001"/>
      <c r="N48" s="3002">
        <f ca="1">I102</f>
        <v>2529435</v>
      </c>
      <c r="O48" s="3002"/>
      <c r="P48" s="3002"/>
      <c r="Q48" s="2593"/>
    </row>
    <row r="49" ht="25.5" customHeight="1" spans="1:17">
      <c r="A49" s="2697" t="s">
        <v>682</v>
      </c>
      <c r="B49" s="2306" t="s">
        <v>683</v>
      </c>
      <c r="C49" s="2306"/>
      <c r="D49" s="2701">
        <v>0</v>
      </c>
      <c r="E49" s="2333" t="s">
        <v>684</v>
      </c>
      <c r="F49" s="2702" t="s">
        <v>121</v>
      </c>
      <c r="G49" s="2703"/>
      <c r="H49" s="2704" t="s">
        <v>685</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06" t="s">
        <v>686</v>
      </c>
      <c r="C50" s="2306"/>
      <c r="D50" s="2706"/>
      <c r="E50" s="2343"/>
      <c r="F50" s="2702"/>
      <c r="G50" s="2707"/>
      <c r="H50" s="2708" t="s">
        <v>687</v>
      </c>
      <c r="I50" s="2751"/>
      <c r="J50" s="2752"/>
      <c r="K50" s="3001" t="s">
        <v>688</v>
      </c>
      <c r="L50" s="3001"/>
      <c r="M50" s="3001"/>
      <c r="N50" s="3001"/>
      <c r="O50" s="3001"/>
      <c r="P50" s="3001"/>
      <c r="Q50" s="2593"/>
    </row>
    <row r="51" ht="20.45" customHeight="1" spans="1:17">
      <c r="A51" s="2709"/>
      <c r="B51" s="2306" t="s">
        <v>689</v>
      </c>
      <c r="C51" s="2306"/>
      <c r="D51" s="2322"/>
      <c r="E51" s="447"/>
      <c r="F51" s="2702"/>
      <c r="G51" s="2710"/>
      <c r="H51" s="2708" t="s">
        <v>690</v>
      </c>
      <c r="I51" s="2751"/>
      <c r="J51" s="2752"/>
      <c r="K51" s="3001" t="s">
        <v>691</v>
      </c>
      <c r="L51" s="3001" t="s">
        <v>692</v>
      </c>
      <c r="M51" s="3001"/>
      <c r="N51" s="3001" t="s">
        <v>693</v>
      </c>
      <c r="O51" s="3001" t="s">
        <v>694</v>
      </c>
      <c r="P51" s="3001" t="s">
        <v>695</v>
      </c>
      <c r="Q51" s="2593"/>
    </row>
    <row r="52" ht="24" customHeight="1" spans="1:17">
      <c r="A52" s="2711" t="s">
        <v>696</v>
      </c>
      <c r="B52" s="2306" t="s">
        <v>697</v>
      </c>
      <c r="C52" s="2306"/>
      <c r="D52" s="2322">
        <f ca="1">ROUND(D45*'数据-取费表'!E29/(1+'数据-取费表'!F30),0)</f>
        <v>134903</v>
      </c>
      <c r="E52" s="2327" t="s">
        <v>698</v>
      </c>
      <c r="F52" s="2712">
        <f>'数据-取费表'!E29</f>
        <v>0.056</v>
      </c>
      <c r="G52" s="2713"/>
      <c r="H52" s="2423"/>
      <c r="I52" s="2753"/>
      <c r="J52" s="2752"/>
      <c r="K52" s="3000">
        <v>1</v>
      </c>
      <c r="L52" s="3000" t="s">
        <v>699</v>
      </c>
      <c r="M52" s="3000"/>
      <c r="N52" s="3004">
        <f ca="1">D48</f>
        <v>134903</v>
      </c>
      <c r="O52" s="3000" t="str">
        <f>E48</f>
        <v>销售额×税（费）率</v>
      </c>
      <c r="P52" s="3005">
        <f>F48</f>
        <v>0.056</v>
      </c>
      <c r="Q52" s="2593"/>
    </row>
    <row r="53" ht="12" customHeight="1" spans="1:17">
      <c r="A53" s="2711" t="s">
        <v>700</v>
      </c>
      <c r="B53" s="2305" t="s">
        <v>701</v>
      </c>
      <c r="C53" s="2714"/>
      <c r="D53" s="2322">
        <f ca="1">ROUND(D45*'数据-取费表'!E29/(1+'数据-取费表'!F30),0)</f>
        <v>134903</v>
      </c>
      <c r="E53" s="2327" t="s">
        <v>698</v>
      </c>
      <c r="F53" s="2712">
        <f>'数据-取费表'!E29</f>
        <v>0.056</v>
      </c>
      <c r="G53" s="2713"/>
      <c r="H53" s="2423"/>
      <c r="I53" s="2753"/>
      <c r="J53" s="2752"/>
      <c r="K53" s="3000">
        <v>2</v>
      </c>
      <c r="L53" s="3000" t="s">
        <v>702</v>
      </c>
      <c r="M53" s="3000"/>
      <c r="N53" s="3004">
        <f ca="1" t="shared" ref="N53:P54" si="1">D55</f>
        <v>0</v>
      </c>
      <c r="O53" s="3000" t="str">
        <f t="shared" si="1"/>
        <v>销售额×税（费）率</v>
      </c>
      <c r="P53" s="3005" t="str">
        <f t="shared" si="1"/>
        <v>免征</v>
      </c>
      <c r="Q53" s="2593"/>
    </row>
    <row r="54" ht="12" customHeight="1" spans="1:17">
      <c r="A54" s="2711" t="s">
        <v>703</v>
      </c>
      <c r="B54" s="2305" t="s">
        <v>704</v>
      </c>
      <c r="C54" s="2714"/>
      <c r="D54" s="2322">
        <f ca="1">C68</f>
        <v>134903</v>
      </c>
      <c r="E54" s="447" t="s">
        <v>705</v>
      </c>
      <c r="F54" s="2712">
        <f>'数据-取费表'!E29</f>
        <v>0.056</v>
      </c>
      <c r="G54" s="2713"/>
      <c r="H54" s="2715"/>
      <c r="I54" s="2753"/>
      <c r="J54" s="2752"/>
      <c r="K54" s="3000">
        <v>3</v>
      </c>
      <c r="L54" s="3000" t="s">
        <v>706</v>
      </c>
      <c r="M54" s="3000"/>
      <c r="N54" s="3004">
        <f ca="1" t="shared" si="1"/>
        <v>0</v>
      </c>
      <c r="O54" s="3000" t="str">
        <f t="shared" si="1"/>
        <v>增值额×税（费）率</v>
      </c>
      <c r="P54" s="3006" t="str">
        <f t="shared" si="1"/>
        <v>免征</v>
      </c>
      <c r="Q54" s="2593"/>
    </row>
    <row r="55" ht="24" customHeight="1" spans="1:17">
      <c r="A55" s="2711" t="s">
        <v>707</v>
      </c>
      <c r="B55" s="2327"/>
      <c r="C55" s="2327"/>
      <c r="D55" s="2384">
        <f ca="1">IF(H55="个人住宅",0,ROUND(D45*I55,0))</f>
        <v>0</v>
      </c>
      <c r="E55" s="2327" t="s">
        <v>708</v>
      </c>
      <c r="F55" s="2712" t="str">
        <f>IF(H55="正常",I55,"免征")</f>
        <v>免征</v>
      </c>
      <c r="G55" s="2713"/>
      <c r="H55" s="2700" t="s">
        <v>709</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4.75" spans="1:17">
      <c r="A56" s="2711" t="s">
        <v>710</v>
      </c>
      <c r="B56" s="2327"/>
      <c r="C56" s="2327"/>
      <c r="D56" s="2384">
        <f ca="1">IF(H56="个人住宅",D57,D58)</f>
        <v>0</v>
      </c>
      <c r="E56" s="2327" t="s">
        <v>711</v>
      </c>
      <c r="F56" s="2712" t="str">
        <f>IF(H56="正常",F58,"免征")</f>
        <v>免征</v>
      </c>
      <c r="G56" s="2716" t="s">
        <v>712</v>
      </c>
      <c r="H56" s="2717" t="s">
        <v>709</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3.5" spans="1:17">
      <c r="A57" s="2711" t="s">
        <v>682</v>
      </c>
      <c r="B57" s="2305" t="s">
        <v>713</v>
      </c>
      <c r="C57" s="2714"/>
      <c r="D57" s="2701">
        <v>0</v>
      </c>
      <c r="E57" s="2333" t="s">
        <v>684</v>
      </c>
      <c r="F57" s="2272"/>
      <c r="G57" s="2713"/>
      <c r="H57" s="2718"/>
      <c r="I57" s="2718"/>
      <c r="J57" s="2752"/>
      <c r="K57" s="3000">
        <f>IF(AND(K55="",K56=""),4,IF(项目基本情况!I6="上海银行",K56+1,K55+1))</f>
        <v>4</v>
      </c>
      <c r="L57" s="3000" t="s">
        <v>431</v>
      </c>
      <c r="M57" s="3013" t="s">
        <v>714</v>
      </c>
      <c r="N57" s="3014"/>
      <c r="O57" s="3015">
        <f ca="1">SUMIF(N52:N56,"&lt;9e307")</f>
        <v>134903</v>
      </c>
      <c r="P57" s="3016"/>
      <c r="Q57" s="2779" t="e">
        <f ca="1">O57/N49</f>
        <v>#VALUE!</v>
      </c>
    </row>
    <row r="58" ht="24.75" spans="1:17">
      <c r="A58" s="2711" t="s">
        <v>696</v>
      </c>
      <c r="B58" s="2305" t="s">
        <v>715</v>
      </c>
      <c r="C58" s="2306"/>
      <c r="D58" s="2384">
        <f ca="1">IF(H58="转让取得",C81,C97)</f>
        <v>1431660</v>
      </c>
      <c r="E58" s="2327" t="s">
        <v>711</v>
      </c>
      <c r="F58" s="2272" t="s">
        <v>121</v>
      </c>
      <c r="G58" s="2713"/>
      <c r="H58" s="2717" t="s">
        <v>716</v>
      </c>
      <c r="I58" s="2718"/>
      <c r="J58" s="2752"/>
      <c r="K58" s="3000"/>
      <c r="L58" s="3000"/>
      <c r="M58" s="3013" t="s">
        <v>717</v>
      </c>
      <c r="N58" s="3017"/>
      <c r="O58" s="3018" t="str">
        <f ca="1">IF(H19="元",NUMBERSTRING(INT(O57),2)&amp;"元整",NUMBERSTRING(INT(O57*10000),2)&amp;"元整")</f>
        <v>壹拾叁万肆仟玖佰零叁元整</v>
      </c>
      <c r="P58" s="3019"/>
      <c r="Q58" s="2593"/>
    </row>
    <row r="59" ht="24.75" spans="1:17">
      <c r="A59" s="2719" t="s">
        <v>718</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719</v>
      </c>
      <c r="H59" s="2724" t="s">
        <v>720</v>
      </c>
      <c r="I59" s="3020" t="s">
        <v>721</v>
      </c>
      <c r="J59" s="2752"/>
      <c r="K59" s="3008">
        <f>K57+1</f>
        <v>5</v>
      </c>
      <c r="L59" s="3000" t="s">
        <v>587</v>
      </c>
      <c r="M59" s="3000" t="s">
        <v>714</v>
      </c>
      <c r="N59" s="3021"/>
      <c r="O59" s="3022" t="e">
        <f ca="1">N49-O57</f>
        <v>#VALUE!</v>
      </c>
      <c r="P59" s="3023"/>
      <c r="Q59" s="2593"/>
    </row>
    <row r="60" ht="12" customHeight="1" spans="1:17">
      <c r="A60" s="2725"/>
      <c r="B60" s="2597"/>
      <c r="C60" s="2597"/>
      <c r="D60" s="2597"/>
      <c r="E60" s="2835"/>
      <c r="F60" s="2988"/>
      <c r="G60" s="2988"/>
      <c r="H60" s="2989"/>
      <c r="I60" s="1756"/>
      <c r="K60" s="3024"/>
      <c r="L60" s="3000"/>
      <c r="M60" s="3013" t="s">
        <v>717</v>
      </c>
      <c r="N60" s="3017"/>
      <c r="O60" s="3018" t="e">
        <f ca="1">IF(H19="元",NUMBERSTRING(INT(O59),2)&amp;"元整",NUMBERSTRING(INT(O59*10000),2)&amp;"元整")</f>
        <v>#VALUE!</v>
      </c>
      <c r="P60" s="3019"/>
      <c r="Q60" s="2593"/>
    </row>
    <row r="61" ht="14.25" spans="1:17">
      <c r="A61" s="2990" t="s">
        <v>722</v>
      </c>
      <c r="B61" s="2990"/>
      <c r="C61" s="2990"/>
      <c r="D61" s="2990"/>
      <c r="E61" s="2990"/>
      <c r="F61" s="2988"/>
      <c r="G61" s="2988"/>
      <c r="H61" s="2991"/>
      <c r="I61" s="1756"/>
      <c r="K61" s="3000">
        <f>K59+1</f>
        <v>6</v>
      </c>
      <c r="L61" s="3000" t="s">
        <v>723</v>
      </c>
      <c r="M61" s="3000"/>
      <c r="N61" s="3025"/>
      <c r="O61" s="3026" t="e">
        <f ca="1">IF(H19="元",ROUND(O59/项目基本情况!C12,0),ROUND(O59*10000/项目基本情况!C12,0))</f>
        <v>#VALUE!</v>
      </c>
      <c r="P61" s="3027"/>
      <c r="Q61" s="2593"/>
    </row>
    <row r="62" ht="13.5" spans="1:17">
      <c r="A62" s="459" t="s">
        <v>724</v>
      </c>
      <c r="B62" s="425"/>
      <c r="C62" s="425"/>
      <c r="D62" s="425" t="s">
        <v>725</v>
      </c>
      <c r="E62" s="2728" t="s">
        <v>676</v>
      </c>
      <c r="F62" s="2988"/>
      <c r="G62" s="2988"/>
      <c r="H62" s="2991"/>
      <c r="I62" s="1756"/>
      <c r="K62" s="3028"/>
      <c r="L62" s="3028"/>
      <c r="M62" s="3028"/>
      <c r="N62" s="3028"/>
      <c r="O62" s="3028"/>
      <c r="P62" s="3028"/>
      <c r="Q62" s="2593"/>
    </row>
    <row r="63" ht="13.5" spans="1:17">
      <c r="A63" s="2781">
        <v>1</v>
      </c>
      <c r="B63" s="2782" t="s">
        <v>726</v>
      </c>
      <c r="C63" s="2783">
        <f ca="1">ROUND((C64+C65)/(1+'数据-取费表'!F30),0)</f>
        <v>2408986</v>
      </c>
      <c r="D63" s="2782"/>
      <c r="E63" s="2784"/>
      <c r="F63" s="2988"/>
      <c r="G63" s="2988"/>
      <c r="H63" s="2991"/>
      <c r="I63" s="1756"/>
      <c r="K63" s="3029" t="s">
        <v>727</v>
      </c>
      <c r="L63" s="3029" t="s">
        <v>728</v>
      </c>
      <c r="M63" s="3029" t="e">
        <f ca="1">IF(N49&gt;10000,N49*0.5%,IF(AND(N49&gt;1000,N49&lt;=10000),N49*1%,IF(AND(N49&gt;100,N49&lt;=1000),N49*3%,IF(AND(N49&gt;10,N49&lt;=100),N49*5%,N49*8%))))</f>
        <v>#VALUE!</v>
      </c>
      <c r="N63" s="3030" t="e">
        <f ca="1">ROUND(M63,1)</f>
        <v>#VALUE!</v>
      </c>
      <c r="O63" s="3028"/>
      <c r="P63" s="3028"/>
      <c r="Q63" s="2593"/>
    </row>
    <row r="64" ht="13.5" spans="1:17">
      <c r="A64" s="2785" t="s">
        <v>729</v>
      </c>
      <c r="B64" s="410" t="s">
        <v>730</v>
      </c>
      <c r="C64" s="2786">
        <f ca="1">D45</f>
        <v>2529435</v>
      </c>
      <c r="D64" s="410" t="s">
        <v>121</v>
      </c>
      <c r="E64" s="2787"/>
      <c r="F64" s="2988"/>
      <c r="G64" s="2988"/>
      <c r="H64" s="2991"/>
      <c r="I64" s="1756"/>
      <c r="K64" s="3029"/>
      <c r="L64" s="3029" t="s">
        <v>731</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732</v>
      </c>
      <c r="P64" s="3028"/>
      <c r="Q64" s="2593"/>
    </row>
    <row r="65" ht="13.5" spans="1:17">
      <c r="A65" s="2785" t="s">
        <v>733</v>
      </c>
      <c r="B65" s="410" t="s">
        <v>734</v>
      </c>
      <c r="C65" s="2788"/>
      <c r="D65" s="410"/>
      <c r="E65" s="2787"/>
      <c r="F65" s="2988"/>
      <c r="G65" s="2988"/>
      <c r="H65" s="2991"/>
      <c r="I65" s="1756"/>
      <c r="K65" s="3029"/>
      <c r="L65" s="3029" t="s">
        <v>735</v>
      </c>
      <c r="M65" s="3029" t="e">
        <f ca="1">IF(N49&gt;1000,N49*0.1%,IF(AND(N49&gt;500,N49&lt;=1000),N49*0.5%,IF(AND(N49&gt;50,N49&lt;=500),N49*1%,IF(AND(N49&gt;1,N49&lt;=50),N49*1.5%))))</f>
        <v>#VALUE!</v>
      </c>
      <c r="N65" s="3030" t="e">
        <f ca="1" t="shared" si="2"/>
        <v>#VALUE!</v>
      </c>
      <c r="O65" s="3028" t="s">
        <v>732</v>
      </c>
      <c r="P65" s="3028"/>
      <c r="Q65" s="2593"/>
    </row>
    <row r="66" ht="13.5" spans="1:17">
      <c r="A66" s="2789" t="s">
        <v>736</v>
      </c>
      <c r="B66" s="516" t="s">
        <v>737</v>
      </c>
      <c r="C66" s="2790"/>
      <c r="D66" s="516" t="s">
        <v>121</v>
      </c>
      <c r="E66" s="2791" t="s">
        <v>738</v>
      </c>
      <c r="F66" s="2988"/>
      <c r="G66" s="2988"/>
      <c r="H66" s="2991"/>
      <c r="I66" s="1756"/>
      <c r="K66" s="3029"/>
      <c r="L66" s="3029" t="s">
        <v>739</v>
      </c>
      <c r="M66" s="3029" t="e">
        <f ca="1">N49*0.5%</f>
        <v>#VALUE!</v>
      </c>
      <c r="N66" s="3030" t="e">
        <f ca="1">IF(M66&gt;0.5,0.5,ROUND(M66,0))</f>
        <v>#VALUE!</v>
      </c>
      <c r="O66" s="3028" t="s">
        <v>740</v>
      </c>
      <c r="P66" s="3028"/>
      <c r="Q66" s="2593"/>
    </row>
    <row r="67" ht="13.5" spans="1:17">
      <c r="A67" s="2789" t="s">
        <v>741</v>
      </c>
      <c r="B67" s="516" t="s">
        <v>742</v>
      </c>
      <c r="C67" s="2792">
        <f ca="1">C63-C66</f>
        <v>2408986</v>
      </c>
      <c r="D67" s="410" t="s">
        <v>121</v>
      </c>
      <c r="E67" s="2787"/>
      <c r="F67" s="2988"/>
      <c r="G67" s="2988"/>
      <c r="H67" s="2991"/>
      <c r="I67" s="1756"/>
      <c r="K67" s="3029"/>
      <c r="L67" s="3029" t="s">
        <v>743</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4.25" spans="1:17">
      <c r="A68" s="2793" t="s">
        <v>744</v>
      </c>
      <c r="B68" s="537" t="s">
        <v>745</v>
      </c>
      <c r="C68" s="2794">
        <f ca="1">IF(C67&lt;=0,0,ROUND(C67*D68,0))</f>
        <v>134903</v>
      </c>
      <c r="D68" s="631">
        <f>'数据-取费表'!E29</f>
        <v>0.056</v>
      </c>
      <c r="E68" s="2795"/>
      <c r="F68" s="2988"/>
      <c r="G68" s="2988"/>
      <c r="H68" s="2991"/>
      <c r="I68" s="1756"/>
      <c r="K68" s="3029"/>
      <c r="L68" s="3029" t="s">
        <v>746</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07"/>
      <c r="C69" s="3032"/>
      <c r="D69" s="3033"/>
      <c r="E69" s="2679"/>
      <c r="F69" s="2835"/>
      <c r="G69" s="2835"/>
      <c r="H69" s="2836"/>
      <c r="I69" s="2597"/>
      <c r="J69" s="2595"/>
      <c r="K69" s="3029"/>
      <c r="L69" s="3029" t="s">
        <v>434</v>
      </c>
      <c r="M69" s="3029"/>
      <c r="N69" s="3030" t="e">
        <f ca="1">ROUND(SUM(N63:N68),0)</f>
        <v>#VALUE!</v>
      </c>
      <c r="O69" s="3042" t="e">
        <f ca="1">N69/N49</f>
        <v>#VALUE!</v>
      </c>
      <c r="P69" s="3028"/>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4" t="s">
        <v>747</v>
      </c>
      <c r="B70" s="3035"/>
      <c r="C70" s="3035"/>
      <c r="D70" s="3035"/>
      <c r="E70" s="3035"/>
      <c r="F70" s="3035"/>
      <c r="G70" s="3035"/>
      <c r="H70" s="3035"/>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724</v>
      </c>
      <c r="B71" s="425"/>
      <c r="C71" s="425"/>
      <c r="D71" s="425" t="s">
        <v>725</v>
      </c>
      <c r="E71" s="2799" t="s">
        <v>676</v>
      </c>
      <c r="F71" s="2800"/>
      <c r="G71" s="2800"/>
      <c r="H71" s="2801"/>
      <c r="I71" s="3043"/>
      <c r="J71" s="3044"/>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748</v>
      </c>
      <c r="C72" s="2792">
        <f ca="1">ROUND(D45/(1+'数据-取费表'!F30),0)</f>
        <v>2408986</v>
      </c>
      <c r="D72" s="410" t="s">
        <v>121</v>
      </c>
      <c r="E72" s="2384" t="s">
        <v>749</v>
      </c>
      <c r="F72" s="2306"/>
      <c r="G72" s="2306"/>
      <c r="H72" s="2803"/>
      <c r="I72" s="3043"/>
      <c r="J72" s="3044"/>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484" t="s">
        <v>750</v>
      </c>
      <c r="C73" s="2792">
        <f ca="1">C74+C78</f>
        <v>14454</v>
      </c>
      <c r="D73" s="410" t="s">
        <v>121</v>
      </c>
      <c r="E73" s="2305"/>
      <c r="F73" s="2306"/>
      <c r="G73" s="2306"/>
      <c r="H73" s="2803"/>
      <c r="I73" s="3043"/>
      <c r="J73" s="3044"/>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751</v>
      </c>
      <c r="B74" s="410" t="s">
        <v>752</v>
      </c>
      <c r="C74" s="410">
        <f>ROUND(IF(G77="2016年5月1日后购买",C75/(1+'数据-取费表'!F30)+C76+C77,C75+C76+C77),0)</f>
        <v>0</v>
      </c>
      <c r="D74" s="410" t="s">
        <v>121</v>
      </c>
      <c r="E74" s="2305"/>
      <c r="F74" s="2306"/>
      <c r="G74" s="2306"/>
      <c r="H74" s="2803"/>
      <c r="I74" s="3043"/>
      <c r="J74" s="3044"/>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753</v>
      </c>
      <c r="B75" s="410" t="s">
        <v>754</v>
      </c>
      <c r="C75" s="540"/>
      <c r="D75" s="410" t="s">
        <v>121</v>
      </c>
      <c r="E75" s="2805" t="s">
        <v>755</v>
      </c>
      <c r="F75" s="2806" t="s">
        <v>756</v>
      </c>
      <c r="G75" s="2805" t="s">
        <v>757</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758</v>
      </c>
      <c r="B76" s="432" t="s">
        <v>759</v>
      </c>
      <c r="C76" s="410">
        <f>IF(F75="购房发票",ROUND(C75*H75*D76,0),0)</f>
        <v>0</v>
      </c>
      <c r="D76" s="2808">
        <v>0.05</v>
      </c>
      <c r="E76" s="2305" t="s">
        <v>760</v>
      </c>
      <c r="F76" s="2306"/>
      <c r="G76" s="2306"/>
      <c r="H76" s="2809"/>
      <c r="I76" s="3043"/>
      <c r="J76" s="3044"/>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761</v>
      </c>
      <c r="B77" s="410" t="s">
        <v>762</v>
      </c>
      <c r="C77" s="410">
        <f>ROUND(IF(G77="个人住宅",0,IF(G77="2016年5月1日前购买",C75*D77,C75*D77/(1+'数据-取费表'!F30))),0)</f>
        <v>0</v>
      </c>
      <c r="D77" s="2810">
        <f>'数据-取费表'!E36+'数据-取费表'!E37</f>
        <v>0.0305</v>
      </c>
      <c r="E77" s="2384" t="s">
        <v>763</v>
      </c>
      <c r="F77" s="1289"/>
      <c r="G77" s="2811" t="s">
        <v>764</v>
      </c>
      <c r="H77" s="2809" t="str">
        <f>IF(G77="个人买卖住房","免征印花税"," ")</f>
        <v> </v>
      </c>
      <c r="I77" s="3043"/>
      <c r="J77" s="3044"/>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765</v>
      </c>
      <c r="B78" s="410" t="s">
        <v>766</v>
      </c>
      <c r="C78" s="2812">
        <f ca="1">ROUND(D45*D78/(1+'数据-取费表'!F30),0)</f>
        <v>14454</v>
      </c>
      <c r="D78" s="2813">
        <f>'数据-取费表'!E31</f>
        <v>0.006</v>
      </c>
      <c r="E78" s="2814" t="s">
        <v>767</v>
      </c>
      <c r="F78" s="2815"/>
      <c r="G78" s="2815"/>
      <c r="H78" s="2816"/>
      <c r="I78" s="3045"/>
      <c r="J78" s="3046"/>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741</v>
      </c>
      <c r="B79" s="516" t="s">
        <v>768</v>
      </c>
      <c r="C79" s="2792">
        <f ca="1">C72-C73</f>
        <v>2394532</v>
      </c>
      <c r="D79" s="410" t="s">
        <v>121</v>
      </c>
      <c r="E79" s="2305"/>
      <c r="F79" s="2306"/>
      <c r="G79" s="2306"/>
      <c r="H79" s="2803"/>
      <c r="I79" s="3043"/>
      <c r="J79" s="3044"/>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744</v>
      </c>
      <c r="B80" s="516" t="s">
        <v>769</v>
      </c>
      <c r="C80" s="2817">
        <f ca="1">IF(C79&lt;=0,0,C79/C73)</f>
        <v>165.665698076657</v>
      </c>
      <c r="D80" s="410" t="s">
        <v>121</v>
      </c>
      <c r="E80" s="2384" t="str">
        <f ca="1">IF(C80&gt;=200%,"增值额超过扣除项目金额200%",IF(C80&gt;=100%,"增值额超过扣除项目金额100%，未超过200%",IF(C80&gt;=50%,"增值额超过扣除项目金额50%，未超过100%",IF(C80&lt;50%,"增值额未超过扣除项目金额50%"))))</f>
        <v>增值额超过扣除项目金额200%</v>
      </c>
      <c r="F80" s="2306"/>
      <c r="G80" s="2306"/>
      <c r="H80" s="2803"/>
      <c r="I80" s="3043"/>
      <c r="J80" s="3044"/>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770</v>
      </c>
      <c r="B81" s="537" t="s">
        <v>771</v>
      </c>
      <c r="C81" s="2818">
        <f ca="1">ROUND(IF(C79&lt;=0,0,IF(C80&gt;=200%,C79*60%-C73*35%,IF(C80&gt;=100%,C79*50%-C73*15%,IF(C80&gt;=50%,C79*40%-C73*5%,IF(C80&lt;50%,C79*30%,0))))),0)</f>
        <v>1431660</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6"/>
      <c r="B82" s="544"/>
      <c r="C82" s="2909"/>
      <c r="D82" s="2909"/>
      <c r="E82" s="544"/>
      <c r="F82" s="544"/>
      <c r="G82" s="544"/>
      <c r="H82" s="2821"/>
      <c r="I82" s="3045"/>
      <c r="J82" s="3046"/>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4" t="s">
        <v>772</v>
      </c>
      <c r="B83" s="3035"/>
      <c r="C83" s="3035"/>
      <c r="D83" s="3035"/>
      <c r="E83" s="3035"/>
      <c r="F83" s="3035"/>
      <c r="G83" s="3035"/>
      <c r="H83" s="3035"/>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724</v>
      </c>
      <c r="B84" s="425"/>
      <c r="C84" s="425"/>
      <c r="D84" s="425" t="s">
        <v>725</v>
      </c>
      <c r="E84" s="2799" t="s">
        <v>676</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748</v>
      </c>
      <c r="C85" s="2792">
        <f ca="1">ROUND(D45/(1+'数据-取费表'!F30),0)</f>
        <v>2408986</v>
      </c>
      <c r="D85" s="410" t="s">
        <v>121</v>
      </c>
      <c r="E85" s="2305" t="s">
        <v>749</v>
      </c>
      <c r="F85" s="2306"/>
      <c r="G85" s="2306"/>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484" t="s">
        <v>750</v>
      </c>
      <c r="C86" s="2792">
        <f ca="1">IF(H88="仅含出让金",C87+C90+C91+C92+C93+C94,C87+C91+C92+C93+C94)</f>
        <v>14454</v>
      </c>
      <c r="D86" s="2824"/>
      <c r="E86" s="2305"/>
      <c r="F86" s="2306"/>
      <c r="G86" s="2306"/>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751</v>
      </c>
      <c r="B87" s="410" t="s">
        <v>773</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753</v>
      </c>
      <c r="B88" s="410" t="s">
        <v>774</v>
      </c>
      <c r="C88" s="2825"/>
      <c r="D88" s="2813"/>
      <c r="E88" s="2757" t="s">
        <v>775</v>
      </c>
      <c r="F88" s="2815"/>
      <c r="G88" s="2826" t="s">
        <v>776</v>
      </c>
      <c r="H88" s="2827"/>
      <c r="I88" s="2909"/>
      <c r="J88" s="2910"/>
      <c r="K88" s="2904" t="s">
        <v>777</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758</v>
      </c>
      <c r="B89" s="410" t="s">
        <v>762</v>
      </c>
      <c r="C89" s="2812">
        <f>ROUND(C88*D89,0)</f>
        <v>0</v>
      </c>
      <c r="D89" s="2813">
        <f>'数据-取费表'!E36+'数据-取费表'!E37</f>
        <v>0.0305</v>
      </c>
      <c r="E89" s="2757" t="s">
        <v>778</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765</v>
      </c>
      <c r="B90" s="410" t="s">
        <v>779</v>
      </c>
      <c r="C90" s="2825"/>
      <c r="D90" s="2813"/>
      <c r="E90" s="2757" t="str">
        <f>IF(H88="-","土地取得成本中已包含该笔费用"," ")</f>
        <v> </v>
      </c>
      <c r="F90" s="2815"/>
      <c r="G90" s="2828" t="s">
        <v>780</v>
      </c>
      <c r="H90" s="2828"/>
      <c r="I90" s="2909"/>
      <c r="J90" s="2910"/>
      <c r="K90" s="2904" t="s">
        <v>781</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782</v>
      </c>
      <c r="B91" s="410" t="s">
        <v>783</v>
      </c>
      <c r="C91" s="2812">
        <f>IF(H91="——",成本法!C33,I91)</f>
        <v>0</v>
      </c>
      <c r="D91" s="2813"/>
      <c r="E91" s="2814" t="s">
        <v>784</v>
      </c>
      <c r="F91" s="2815"/>
      <c r="G91" s="2815"/>
      <c r="H91" s="2830" t="s">
        <v>785</v>
      </c>
      <c r="I91" s="3047"/>
      <c r="J91" s="3048"/>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786</v>
      </c>
      <c r="B92" s="410" t="s">
        <v>787</v>
      </c>
      <c r="C92" s="2812">
        <f>ROUND((C87+C90+C91)*D92,0)</f>
        <v>0</v>
      </c>
      <c r="D92" s="3037">
        <v>0.1</v>
      </c>
      <c r="E92" s="2814" t="s">
        <v>788</v>
      </c>
      <c r="F92" s="2815"/>
      <c r="G92" s="2815"/>
      <c r="H92" s="2816"/>
      <c r="I92" s="2909"/>
      <c r="J92" s="2910"/>
      <c r="K92" s="2908" t="s">
        <v>789</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790</v>
      </c>
      <c r="B93" s="410" t="s">
        <v>766</v>
      </c>
      <c r="C93" s="2812">
        <f ca="1">ROUND(D45*D93/(1+'数据-取费表'!F30),0)</f>
        <v>14454</v>
      </c>
      <c r="D93" s="2813">
        <f>'数据-取费表'!E31</f>
        <v>0.006</v>
      </c>
      <c r="E93" s="2814" t="s">
        <v>767</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791</v>
      </c>
      <c r="B94" s="410" t="s">
        <v>792</v>
      </c>
      <c r="C94" s="2812">
        <f>ROUND((C87+C90+C91)*D94,0)</f>
        <v>0</v>
      </c>
      <c r="D94" s="2813">
        <v>0.2</v>
      </c>
      <c r="E94" s="2814" t="s">
        <v>793</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741</v>
      </c>
      <c r="B95" s="516" t="s">
        <v>768</v>
      </c>
      <c r="C95" s="2792">
        <f ca="1">ROUND(C85-C86,0)</f>
        <v>2394532</v>
      </c>
      <c r="D95" s="410" t="s">
        <v>121</v>
      </c>
      <c r="E95" s="2305"/>
      <c r="F95" s="2306"/>
      <c r="G95" s="2306"/>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744</v>
      </c>
      <c r="B96" s="516" t="s">
        <v>769</v>
      </c>
      <c r="C96" s="2817">
        <f ca="1">IF(C95&lt;=0,0,C95/C86)</f>
        <v>165.665698076657</v>
      </c>
      <c r="D96" s="410" t="s">
        <v>121</v>
      </c>
      <c r="E96" s="2384" t="str">
        <f ca="1">IF(C96&gt;=200%,"增值额超过扣除项目金额200%",IF(C96&gt;=100%,"增值额超过扣除项目金额100%，未超过200%",IF(C96&gt;=50%,"增值额超过扣除项目金额50%，未超过100%",IF(C96&lt;50%,"增值额未超过扣除项目金额50%"))))</f>
        <v>增值额超过扣除项目金额200%</v>
      </c>
      <c r="F96" s="2306"/>
      <c r="G96" s="2306"/>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770</v>
      </c>
      <c r="B97" s="537" t="s">
        <v>771</v>
      </c>
      <c r="C97" s="2818">
        <f ca="1">ROUND(IF(C95&lt;=0,0,IF(C96&gt;=200%,C95*60%-C86*35%,IF(C96&gt;=100%,C95*50%-C86*15%,IF(C96&gt;=50%,C95*40%-C86*5%,IF(C96&lt;50%,C95*30%,0))))),0)</f>
        <v>1431660</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794</v>
      </c>
      <c r="B98" s="2597"/>
      <c r="C98" s="2597"/>
      <c r="D98" s="2597"/>
      <c r="E98" s="2835"/>
      <c r="F98" s="2835"/>
      <c r="G98" s="2835"/>
      <c r="H98" s="2836"/>
      <c r="I98" s="2597"/>
    </row>
    <row r="99" ht="15.75" spans="1:10">
      <c r="A99" s="2837" t="s">
        <v>795</v>
      </c>
      <c r="B99" s="2838"/>
      <c r="C99" s="2838"/>
      <c r="D99" s="2839"/>
      <c r="E99" s="2597"/>
      <c r="F99" s="3038" t="s">
        <v>796</v>
      </c>
      <c r="G99" s="3039"/>
      <c r="H99" s="3039"/>
      <c r="I99" s="3049"/>
      <c r="J99" s="3050"/>
    </row>
    <row r="100" ht="15" spans="1:10">
      <c r="A100" s="2842" t="s">
        <v>797</v>
      </c>
      <c r="B100" s="2843"/>
      <c r="C100" s="2850" t="str">
        <f>C4</f>
        <v>收益法</v>
      </c>
      <c r="D100" s="2851" t="str">
        <f>D4</f>
        <v>比较法-住宅</v>
      </c>
      <c r="E100" s="2597"/>
      <c r="F100" s="2846" t="s">
        <v>798</v>
      </c>
      <c r="G100" s="2847"/>
      <c r="H100" s="2846" t="s">
        <v>799</v>
      </c>
      <c r="I100" s="2913"/>
      <c r="J100" s="2914"/>
    </row>
    <row r="101" ht="13.5" spans="1:10">
      <c r="A101" s="551" t="s">
        <v>800</v>
      </c>
      <c r="B101" s="518" t="str">
        <f>IF(H19="元","总价（元）","总价（万元）")</f>
        <v>总价（元）</v>
      </c>
      <c r="C101" s="2850">
        <f ca="1">C19</f>
        <v>1996563</v>
      </c>
      <c r="D101" s="2851">
        <f ca="1">D19</f>
        <v>2757777</v>
      </c>
      <c r="E101" s="2597"/>
      <c r="F101" s="2846" t="str">
        <f>项目基本情况!I1</f>
        <v>北京市房地产</v>
      </c>
      <c r="G101" s="2847"/>
      <c r="H101" s="2854">
        <f>项目基本情况!C12</f>
        <v>59.11</v>
      </c>
      <c r="I101" s="2913"/>
      <c r="J101" s="2914"/>
    </row>
    <row r="102" ht="13.5" spans="1:10">
      <c r="A102" s="551"/>
      <c r="B102" s="518" t="s">
        <v>801</v>
      </c>
      <c r="C102" s="2855">
        <f ca="1">C20</f>
        <v>33777</v>
      </c>
      <c r="D102" s="2856">
        <f ca="1">D20</f>
        <v>46655</v>
      </c>
      <c r="E102" s="2597"/>
      <c r="F102" s="2804" t="s">
        <v>802</v>
      </c>
      <c r="G102" s="2484"/>
      <c r="H102" s="2857" t="str">
        <f>C106</f>
        <v>总价（元）</v>
      </c>
      <c r="I102" s="2874">
        <f ca="1">H121</f>
        <v>2529435</v>
      </c>
      <c r="J102" s="2914"/>
    </row>
    <row r="103" ht="13.5" spans="1:10">
      <c r="A103" s="551" t="s">
        <v>803</v>
      </c>
      <c r="B103" s="519" t="str">
        <f>B101</f>
        <v>总价（元）</v>
      </c>
      <c r="C103" s="2861">
        <f ca="1">H121</f>
        <v>2529435</v>
      </c>
      <c r="D103" s="2858"/>
      <c r="E103" s="2597"/>
      <c r="F103" s="2804"/>
      <c r="G103" s="2484"/>
      <c r="H103" s="2857" t="s">
        <v>801</v>
      </c>
      <c r="I103" s="2787">
        <f ca="1">I121</f>
        <v>42792</v>
      </c>
      <c r="J103" s="2731"/>
    </row>
    <row r="104" ht="14.25" spans="1:10">
      <c r="A104" s="567"/>
      <c r="B104" s="2866" t="s">
        <v>801</v>
      </c>
      <c r="C104" s="2867">
        <f ca="1">I121</f>
        <v>42792</v>
      </c>
      <c r="D104" s="2868"/>
      <c r="E104" s="2597"/>
      <c r="F104" s="2804"/>
      <c r="G104" s="2484"/>
      <c r="H104" s="2857"/>
      <c r="I104" s="2915"/>
      <c r="J104" s="2916"/>
    </row>
    <row r="105" ht="15" spans="1:10">
      <c r="A105" s="2837" t="s">
        <v>804</v>
      </c>
      <c r="B105" s="2838"/>
      <c r="C105" s="2838"/>
      <c r="D105" s="2839"/>
      <c r="E105" s="2597"/>
      <c r="F105" s="2863" t="s">
        <v>805</v>
      </c>
      <c r="G105" s="2864"/>
      <c r="H105" s="2865" t="str">
        <f>C108</f>
        <v>总额（元）</v>
      </c>
      <c r="I105" s="2874">
        <f>SUMIF(I106:I108,"&lt;9E307")</f>
        <v>0</v>
      </c>
      <c r="J105" s="2914"/>
    </row>
    <row r="106" ht="14.25" spans="1:17">
      <c r="A106" s="2804" t="s">
        <v>802</v>
      </c>
      <c r="B106" s="2484"/>
      <c r="C106" s="2857" t="str">
        <f>B101</f>
        <v>总价（元）</v>
      </c>
      <c r="D106" s="2874">
        <f ca="1">H121</f>
        <v>2529435</v>
      </c>
      <c r="E106" s="2597"/>
      <c r="F106" s="2869" t="s">
        <v>806</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484"/>
      <c r="C107" s="2857" t="s">
        <v>801</v>
      </c>
      <c r="D107" s="2787">
        <f ca="1">I121</f>
        <v>42792</v>
      </c>
      <c r="E107" s="2597"/>
      <c r="F107" s="2869" t="s">
        <v>807</v>
      </c>
      <c r="G107" s="2870"/>
      <c r="H107" s="2865" t="str">
        <f>C110</f>
        <v>总额（元）</v>
      </c>
      <c r="I107" s="2787">
        <f>C37</f>
        <v>0</v>
      </c>
      <c r="J107" s="2731"/>
    </row>
    <row r="108" ht="13.5" spans="1:10">
      <c r="A108" s="2875" t="s">
        <v>805</v>
      </c>
      <c r="B108" s="2876"/>
      <c r="C108" s="2865" t="str">
        <f>IF(H19="元","总额（元）","总额（万元）")</f>
        <v>总额（元）</v>
      </c>
      <c r="D108" s="2874">
        <f>IF(D36="正常操作",I106+I107+I108,I107+I108)</f>
        <v>0</v>
      </c>
      <c r="E108" s="2597"/>
      <c r="F108" s="2869" t="s">
        <v>808</v>
      </c>
      <c r="G108" s="2870"/>
      <c r="H108" s="2865" t="str">
        <f>C111</f>
        <v>总额（元）</v>
      </c>
      <c r="I108" s="2787">
        <f>C38</f>
        <v>0</v>
      </c>
      <c r="J108" s="2731"/>
    </row>
    <row r="109" ht="13.5" spans="1:10">
      <c r="A109" s="2869" t="s">
        <v>806</v>
      </c>
      <c r="B109" s="2870"/>
      <c r="C109" s="2865" t="str">
        <f>C108</f>
        <v>总额（元）</v>
      </c>
      <c r="D109" s="2787">
        <f>IF(D36="同一抵押权人同一抵押物续贷",C36&amp;"（未扣减，详见特别提示）",C36)</f>
        <v>0</v>
      </c>
      <c r="E109" s="2597"/>
      <c r="F109" s="2804"/>
      <c r="G109" s="2484"/>
      <c r="H109" s="552"/>
      <c r="I109" s="2919"/>
      <c r="J109" s="2920"/>
    </row>
    <row r="110" ht="28.5" customHeight="1" spans="1:10">
      <c r="A110" s="2869" t="s">
        <v>807</v>
      </c>
      <c r="B110" s="2870"/>
      <c r="C110" s="2865" t="str">
        <f>C108</f>
        <v>总额（元）</v>
      </c>
      <c r="D110" s="2787">
        <f>C37</f>
        <v>0</v>
      </c>
      <c r="E110" s="2597"/>
      <c r="F110" s="2877" t="str">
        <f>IF(项目基本情况!F5="已注销","——","3.房地产抵押价值")</f>
        <v>3.房地产抵押价值</v>
      </c>
      <c r="G110" s="2686"/>
      <c r="H110" s="3040" t="str">
        <f>C112</f>
        <v>总价（元）</v>
      </c>
      <c r="I110" s="2874">
        <f ca="1">IF(F110="——","——",I102-I105)</f>
        <v>2529435</v>
      </c>
      <c r="J110" s="2914"/>
    </row>
    <row r="111" ht="13.5" spans="1:10">
      <c r="A111" s="2869" t="s">
        <v>808</v>
      </c>
      <c r="B111" s="2870"/>
      <c r="C111" s="2865" t="str">
        <f>C108</f>
        <v>总额（元）</v>
      </c>
      <c r="D111" s="2787">
        <f>C38</f>
        <v>0</v>
      </c>
      <c r="E111" s="2597"/>
      <c r="F111" s="2878"/>
      <c r="G111" s="2695"/>
      <c r="H111" s="2857" t="s">
        <v>801</v>
      </c>
      <c r="I111" s="2921">
        <f ca="1">D113</f>
        <v>42792</v>
      </c>
      <c r="J111" s="2922"/>
    </row>
    <row r="112" ht="26.25" customHeight="1" spans="1:10">
      <c r="A112" s="2804" t="str">
        <f>IF(项目基本情况!F5="已注销","——","3.房地产抵押价值")</f>
        <v>3.房地产抵押价值</v>
      </c>
      <c r="B112" s="2484"/>
      <c r="C112" s="2857" t="str">
        <f>B101</f>
        <v>总价（元）</v>
      </c>
      <c r="D112" s="2874">
        <f ca="1">IF(A112="——","——",D106-D108)</f>
        <v>2529435</v>
      </c>
      <c r="E112" s="2597"/>
      <c r="F112" s="2877" t="str">
        <f>IF(项目基本情况!F5="已注销及未注销","4.抵押担保权已注销时的房地产抵押价值",IF(项目基本情况!F5="已注销","3.抵押担保权已注销时的房地产抵押价值","——"))</f>
        <v>——</v>
      </c>
      <c r="G112" s="2686"/>
      <c r="H112" s="3040" t="str">
        <f>C114</f>
        <v>总价（元）</v>
      </c>
      <c r="I112" s="2874" t="str">
        <f ca="1">IF(F112="——","——",I102-I107-I108)</f>
        <v>——</v>
      </c>
      <c r="J112" s="2914"/>
    </row>
    <row r="113" ht="13.5" spans="1:10">
      <c r="A113" s="2804"/>
      <c r="B113" s="2484"/>
      <c r="C113" s="2857" t="s">
        <v>801</v>
      </c>
      <c r="D113" s="2787">
        <f ca="1">ROUND(IF(D112=D106,D107,IF(H19="元",D112/项目基本情况!C12,D112*10000/项目基本情况!C12)),0)</f>
        <v>42792</v>
      </c>
      <c r="E113" s="2597"/>
      <c r="F113" s="2878"/>
      <c r="G113" s="2695"/>
      <c r="H113" s="2857" t="s">
        <v>801</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8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84"/>
      <c r="C115" s="2857" t="s">
        <v>801</v>
      </c>
      <c r="D115" s="2787" t="str">
        <f ca="1">IF(A114="——","——",ROUND(IF(D114=D106,D107,IF(H19="元",D114/项目基本情况!C12,D114*10000/项目基本情况!C12)),0))</f>
        <v>——</v>
      </c>
      <c r="E115" s="2597"/>
      <c r="F115" s="2879"/>
      <c r="G115" s="2880"/>
      <c r="H115" s="2881" t="s">
        <v>801</v>
      </c>
      <c r="I115" s="2885" t="str">
        <f ca="1">D117</f>
        <v>——</v>
      </c>
      <c r="J115" s="2731"/>
    </row>
    <row r="116" ht="15.75" spans="1:16">
      <c r="A116" s="2804" t="str">
        <f>IF(项目基本情况!G5="抵押净值",IF(OR(项目基本情况!F5="已注销",项目基本情况!F5="房地产抵押价值"),"4.抵押净值","5.抵押净值"),"——")</f>
        <v>——</v>
      </c>
      <c r="B116" s="2484"/>
      <c r="C116" s="2857" t="str">
        <f>B101</f>
        <v>总价（元）</v>
      </c>
      <c r="D116" s="2874" t="str">
        <f ca="1">IF(A116="——","——",O59)</f>
        <v>——</v>
      </c>
      <c r="E116" s="2597"/>
      <c r="F116" s="2882"/>
      <c r="G116" s="2882"/>
      <c r="H116" s="2883"/>
      <c r="I116" s="2883"/>
      <c r="J116" s="2923"/>
      <c r="O116" s="1709"/>
      <c r="P116" s="1709"/>
    </row>
    <row r="117" ht="14.25" spans="1:16">
      <c r="A117" s="2884"/>
      <c r="B117" s="2818"/>
      <c r="C117" s="2881" t="s">
        <v>801</v>
      </c>
      <c r="D117" s="2885" t="str">
        <f ca="1">IF(D116=D112,D113,IF(A116="——","——",O61))</f>
        <v>——</v>
      </c>
      <c r="E117" s="2597"/>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4"/>
      <c r="O117" s="1709"/>
      <c r="P117" s="1709"/>
    </row>
    <row r="118" ht="15" spans="1:10">
      <c r="A118" s="2886" t="s">
        <v>809</v>
      </c>
      <c r="B118" s="2887"/>
      <c r="C118" s="2887"/>
      <c r="D118" s="2887"/>
      <c r="E118" s="2887"/>
      <c r="F118" s="2887"/>
      <c r="G118" s="2887"/>
      <c r="H118" s="2887"/>
      <c r="I118" s="2887"/>
      <c r="J118" s="2925"/>
    </row>
    <row r="119" ht="13.5" spans="1:10">
      <c r="A119" s="2711" t="s">
        <v>810</v>
      </c>
      <c r="B119" s="2333" t="s">
        <v>357</v>
      </c>
      <c r="C119" s="2333" t="s">
        <v>811</v>
      </c>
      <c r="D119" s="2888" t="s">
        <v>812</v>
      </c>
      <c r="E119" s="2889"/>
      <c r="F119" s="2327" t="s">
        <v>654</v>
      </c>
      <c r="G119" s="2327"/>
      <c r="H119" s="2327" t="s">
        <v>813</v>
      </c>
      <c r="I119" s="2787"/>
      <c r="J119" s="2731"/>
    </row>
    <row r="120" ht="13.5" spans="1:10">
      <c r="A120" s="2711"/>
      <c r="B120" s="447"/>
      <c r="C120" s="447"/>
      <c r="D120" s="2327" t="s">
        <v>814</v>
      </c>
      <c r="E120" s="2327" t="s">
        <v>815</v>
      </c>
      <c r="F120" s="2327" t="s">
        <v>814</v>
      </c>
      <c r="G120" s="2327" t="s">
        <v>815</v>
      </c>
      <c r="H120" s="2327" t="s">
        <v>814</v>
      </c>
      <c r="I120" s="2787" t="s">
        <v>815</v>
      </c>
      <c r="J120" s="2731"/>
    </row>
    <row r="121" ht="13.5" spans="1:10">
      <c r="A121" s="2711" t="str">
        <f>项目基本情况!I1</f>
        <v>北京市房地产</v>
      </c>
      <c r="B121" s="2327">
        <f>项目基本情况!C12</f>
        <v>59.11</v>
      </c>
      <c r="C121" s="2327">
        <f>项目基本情况!C13</f>
        <v>0</v>
      </c>
      <c r="D121" s="2327">
        <f ca="1">ROUND(IF(B32="总价",C34,IF('数据-取费表'!B3="万元",E121*B121/10000,E121*B121)),0)</f>
        <v>2357425</v>
      </c>
      <c r="E121" s="2327">
        <f ca="1">ROUND(IF(B32="楼面单价",C34,IF(H19="元",D121/B121,D121*10000/B121)),0)</f>
        <v>39882</v>
      </c>
      <c r="F121" s="2327">
        <f ca="1">ROUND(IF(B32="总价",C35,IF('数据-取费表'!B3="万元",G121*B121/10000,G121*B121)),0)</f>
        <v>172010</v>
      </c>
      <c r="G121" s="2327">
        <f ca="1">ROUND(IF(B32="楼面单价",C35,IF(H19="元",F121/B121,F121*10000/B121)),0)</f>
        <v>2910</v>
      </c>
      <c r="H121" s="2327">
        <f ca="1">ROUND(IF(B32="总价",C32,IF('数据-取费表'!B3="万元",I121*B121/10000,I121*B121)),0)</f>
        <v>2529435</v>
      </c>
      <c r="I121" s="2787">
        <f ca="1">ROUND(IF(B32="楼面单价",C32,IF(H19="元",H121/B121,H121*10000/B121)),0)</f>
        <v>42792</v>
      </c>
      <c r="J121" s="2731"/>
    </row>
    <row r="122" ht="13.5" spans="1:10">
      <c r="A122" s="2711" t="s">
        <v>816</v>
      </c>
      <c r="B122" s="2327"/>
      <c r="C122" s="2327"/>
      <c r="D122" s="2891" t="str">
        <f ca="1">IF(H19="元",NUMBERSTRING(INT(D121),2)&amp;"元整",NUMBERSTRING(INT(D121*10000),2)&amp;"元整")</f>
        <v>贰佰叁拾伍万柒仟肆佰贰拾伍元整</v>
      </c>
      <c r="E122" s="2892"/>
      <c r="F122" s="2891" t="str">
        <f ca="1">IF(H19="元",NUMBERSTRING(INT(F121),2)&amp;"元整",NUMBERSTRING(INT(F121*10000),2)&amp;"元整")</f>
        <v>壹拾柒万贰仟零壹拾元整</v>
      </c>
      <c r="G122" s="2892"/>
      <c r="H122" s="2891" t="str">
        <f ca="1">IF(H19="元",NUMBERSTRING(INT(H121),2)&amp;"元整",NUMBERSTRING(INT(H121*10000),2)&amp;"元整")</f>
        <v>贰佰伍拾贰万玖仟肆佰叁拾伍元整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816</v>
      </c>
      <c r="B124" s="2306"/>
      <c r="C124" s="2714"/>
      <c r="D124" s="2894">
        <f>H109</f>
        <v>0</v>
      </c>
      <c r="E124" s="2895"/>
      <c r="F124" s="2895"/>
      <c r="G124" s="2895"/>
      <c r="H124" s="2895"/>
      <c r="I124" s="2928"/>
      <c r="J124" s="2929"/>
    </row>
    <row r="125" ht="13.5" spans="1:10">
      <c r="A125" s="2804" t="str">
        <f>IF(项目基本情况!D5="房地产市场价值","——",MID(A112,3,LEN(A112)-2))</f>
        <v>房地产抵押价值</v>
      </c>
      <c r="B125" s="2484"/>
      <c r="C125" s="2484"/>
      <c r="D125" s="2854">
        <f ca="1">I110</f>
        <v>2529435</v>
      </c>
      <c r="E125" s="2848"/>
      <c r="F125" s="2848"/>
      <c r="G125" s="2848"/>
      <c r="H125" s="2848"/>
      <c r="I125" s="2913"/>
      <c r="J125" s="2914"/>
    </row>
    <row r="126" ht="13.5" spans="1:10">
      <c r="A126" s="2711" t="s">
        <v>816</v>
      </c>
      <c r="B126" s="2327"/>
      <c r="C126" s="2327"/>
      <c r="D126" s="2894">
        <f ca="1">I111</f>
        <v>42792</v>
      </c>
      <c r="E126" s="2895"/>
      <c r="F126" s="2895"/>
      <c r="G126" s="2895"/>
      <c r="H126" s="2895"/>
      <c r="I126" s="2928"/>
      <c r="J126" s="2929"/>
    </row>
    <row r="127" ht="14.25" spans="1:10">
      <c r="A127" s="2804" t="str">
        <f>IF(项目基本情况!D5="房地产市场价值","——",MID(A114,3,LEN(A114)-2))</f>
        <v/>
      </c>
      <c r="B127" s="2484"/>
      <c r="C127" s="2484"/>
      <c r="D127" s="2684" t="str">
        <f ca="1">I112</f>
        <v>——</v>
      </c>
      <c r="E127" s="2685"/>
      <c r="F127" s="2685"/>
      <c r="G127" s="2685"/>
      <c r="H127" s="2685"/>
      <c r="I127" s="2952"/>
      <c r="J127" s="2914"/>
    </row>
    <row r="128" ht="15" spans="1:10">
      <c r="A128" s="2711" t="s">
        <v>816</v>
      </c>
      <c r="B128" s="2327"/>
      <c r="C128" s="2305"/>
      <c r="D128" s="2930" t="str">
        <f ca="1">I113</f>
        <v>——</v>
      </c>
      <c r="E128" s="2930"/>
      <c r="F128" s="2930"/>
      <c r="G128" s="2930"/>
      <c r="H128" s="2930"/>
      <c r="I128" s="2930"/>
      <c r="J128" s="2929"/>
    </row>
    <row r="129" ht="15" spans="1:10">
      <c r="A129" s="2804" t="str">
        <f>IF(项目基本情况!D5="房地产市场价值","——",MID(F114,3,LEN(F114)-2))</f>
        <v/>
      </c>
      <c r="B129" s="2484"/>
      <c r="C129" s="2854"/>
      <c r="D129" s="2931" t="str">
        <f ca="1">I114</f>
        <v>——</v>
      </c>
      <c r="E129" s="2931"/>
      <c r="F129" s="2931"/>
      <c r="G129" s="2931"/>
      <c r="H129" s="2931"/>
      <c r="I129" s="2931"/>
      <c r="J129" s="2914"/>
    </row>
    <row r="130" ht="15" spans="1:10">
      <c r="A130" s="2719" t="s">
        <v>816</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817</v>
      </c>
      <c r="B133" s="2936"/>
      <c r="C133" s="2937" t="s">
        <v>818</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819</v>
      </c>
      <c r="G139" s="2947"/>
      <c r="H139" s="2947"/>
      <c r="I139" s="2959" t="s">
        <v>820</v>
      </c>
      <c r="J139" s="2960"/>
    </row>
    <row r="140" customHeight="1" spans="1:10">
      <c r="A140" s="1712"/>
      <c r="B140" s="2948" t="s">
        <v>821</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822</v>
      </c>
      <c r="J142" s="2960"/>
    </row>
    <row r="143" customHeight="1" spans="1:10">
      <c r="A143" s="1712"/>
      <c r="B143" s="2948" t="s">
        <v>823</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822</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824</v>
      </c>
      <c r="B2" s="2598"/>
      <c r="C2" s="2598"/>
      <c r="D2" s="2598"/>
      <c r="E2" s="2598"/>
      <c r="F2" s="2598"/>
      <c r="G2" s="2598"/>
      <c r="H2" s="2598"/>
      <c r="I2" s="2598"/>
      <c r="J2" s="2729"/>
    </row>
    <row r="3" ht="13.5" spans="1:10">
      <c r="A3" s="2599" t="s">
        <v>607</v>
      </c>
      <c r="B3" s="2323"/>
      <c r="C3" s="2323"/>
      <c r="D3" s="2323"/>
      <c r="E3" s="2323"/>
      <c r="F3" s="2323"/>
      <c r="G3" s="2323"/>
      <c r="H3" s="2323"/>
      <c r="I3" s="2323"/>
      <c r="J3" s="2730"/>
    </row>
    <row r="4" ht="14.25" spans="1:15">
      <c r="A4" s="2600" t="s">
        <v>608</v>
      </c>
      <c r="B4" s="2600" t="s">
        <v>609</v>
      </c>
      <c r="C4" s="2601"/>
      <c r="D4" s="2601"/>
      <c r="E4" s="2305" t="s">
        <v>612</v>
      </c>
      <c r="F4" s="2306"/>
      <c r="G4" s="2306"/>
      <c r="H4" s="2306"/>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c r="D14" s="2603"/>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557"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825</v>
      </c>
      <c r="B27" s="2636">
        <v>0</v>
      </c>
      <c r="C27" s="2636">
        <v>0</v>
      </c>
      <c r="D27" s="2637">
        <f>ROUND(C27*B27/10000,0)</f>
        <v>0</v>
      </c>
      <c r="E27" s="2423"/>
      <c r="F27" s="2423"/>
      <c r="G27" s="2423"/>
      <c r="H27" s="2423"/>
      <c r="I27" s="2423"/>
      <c r="J27" s="2732"/>
    </row>
    <row r="28" ht="14.25" spans="1:10">
      <c r="A28" s="2635"/>
      <c r="B28" s="2636"/>
      <c r="C28" s="2636"/>
      <c r="D28" s="2637">
        <f>ROUND(C28*B28/10000,0)</f>
        <v>0</v>
      </c>
      <c r="E28" s="2423"/>
      <c r="F28" s="2423"/>
      <c r="G28" s="2423"/>
      <c r="H28" s="2423"/>
      <c r="I28" s="2423"/>
      <c r="J28" s="2732"/>
    </row>
    <row r="29" ht="14.25" spans="1:10">
      <c r="A29" s="2635"/>
      <c r="B29" s="2636"/>
      <c r="C29" s="2636"/>
      <c r="D29" s="2637">
        <f t="shared" ref="D29" si="0">ROUND(C29*B29/10000,0)</f>
        <v>0</v>
      </c>
      <c r="E29" s="2423"/>
      <c r="F29" s="2423"/>
      <c r="G29" s="2423"/>
      <c r="H29" s="2423"/>
      <c r="I29" s="2423"/>
      <c r="J29" s="2732"/>
    </row>
    <row r="30" ht="15" spans="1:10">
      <c r="A30" s="2639" t="s">
        <v>645</v>
      </c>
      <c r="B30" s="2640"/>
      <c r="C30" s="2640"/>
      <c r="D30" s="2640"/>
      <c r="E30" s="2641" t="s">
        <v>646</v>
      </c>
      <c r="F30" s="2608"/>
      <c r="G30" s="2608"/>
      <c r="H30" s="2608"/>
      <c r="I30" s="2608"/>
      <c r="J30" s="2732"/>
    </row>
    <row r="31" s="2590" customFormat="1" ht="27.6"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826</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827</v>
      </c>
      <c r="C33" s="2647">
        <f>典型户型修正!R27</f>
        <v>0</v>
      </c>
      <c r="D33" s="2608" t="s">
        <v>637</v>
      </c>
      <c r="E33" s="2423"/>
      <c r="F33" s="2423"/>
      <c r="G33" s="2423"/>
      <c r="H33" s="2423"/>
      <c r="I33" s="2423"/>
      <c r="J33" s="2732"/>
    </row>
    <row r="34" ht="14.25" spans="1:10">
      <c r="A34" s="2648" t="s">
        <v>828</v>
      </c>
      <c r="B34" s="2649" t="s">
        <v>829</v>
      </c>
      <c r="C34" s="2650">
        <f ca="1">典型户型修正!B2</f>
        <v>0</v>
      </c>
      <c r="D34" s="2651" t="str">
        <f>IF('数据-取费表'!B3="万元","万元","元")</f>
        <v>元</v>
      </c>
      <c r="E34" s="2423"/>
      <c r="F34" s="2423"/>
      <c r="G34" s="2423"/>
      <c r="H34" s="2423"/>
      <c r="I34" s="2423"/>
      <c r="J34" s="2732"/>
    </row>
    <row r="35" ht="15.75" spans="1:10">
      <c r="A35" s="2652"/>
      <c r="B35" s="2653" t="s">
        <v>830</v>
      </c>
      <c r="C35" s="2624" t="e">
        <f ca="1">典型户型修正!B3</f>
        <v>#DIV/0!</v>
      </c>
      <c r="D35" s="2608" t="s">
        <v>637</v>
      </c>
      <c r="E35" s="2423"/>
      <c r="F35" s="2423"/>
      <c r="G35" s="2423"/>
      <c r="H35" s="2423"/>
      <c r="I35" s="2423"/>
      <c r="J35" s="2732"/>
    </row>
    <row r="36" ht="15" spans="1:10">
      <c r="A36" s="2654"/>
      <c r="B36" s="2655" t="s">
        <v>651</v>
      </c>
      <c r="C36" s="2656">
        <f>IF('数据-取费表'!B3="万元",典型户型修正!V25,典型户型修正!U25)</f>
        <v>0</v>
      </c>
      <c r="D36" s="2608" t="str">
        <f>D34</f>
        <v>元</v>
      </c>
      <c r="E36" s="2423"/>
      <c r="F36" s="2423"/>
      <c r="G36" s="2423"/>
      <c r="H36" s="2423"/>
      <c r="I36" s="2423"/>
      <c r="J36" s="2732"/>
    </row>
    <row r="37" ht="15.75" spans="1:10">
      <c r="A37" s="2657"/>
      <c r="B37" s="2658" t="s">
        <v>653</v>
      </c>
      <c r="C37" s="2659">
        <f>IF('数据-取费表'!B3="万元",典型户型修正!Y25,典型户型修正!X25)</f>
        <v>0</v>
      </c>
      <c r="D37" s="2608" t="str">
        <f>D34</f>
        <v>元</v>
      </c>
      <c r="E37" s="2423"/>
      <c r="F37" s="2423"/>
      <c r="G37" s="2423"/>
      <c r="H37" s="2423"/>
      <c r="I37" s="2423"/>
      <c r="J37" s="2732"/>
    </row>
    <row r="38" ht="15.75" spans="1:10">
      <c r="A38" s="1122" t="s">
        <v>655</v>
      </c>
      <c r="B38" s="2655" t="s">
        <v>656</v>
      </c>
      <c r="C38" s="2660"/>
      <c r="D38" s="2661"/>
      <c r="E38" s="2662"/>
      <c r="F38" s="2662"/>
      <c r="G38" s="2423"/>
      <c r="H38" s="2423"/>
      <c r="I38" s="2423"/>
      <c r="J38" s="2732"/>
    </row>
    <row r="39" ht="15.75" spans="1:10">
      <c r="A39" s="1134"/>
      <c r="B39" s="1293" t="s">
        <v>657</v>
      </c>
      <c r="C39" s="2663"/>
      <c r="D39" s="2664"/>
      <c r="E39" s="2664"/>
      <c r="F39" s="2662"/>
      <c r="G39" s="2664"/>
      <c r="H39" s="2664"/>
      <c r="I39" s="2664"/>
      <c r="J39" s="2737"/>
    </row>
    <row r="40" ht="15.75" spans="1:10">
      <c r="A40" s="2665"/>
      <c r="B40" s="2658" t="s">
        <v>658</v>
      </c>
      <c r="C40" s="2666"/>
      <c r="D40" s="2667" t="s">
        <v>659</v>
      </c>
      <c r="E40" s="2664"/>
      <c r="F40" s="2662"/>
      <c r="G40" s="2664"/>
      <c r="H40" s="2664"/>
      <c r="I40" s="2664"/>
      <c r="J40" s="2737"/>
    </row>
    <row r="41" ht="14.25" spans="1:10">
      <c r="A41" s="2620" t="s">
        <v>660</v>
      </c>
      <c r="B41" s="2668" t="s">
        <v>641</v>
      </c>
      <c r="C41" s="2669" t="s">
        <v>642</v>
      </c>
      <c r="D41" s="2669" t="s">
        <v>661</v>
      </c>
      <c r="E41" s="2670" t="s">
        <v>643</v>
      </c>
      <c r="F41" s="2662"/>
      <c r="G41" s="2664"/>
      <c r="H41" s="2664"/>
      <c r="I41" s="2664"/>
      <c r="J41" s="2737"/>
    </row>
    <row r="42" ht="14.25" spans="1:10">
      <c r="A42" s="2671" t="s">
        <v>662</v>
      </c>
      <c r="B42" s="2672"/>
      <c r="C42" s="2673"/>
      <c r="D42" s="2673"/>
      <c r="E42" s="2674"/>
      <c r="F42" s="2662"/>
      <c r="G42" s="2664"/>
      <c r="H42" s="2664"/>
      <c r="I42" s="2664"/>
      <c r="J42" s="2737"/>
    </row>
    <row r="43" ht="14.25" spans="1:10">
      <c r="A43" s="2671" t="s">
        <v>663</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664</v>
      </c>
      <c r="B46" s="2682"/>
      <c r="C46" s="2682"/>
      <c r="D46" s="2683"/>
      <c r="E46" s="2683"/>
      <c r="F46" s="2683"/>
      <c r="G46" s="2683"/>
      <c r="H46" s="2683"/>
      <c r="I46" s="2740" t="s">
        <v>665</v>
      </c>
      <c r="J46" s="2741"/>
      <c r="K46" s="2742" t="s">
        <v>666</v>
      </c>
      <c r="L46" s="2743"/>
      <c r="M46" s="2743"/>
      <c r="N46" s="2743"/>
      <c r="O46" s="2743"/>
      <c r="P46" s="2743"/>
    </row>
    <row r="47" ht="14.25" customHeight="1" spans="1:16">
      <c r="A47" s="2684" t="s">
        <v>667</v>
      </c>
      <c r="B47" s="2685"/>
      <c r="C47" s="2686"/>
      <c r="D47" s="2284">
        <f ca="1">ROUND(I104*F47,0)</f>
        <v>0</v>
      </c>
      <c r="E47" s="2372" t="s">
        <v>668</v>
      </c>
      <c r="F47" s="2687">
        <v>1</v>
      </c>
      <c r="G47" s="2688" t="s">
        <v>669</v>
      </c>
      <c r="H47" s="2423"/>
      <c r="I47" s="2423"/>
      <c r="J47" s="2732"/>
      <c r="K47" s="2744" t="s">
        <v>831</v>
      </c>
      <c r="L47" s="2744"/>
      <c r="M47" s="2744"/>
      <c r="N47" s="2744"/>
      <c r="O47" s="2744"/>
      <c r="P47" s="2744"/>
    </row>
    <row r="48" ht="14.25" customHeight="1" spans="1:16">
      <c r="A48" s="2689" t="s">
        <v>671</v>
      </c>
      <c r="B48" s="2690"/>
      <c r="C48" s="2690"/>
      <c r="D48" s="2690"/>
      <c r="E48" s="2690"/>
      <c r="F48" s="2690"/>
      <c r="G48" s="2691"/>
      <c r="H48" s="2692"/>
      <c r="I48" s="2423"/>
      <c r="J48" s="2732"/>
      <c r="K48" s="2745">
        <v>1</v>
      </c>
      <c r="L48" s="2746" t="s">
        <v>832</v>
      </c>
      <c r="M48" s="2746"/>
      <c r="N48" s="2747"/>
      <c r="O48" s="2747"/>
      <c r="P48" s="2747"/>
    </row>
    <row r="49" ht="12" customHeight="1" spans="1:16">
      <c r="A49" s="2693" t="s">
        <v>672</v>
      </c>
      <c r="B49" s="2694"/>
      <c r="C49" s="2695"/>
      <c r="D49" s="2322" t="s">
        <v>673</v>
      </c>
      <c r="E49" s="2272" t="s">
        <v>674</v>
      </c>
      <c r="F49" s="2484" t="s">
        <v>675</v>
      </c>
      <c r="G49" s="2696" t="s">
        <v>676</v>
      </c>
      <c r="H49" s="2692"/>
      <c r="I49" s="2423"/>
      <c r="J49" s="2732"/>
      <c r="K49" s="2745">
        <v>2</v>
      </c>
      <c r="L49" s="2746" t="s">
        <v>833</v>
      </c>
      <c r="M49" s="2746"/>
      <c r="N49" s="2748">
        <f>'数据-取费表'!B2</f>
        <v>44873</v>
      </c>
      <c r="O49" s="2748"/>
      <c r="P49" s="2748"/>
    </row>
    <row r="50" ht="24.75" spans="1:16">
      <c r="A50" s="2697" t="s">
        <v>678</v>
      </c>
      <c r="B50" s="2327"/>
      <c r="C50" s="2327"/>
      <c r="D50" s="2384">
        <f ca="1">IF(H50="情况1",0,IF(H50="情况2",D54,IF(H50="情况3",D55,IF(H50="情况4",D56))))</f>
        <v>0</v>
      </c>
      <c r="E50" s="2327" t="str">
        <f>IF(H50="情况4","(销售额-原购置价)×税（费）率","销售额×税（费）率")</f>
        <v>销售额×税（费）率</v>
      </c>
      <c r="F50" s="2698">
        <f>IF(H50="情况1","免征",'数据-取费表'!E29)</f>
        <v>0.056</v>
      </c>
      <c r="G50" s="2699" t="s">
        <v>679</v>
      </c>
      <c r="H50" s="2700" t="s">
        <v>680</v>
      </c>
      <c r="I50" s="2692"/>
      <c r="J50" s="2749"/>
      <c r="K50" s="2745">
        <v>3</v>
      </c>
      <c r="L50" s="2746" t="s">
        <v>834</v>
      </c>
      <c r="M50" s="2746"/>
      <c r="N50" s="2750">
        <f ca="1">I104</f>
        <v>0</v>
      </c>
      <c r="O50" s="2750"/>
      <c r="P50" s="2750"/>
    </row>
    <row r="51" ht="25.5" customHeight="1" spans="1:16">
      <c r="A51" s="2697" t="s">
        <v>682</v>
      </c>
      <c r="B51" s="2306" t="s">
        <v>683</v>
      </c>
      <c r="C51" s="2306"/>
      <c r="D51" s="2701">
        <v>0</v>
      </c>
      <c r="E51" s="2333" t="s">
        <v>684</v>
      </c>
      <c r="F51" s="2702" t="s">
        <v>121</v>
      </c>
      <c r="G51" s="2703"/>
      <c r="H51" s="2704" t="s">
        <v>835</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06" t="s">
        <v>686</v>
      </c>
      <c r="C52" s="2306"/>
      <c r="D52" s="2706"/>
      <c r="E52" s="2343"/>
      <c r="F52" s="2702"/>
      <c r="G52" s="2707"/>
      <c r="H52" s="2708" t="s">
        <v>687</v>
      </c>
      <c r="I52" s="2751"/>
      <c r="J52" s="2752"/>
      <c r="K52" s="2746" t="s">
        <v>836</v>
      </c>
      <c r="L52" s="2746"/>
      <c r="M52" s="2746"/>
      <c r="N52" s="2746"/>
      <c r="O52" s="2746"/>
      <c r="P52" s="2746"/>
    </row>
    <row r="53" ht="20.45" customHeight="1" spans="1:16">
      <c r="A53" s="2709"/>
      <c r="B53" s="2306" t="s">
        <v>689</v>
      </c>
      <c r="C53" s="2306"/>
      <c r="D53" s="2322"/>
      <c r="E53" s="447"/>
      <c r="F53" s="2702"/>
      <c r="G53" s="2710"/>
      <c r="H53" s="2708" t="s">
        <v>690</v>
      </c>
      <c r="I53" s="2751"/>
      <c r="J53" s="2752"/>
      <c r="K53" s="2746" t="s">
        <v>837</v>
      </c>
      <c r="L53" s="2746" t="s">
        <v>838</v>
      </c>
      <c r="M53" s="2746"/>
      <c r="N53" s="2746" t="s">
        <v>839</v>
      </c>
      <c r="O53" s="2746" t="s">
        <v>840</v>
      </c>
      <c r="P53" s="2746" t="s">
        <v>841</v>
      </c>
    </row>
    <row r="54" ht="24" customHeight="1" spans="1:16">
      <c r="A54" s="2711" t="s">
        <v>696</v>
      </c>
      <c r="B54" s="2306" t="s">
        <v>697</v>
      </c>
      <c r="C54" s="2306"/>
      <c r="D54" s="2322">
        <f ca="1">ROUND(D47*'数据-取费表'!E29/(1+'数据-取费表'!F30),0)</f>
        <v>0</v>
      </c>
      <c r="E54" s="2327" t="s">
        <v>698</v>
      </c>
      <c r="F54" s="2712">
        <f>'数据-取费表'!E29</f>
        <v>0.056</v>
      </c>
      <c r="G54" s="2713"/>
      <c r="H54" s="2423"/>
      <c r="I54" s="2753"/>
      <c r="J54" s="2752"/>
      <c r="K54" s="2745">
        <v>1</v>
      </c>
      <c r="L54" s="2745" t="s">
        <v>842</v>
      </c>
      <c r="M54" s="2745"/>
      <c r="N54" s="2754">
        <f ca="1">D50</f>
        <v>0</v>
      </c>
      <c r="O54" s="2745" t="str">
        <f>E50</f>
        <v>销售额×税（费）率</v>
      </c>
      <c r="P54" s="2755">
        <f>F50</f>
        <v>0.056</v>
      </c>
    </row>
    <row r="55" ht="12" customHeight="1" spans="1:16">
      <c r="A55" s="2711" t="s">
        <v>700</v>
      </c>
      <c r="B55" s="2305" t="s">
        <v>701</v>
      </c>
      <c r="C55" s="2714"/>
      <c r="D55" s="2322">
        <f ca="1">ROUND(D47*'数据-取费表'!E29/(1+'数据-取费表'!F30),0)</f>
        <v>0</v>
      </c>
      <c r="E55" s="2327" t="s">
        <v>698</v>
      </c>
      <c r="F55" s="2712">
        <f>'数据-取费表'!E29</f>
        <v>0.056</v>
      </c>
      <c r="G55" s="2713"/>
      <c r="H55" s="2423"/>
      <c r="I55" s="2753"/>
      <c r="J55" s="2752"/>
      <c r="K55" s="2745">
        <v>2</v>
      </c>
      <c r="L55" s="2745" t="s">
        <v>843</v>
      </c>
      <c r="M55" s="2745"/>
      <c r="N55" s="2754">
        <f ca="1" t="shared" ref="N55:P56" si="1">D57</f>
        <v>0</v>
      </c>
      <c r="O55" s="2745" t="str">
        <f t="shared" si="1"/>
        <v>销售额×税（费）率</v>
      </c>
      <c r="P55" s="2755">
        <f t="shared" si="1"/>
        <v>0.0005</v>
      </c>
    </row>
    <row r="56" ht="12" customHeight="1" spans="1:16">
      <c r="A56" s="2711" t="s">
        <v>703</v>
      </c>
      <c r="B56" s="2305" t="s">
        <v>704</v>
      </c>
      <c r="C56" s="2714"/>
      <c r="D56" s="2322">
        <f ca="1">C70</f>
        <v>0</v>
      </c>
      <c r="E56" s="447" t="s">
        <v>705</v>
      </c>
      <c r="F56" s="2712">
        <f>'数据-取费表'!E29</f>
        <v>0.056</v>
      </c>
      <c r="G56" s="2713"/>
      <c r="H56" s="2715"/>
      <c r="I56" s="2753"/>
      <c r="J56" s="2752"/>
      <c r="K56" s="2745">
        <v>3</v>
      </c>
      <c r="L56" s="2745" t="s">
        <v>844</v>
      </c>
      <c r="M56" s="2745"/>
      <c r="N56" s="2754">
        <f ca="1" t="shared" si="1"/>
        <v>0</v>
      </c>
      <c r="O56" s="2745" t="str">
        <f t="shared" si="1"/>
        <v>增值额×税（费）率</v>
      </c>
      <c r="P56" s="2756" t="str">
        <f t="shared" si="1"/>
        <v>——</v>
      </c>
    </row>
    <row r="57" ht="24" customHeight="1" spans="1:16">
      <c r="A57" s="2711" t="s">
        <v>707</v>
      </c>
      <c r="B57" s="2327"/>
      <c r="C57" s="2327"/>
      <c r="D57" s="2384">
        <f ca="1">IF(H57="个人住宅",0,ROUND(D47*I57,0))</f>
        <v>0</v>
      </c>
      <c r="E57" s="2327" t="s">
        <v>708</v>
      </c>
      <c r="F57" s="2712">
        <f>IF(H57="正常",I57,"免征")</f>
        <v>0.0005</v>
      </c>
      <c r="G57" s="2713"/>
      <c r="H57" s="2700" t="s">
        <v>845</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710</v>
      </c>
      <c r="B58" s="2327"/>
      <c r="C58" s="2327"/>
      <c r="D58" s="2384">
        <f ca="1">IF(H58="个人住宅",D59,D60)</f>
        <v>0</v>
      </c>
      <c r="E58" s="2327" t="s">
        <v>711</v>
      </c>
      <c r="F58" s="2712" t="str">
        <f>IF(H58="正常",F60,"免征")</f>
        <v>——</v>
      </c>
      <c r="G58" s="2716" t="s">
        <v>712</v>
      </c>
      <c r="H58" s="2717" t="s">
        <v>845</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682</v>
      </c>
      <c r="B59" s="2305" t="s">
        <v>713</v>
      </c>
      <c r="C59" s="2714"/>
      <c r="D59" s="2701">
        <v>0</v>
      </c>
      <c r="E59" s="2333" t="s">
        <v>684</v>
      </c>
      <c r="F59" s="2272"/>
      <c r="G59" s="2713"/>
      <c r="H59" s="2718"/>
      <c r="I59" s="2718"/>
      <c r="J59" s="2752"/>
      <c r="K59" s="2745">
        <f>IF(AND(K57="",K58=""),4,IF(项目基本情况!I6="上海银行",K58+1,K57+1))</f>
        <v>5</v>
      </c>
      <c r="L59" s="2745" t="s">
        <v>846</v>
      </c>
      <c r="M59" s="2764" t="s">
        <v>847</v>
      </c>
      <c r="N59" s="2765"/>
      <c r="O59" s="2766">
        <f ca="1">SUMIF(N54:N58,"&lt;9e307")</f>
        <v>0</v>
      </c>
      <c r="P59" s="2767"/>
      <c r="Q59" s="2779" t="e">
        <f ca="1">O59/N51</f>
        <v>#VALUE!</v>
      </c>
    </row>
    <row r="60" ht="24.75" spans="1:16">
      <c r="A60" s="2711" t="s">
        <v>696</v>
      </c>
      <c r="B60" s="2305" t="s">
        <v>715</v>
      </c>
      <c r="C60" s="2306"/>
      <c r="D60" s="2384">
        <f ca="1">IF(H60="转让取得",C83,C99)</f>
        <v>0</v>
      </c>
      <c r="E60" s="2327" t="s">
        <v>711</v>
      </c>
      <c r="F60" s="2272" t="s">
        <v>121</v>
      </c>
      <c r="G60" s="2713"/>
      <c r="H60" s="2717" t="s">
        <v>716</v>
      </c>
      <c r="I60" s="2718"/>
      <c r="J60" s="2752"/>
      <c r="K60" s="2745"/>
      <c r="L60" s="2745"/>
      <c r="M60" s="2764" t="s">
        <v>848</v>
      </c>
      <c r="N60" s="2768"/>
      <c r="O60" s="2769" t="str">
        <f ca="1">IF(H19="元",NUMBERSTRING(INT(O59),2)&amp;"元整",NUMBERSTRING(INT(O59*10000),2)&amp;"元整")</f>
        <v>零元整</v>
      </c>
      <c r="P60" s="2770"/>
    </row>
    <row r="61" ht="25.5" spans="1:16">
      <c r="A61" s="2719" t="s">
        <v>718</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719</v>
      </c>
      <c r="H61" s="2724" t="s">
        <v>849</v>
      </c>
      <c r="I61" s="2771" t="s">
        <v>721</v>
      </c>
      <c r="J61" s="2752"/>
      <c r="K61" s="2759">
        <f>K59+1</f>
        <v>6</v>
      </c>
      <c r="L61" s="2745" t="s">
        <v>850</v>
      </c>
      <c r="M61" s="2745" t="s">
        <v>847</v>
      </c>
      <c r="N61" s="2772"/>
      <c r="O61" s="2773" t="e">
        <f ca="1">N51-O59</f>
        <v>#VALUE!</v>
      </c>
      <c r="P61" s="2774"/>
    </row>
    <row r="62" ht="12" customHeight="1" spans="1:16">
      <c r="A62" s="2725"/>
      <c r="B62" s="2608"/>
      <c r="C62" s="2608"/>
      <c r="D62" s="2608"/>
      <c r="E62" s="2725"/>
      <c r="F62" s="2718"/>
      <c r="G62" s="2718"/>
      <c r="H62" s="2726"/>
      <c r="I62" s="2423"/>
      <c r="J62" s="2752"/>
      <c r="K62" s="2775"/>
      <c r="L62" s="2745"/>
      <c r="M62" s="2764" t="s">
        <v>848</v>
      </c>
      <c r="N62" s="2768"/>
      <c r="O62" s="2769" t="e">
        <f ca="1">IF(H19="元",NUMBERSTRING(INT(O61),2)&amp;"元整",NUMBERSTRING(INT(O61*10000),2)&amp;"元整")</f>
        <v>#VALUE!</v>
      </c>
      <c r="P62" s="2770"/>
    </row>
    <row r="63" ht="14.25" spans="1:16">
      <c r="A63" s="2727" t="s">
        <v>722</v>
      </c>
      <c r="B63" s="2727"/>
      <c r="C63" s="2727"/>
      <c r="D63" s="2727"/>
      <c r="E63" s="2727"/>
      <c r="F63" s="2718"/>
      <c r="G63" s="2718"/>
      <c r="H63" s="2726"/>
      <c r="I63" s="2423"/>
      <c r="J63" s="2732"/>
      <c r="K63" s="2745">
        <f>K61+1</f>
        <v>7</v>
      </c>
      <c r="L63" s="2745" t="s">
        <v>851</v>
      </c>
      <c r="M63" s="2745"/>
      <c r="N63" s="2776"/>
      <c r="O63" s="2777" t="e">
        <f ca="1">IF(H19="元",ROUND(O61/项目基本情况!C12,0),ROUND(O61*10000/项目基本情况!C12,0))</f>
        <v>#VALUE!</v>
      </c>
      <c r="P63" s="2778"/>
    </row>
    <row r="64" ht="13.5" spans="1:15">
      <c r="A64" s="459" t="s">
        <v>724</v>
      </c>
      <c r="B64" s="425"/>
      <c r="C64" s="425"/>
      <c r="D64" s="425" t="s">
        <v>725</v>
      </c>
      <c r="E64" s="2728" t="s">
        <v>676</v>
      </c>
      <c r="F64" s="2718"/>
      <c r="G64" s="2718"/>
      <c r="H64" s="2726"/>
      <c r="I64" s="2423"/>
      <c r="J64" s="2732"/>
      <c r="K64" s="2593"/>
      <c r="L64" s="2593"/>
      <c r="M64" s="2593"/>
      <c r="N64" s="2593"/>
      <c r="O64" s="2593"/>
    </row>
    <row r="65" ht="13.5" spans="1:15">
      <c r="A65" s="2781">
        <v>1</v>
      </c>
      <c r="B65" s="2782" t="s">
        <v>726</v>
      </c>
      <c r="C65" s="2783">
        <f ca="1">ROUND((C66+C67)/(1+'数据-取费表'!F30),0)</f>
        <v>0</v>
      </c>
      <c r="D65" s="2782"/>
      <c r="E65" s="2784"/>
      <c r="F65" s="2718"/>
      <c r="G65" s="2718"/>
      <c r="H65" s="2726"/>
      <c r="I65" s="2423"/>
      <c r="J65" s="2732"/>
      <c r="K65" s="2850" t="s">
        <v>852</v>
      </c>
      <c r="L65" s="2850" t="s">
        <v>853</v>
      </c>
      <c r="M65" s="2850" t="e">
        <f ca="1">IF(N51&gt;10000,N51*0.5%,IF(AND(N51&gt;1000,N51&lt;=10000),N51*1%,IF(AND(N51&gt;100,N51&lt;=1000),N51*3%,IF(AND(N51&gt;10,N51&lt;=100),N51*5%,N51*8%))))</f>
        <v>#VALUE!</v>
      </c>
      <c r="N65" s="2272" t="e">
        <f ca="1">ROUND(M65,1)</f>
        <v>#VALUE!</v>
      </c>
      <c r="O65" s="2896"/>
    </row>
    <row r="66" ht="13.5" spans="1:15">
      <c r="A66" s="2785" t="s">
        <v>729</v>
      </c>
      <c r="B66" s="410" t="s">
        <v>730</v>
      </c>
      <c r="C66" s="2786">
        <f ca="1">D47</f>
        <v>0</v>
      </c>
      <c r="D66" s="410" t="s">
        <v>121</v>
      </c>
      <c r="E66" s="2787"/>
      <c r="F66" s="2718"/>
      <c r="G66" s="2718"/>
      <c r="H66" s="2726"/>
      <c r="I66" s="2423"/>
      <c r="J66" s="2732"/>
      <c r="K66" s="2850"/>
      <c r="L66" s="2850" t="s">
        <v>854</v>
      </c>
      <c r="M66" s="2850" t="e">
        <f ca="1">IF(N51&gt;2000,N51*0.5%,IF(AND(N51&gt;1000,N51&lt;=2000),N51*0.6%,IF(AND(N51&gt;500,N51&lt;=1000),N51*0.7%,IF(AND(N51&gt;200,N51&lt;=500),N51*0.8%,IF(AND(N51&gt;100,N51&lt;=200),N51*0.9%,IF(AND(N51&gt;50,N51&lt;=100),N51*1%,IF(AND(N51&gt;20,N51&lt;=50),N51*1.5%,IF(AND(N51&gt;10,N51&lt;=20),N51*2%,IF(AND(N51&gt;1,N51&lt;=10),N51*2.5%)))))))))</f>
        <v>#VALUE!</v>
      </c>
      <c r="N66" s="2272" t="e">
        <f ca="1" t="shared" ref="N66:N67" si="2">ROUND(M66,1)</f>
        <v>#VALUE!</v>
      </c>
      <c r="O66" s="2896" t="s">
        <v>855</v>
      </c>
    </row>
    <row r="67" ht="13.5" spans="1:15">
      <c r="A67" s="2785" t="s">
        <v>733</v>
      </c>
      <c r="B67" s="410" t="s">
        <v>734</v>
      </c>
      <c r="C67" s="2788"/>
      <c r="D67" s="410"/>
      <c r="E67" s="2787"/>
      <c r="F67" s="2718"/>
      <c r="G67" s="2718"/>
      <c r="H67" s="2726"/>
      <c r="I67" s="2423"/>
      <c r="J67" s="2732"/>
      <c r="K67" s="2850"/>
      <c r="L67" s="2850" t="s">
        <v>856</v>
      </c>
      <c r="M67" s="2850" t="e">
        <f ca="1">IF(N51&gt;1000,N51*0.1%,IF(AND(N51&gt;500,N51&lt;=1000),N51*0.5%,IF(AND(N51&gt;50,N51&lt;=500),N51*1%,IF(AND(N51&gt;1,N51&lt;=50),N51*1.5%))))</f>
        <v>#VALUE!</v>
      </c>
      <c r="N67" s="2272" t="e">
        <f ca="1" t="shared" si="2"/>
        <v>#VALUE!</v>
      </c>
      <c r="O67" s="2896" t="s">
        <v>855</v>
      </c>
    </row>
    <row r="68" ht="13.5" spans="1:15">
      <c r="A68" s="2789" t="s">
        <v>736</v>
      </c>
      <c r="B68" s="516" t="s">
        <v>737</v>
      </c>
      <c r="C68" s="2790"/>
      <c r="D68" s="516" t="s">
        <v>121</v>
      </c>
      <c r="E68" s="2791" t="s">
        <v>738</v>
      </c>
      <c r="F68" s="2718"/>
      <c r="G68" s="2718"/>
      <c r="H68" s="2726"/>
      <c r="I68" s="2423"/>
      <c r="J68" s="2732"/>
      <c r="K68" s="2850"/>
      <c r="L68" s="2850" t="s">
        <v>857</v>
      </c>
      <c r="M68" s="2850" t="e">
        <f ca="1">N51*0.5%</f>
        <v>#VALUE!</v>
      </c>
      <c r="N68" s="2272" t="e">
        <f ca="1">IF(M68&gt;0.5,0.5,ROUND(M68,0))</f>
        <v>#VALUE!</v>
      </c>
      <c r="O68" s="2896" t="s">
        <v>858</v>
      </c>
    </row>
    <row r="69" ht="13.5" spans="1:15">
      <c r="A69" s="2789" t="s">
        <v>741</v>
      </c>
      <c r="B69" s="516" t="s">
        <v>742</v>
      </c>
      <c r="C69" s="2792">
        <f ca="1">C65-C68</f>
        <v>0</v>
      </c>
      <c r="D69" s="410" t="s">
        <v>121</v>
      </c>
      <c r="E69" s="2787"/>
      <c r="F69" s="2718"/>
      <c r="G69" s="2718"/>
      <c r="H69" s="2726"/>
      <c r="I69" s="2423"/>
      <c r="J69" s="2732"/>
      <c r="K69" s="2850"/>
      <c r="L69" s="2850" t="s">
        <v>859</v>
      </c>
      <c r="M69" s="2850" t="e">
        <f ca="1">IF(N51&gt;=10000,(8.25+(N51-10000)*0.01%),IF(AND(N51&gt;=8000,N51&lt;10000),(7.85+(N51-8000)*0.02%),IF(AND(N51&gt;=5000,N51&lt;8000),(6.65+(N51-5000)*0.04%),IF(AND(N51&gt;=2000,N51&lt;5000),(4.25+(PN51-2000)*0.08%),IF(AND(N51&gt;=1000,N51&lt;2000),(2.75+(N51-1000)*0.15%),IF(AND(N51&gt;=100,N51&lt;1000),(0.5+(N51-100)*0.25%),IF(AND(N51&gt;0,N51&lt;100),N51*0.5%)))))))</f>
        <v>#VALUE!</v>
      </c>
      <c r="N69" s="2272" t="e">
        <f ca="1">ROUND(M69*0.9,1)</f>
        <v>#VALUE!</v>
      </c>
      <c r="O69" s="2896"/>
    </row>
    <row r="70" ht="14.25" spans="1:15">
      <c r="A70" s="2793" t="s">
        <v>744</v>
      </c>
      <c r="B70" s="537" t="s">
        <v>745</v>
      </c>
      <c r="C70" s="2794">
        <f ca="1">IF(C69&lt;=0,0,ROUND(C69*D70,0))</f>
        <v>0</v>
      </c>
      <c r="D70" s="631">
        <f>'数据-取费表'!E29</f>
        <v>0.056</v>
      </c>
      <c r="E70" s="2795"/>
      <c r="F70" s="2718"/>
      <c r="G70" s="2718"/>
      <c r="H70" s="2726"/>
      <c r="I70" s="2423"/>
      <c r="J70" s="2732"/>
      <c r="K70" s="2850"/>
      <c r="L70" s="2850" t="s">
        <v>860</v>
      </c>
      <c r="M70" s="2850" t="e">
        <f ca="1">IF(N51&gt;10000,N51*0.5%,IF(AND(N51&gt;5000,N51&lt;=10000),N51*1%,IF(AND(N51&gt;1000,N51&lt;=5000),N51*2%,IF(AND(N51&gt;200,N51&lt;=1000),N51*3%,N51*5%))))</f>
        <v>#VALUE!</v>
      </c>
      <c r="N70" s="2272" t="e">
        <f ca="1">ROUND(M70,1)</f>
        <v>#VALUE!</v>
      </c>
      <c r="O70" s="2896"/>
    </row>
    <row r="71" s="2591" customFormat="1" ht="7.5" customHeight="1" spans="1:36">
      <c r="A71" s="2796"/>
      <c r="B71" s="507"/>
      <c r="C71" s="2797"/>
      <c r="D71" s="558"/>
      <c r="E71" s="2679"/>
      <c r="F71" s="2725"/>
      <c r="G71" s="2725"/>
      <c r="H71" s="2679"/>
      <c r="I71" s="2608"/>
      <c r="J71" s="2732"/>
      <c r="K71" s="2850"/>
      <c r="L71" s="2850" t="s">
        <v>861</v>
      </c>
      <c r="M71" s="2850"/>
      <c r="N71" s="2272"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747</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724</v>
      </c>
      <c r="B73" s="425"/>
      <c r="C73" s="425"/>
      <c r="D73" s="425" t="s">
        <v>725</v>
      </c>
      <c r="E73" s="2799" t="s">
        <v>676</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748</v>
      </c>
      <c r="C74" s="2792">
        <f ca="1">ROUND(D47/(1+'数据-取费表'!F30),0)</f>
        <v>0</v>
      </c>
      <c r="D74" s="410" t="s">
        <v>121</v>
      </c>
      <c r="E74" s="2305"/>
      <c r="F74" s="2306"/>
      <c r="G74" s="2306"/>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484" t="s">
        <v>750</v>
      </c>
      <c r="C75" s="2792">
        <f ca="1">C76+C80</f>
        <v>0</v>
      </c>
      <c r="D75" s="410" t="s">
        <v>121</v>
      </c>
      <c r="E75" s="2305"/>
      <c r="F75" s="2306"/>
      <c r="G75" s="2306"/>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751</v>
      </c>
      <c r="B76" s="410" t="s">
        <v>752</v>
      </c>
      <c r="C76" s="410">
        <f>ROUND(IF(G79="2016年5月1日后购买",C77/(1+'数据-取费表'!F30)+C78+C79,C77+C78+C79),0)</f>
        <v>0</v>
      </c>
      <c r="D76" s="410" t="s">
        <v>121</v>
      </c>
      <c r="E76" s="2305"/>
      <c r="F76" s="2306"/>
      <c r="G76" s="2306"/>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753</v>
      </c>
      <c r="B77" s="410" t="s">
        <v>754</v>
      </c>
      <c r="C77" s="540"/>
      <c r="D77" s="410" t="s">
        <v>121</v>
      </c>
      <c r="E77" s="2805" t="s">
        <v>755</v>
      </c>
      <c r="F77" s="2806" t="s">
        <v>756</v>
      </c>
      <c r="G77" s="2805" t="s">
        <v>757</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758</v>
      </c>
      <c r="B78" s="432" t="s">
        <v>759</v>
      </c>
      <c r="C78" s="410">
        <f>IF(F77="购房发票",ROUND(C77*H77*D78,0),0)</f>
        <v>0</v>
      </c>
      <c r="D78" s="2808">
        <v>0.05</v>
      </c>
      <c r="E78" s="2305" t="s">
        <v>760</v>
      </c>
      <c r="F78" s="2306"/>
      <c r="G78" s="2306"/>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761</v>
      </c>
      <c r="B79" s="410" t="s">
        <v>762</v>
      </c>
      <c r="C79" s="410">
        <f>ROUND(IF(G79="个人住宅",0,IF(G79="2016年5月1日前购买",C77*D79,C77*D79/(1+'数据-取费表'!F30))),0)</f>
        <v>0</v>
      </c>
      <c r="D79" s="2810">
        <f>'数据-取费表'!E36+'数据-取费表'!E37</f>
        <v>0.0305</v>
      </c>
      <c r="E79" s="2384" t="s">
        <v>763</v>
      </c>
      <c r="F79" s="1289"/>
      <c r="G79" s="2811" t="s">
        <v>764</v>
      </c>
      <c r="H79" s="2809" t="str">
        <f>IF(G79="个人买卖住房","免征印花税"," ")</f>
        <v>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765</v>
      </c>
      <c r="B80" s="410" t="s">
        <v>766</v>
      </c>
      <c r="C80" s="2812">
        <f ca="1">ROUND(D47*D80/(1+'数据-取费表'!F30),0)</f>
        <v>0</v>
      </c>
      <c r="D80" s="2813">
        <f>'数据-取费表'!E31</f>
        <v>0.006</v>
      </c>
      <c r="E80" s="2814" t="s">
        <v>767</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741</v>
      </c>
      <c r="B81" s="516" t="s">
        <v>768</v>
      </c>
      <c r="C81" s="2792">
        <f ca="1">C74-C75</f>
        <v>0</v>
      </c>
      <c r="D81" s="410" t="s">
        <v>121</v>
      </c>
      <c r="E81" s="2305"/>
      <c r="F81" s="2306"/>
      <c r="G81" s="2306"/>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744</v>
      </c>
      <c r="B82" s="516" t="s">
        <v>769</v>
      </c>
      <c r="C82" s="2817">
        <f ca="1">IF(C81&lt;=0,0,C81/C75)</f>
        <v>0</v>
      </c>
      <c r="D82" s="410" t="s">
        <v>121</v>
      </c>
      <c r="E82" s="2384" t="str">
        <f ca="1">IF(C82&gt;=200%,"增值额超过扣除项目金额200%",IF(C82&gt;=100%,"增值额超过扣除项目金额100%，未超过200%",IF(C82&gt;=50%,"增值额超过扣除项目金额50%，未超过100%",IF(C82&lt;50%,"增值额未超过扣除项目金额50%"))))</f>
        <v>增值额未超过扣除项目金额50%</v>
      </c>
      <c r="F82" s="2306"/>
      <c r="G82" s="2306"/>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770</v>
      </c>
      <c r="B83" s="537" t="s">
        <v>771</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772</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724</v>
      </c>
      <c r="B86" s="425"/>
      <c r="C86" s="425"/>
      <c r="D86" s="425" t="s">
        <v>725</v>
      </c>
      <c r="E86" s="2799" t="s">
        <v>676</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748</v>
      </c>
      <c r="C87" s="2792">
        <f ca="1">ROUND(D47/(1+'数据-取费表'!F30),0)</f>
        <v>0</v>
      </c>
      <c r="D87" s="410" t="s">
        <v>121</v>
      </c>
      <c r="E87" s="2305"/>
      <c r="F87" s="2306"/>
      <c r="G87" s="2306"/>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484" t="s">
        <v>750</v>
      </c>
      <c r="C88" s="2792">
        <f ca="1">IF(H90="仅含出让金",C89+C92+C93+C94+C95+C96,C89+C93+C94+C95+C96)</f>
        <v>0</v>
      </c>
      <c r="D88" s="2824"/>
      <c r="E88" s="2305"/>
      <c r="F88" s="2306"/>
      <c r="G88" s="2306"/>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751</v>
      </c>
      <c r="B89" s="410" t="s">
        <v>773</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753</v>
      </c>
      <c r="B90" s="410" t="s">
        <v>774</v>
      </c>
      <c r="C90" s="2825"/>
      <c r="D90" s="2813"/>
      <c r="E90" s="2757" t="s">
        <v>775</v>
      </c>
      <c r="F90" s="2815"/>
      <c r="G90" s="2826" t="s">
        <v>776</v>
      </c>
      <c r="H90" s="2827"/>
      <c r="I90" s="544"/>
      <c r="J90" s="2902"/>
      <c r="K90" s="2904" t="s">
        <v>777</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758</v>
      </c>
      <c r="B91" s="410" t="s">
        <v>762</v>
      </c>
      <c r="C91" s="2812">
        <f>ROUND(C90*D91,0)</f>
        <v>0</v>
      </c>
      <c r="D91" s="2813">
        <f>'数据-取费表'!E36+'数据-取费表'!E37</f>
        <v>0.0305</v>
      </c>
      <c r="E91" s="2757" t="s">
        <v>778</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765</v>
      </c>
      <c r="B92" s="410" t="s">
        <v>779</v>
      </c>
      <c r="C92" s="2825"/>
      <c r="D92" s="2813"/>
      <c r="E92" s="2757" t="str">
        <f>IF(H90="-","土地取得成本中已包含该笔费用"," ")</f>
        <v> </v>
      </c>
      <c r="F92" s="2815"/>
      <c r="G92" s="2828" t="s">
        <v>780</v>
      </c>
      <c r="H92" s="2829"/>
      <c r="I92" s="544"/>
      <c r="J92" s="2902"/>
      <c r="K92" s="2904" t="s">
        <v>781</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782</v>
      </c>
      <c r="B93" s="410" t="s">
        <v>783</v>
      </c>
      <c r="C93" s="2812">
        <f>IF(H93="——",成本法!C33,I93)</f>
        <v>0</v>
      </c>
      <c r="D93" s="2813"/>
      <c r="E93" s="2814" t="s">
        <v>784</v>
      </c>
      <c r="F93" s="2815"/>
      <c r="G93" s="2815"/>
      <c r="H93" s="2830" t="s">
        <v>785</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786</v>
      </c>
      <c r="B94" s="410" t="s">
        <v>787</v>
      </c>
      <c r="C94" s="2812">
        <f>ROUND((C89+C92+C93)*D94,0)</f>
        <v>0</v>
      </c>
      <c r="D94" s="2813">
        <v>0.1</v>
      </c>
      <c r="E94" s="2814" t="s">
        <v>788</v>
      </c>
      <c r="F94" s="2815"/>
      <c r="G94" s="2815"/>
      <c r="H94" s="2816"/>
      <c r="I94" s="544"/>
      <c r="J94" s="2902"/>
      <c r="K94" s="2908" t="s">
        <v>789</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790</v>
      </c>
      <c r="B95" s="410" t="s">
        <v>766</v>
      </c>
      <c r="C95" s="2812">
        <f ca="1">ROUND(D47*D95/(1+'数据-取费表'!F30),0)</f>
        <v>0</v>
      </c>
      <c r="D95" s="2813">
        <f>'数据-取费表'!E31</f>
        <v>0.006</v>
      </c>
      <c r="E95" s="2814" t="s">
        <v>767</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791</v>
      </c>
      <c r="B96" s="410" t="s">
        <v>792</v>
      </c>
      <c r="C96" s="2812">
        <f>ROUND((C89+C92+C93)*D96,0)</f>
        <v>0</v>
      </c>
      <c r="D96" s="2813">
        <v>0.2</v>
      </c>
      <c r="E96" s="2814" t="s">
        <v>793</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741</v>
      </c>
      <c r="B97" s="516" t="s">
        <v>768</v>
      </c>
      <c r="C97" s="2792">
        <f ca="1">ROUND(C87-C88,0)</f>
        <v>0</v>
      </c>
      <c r="D97" s="410" t="s">
        <v>121</v>
      </c>
      <c r="E97" s="2305"/>
      <c r="F97" s="2306"/>
      <c r="G97" s="2306"/>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744</v>
      </c>
      <c r="B98" s="516" t="s">
        <v>769</v>
      </c>
      <c r="C98" s="2817">
        <f ca="1">IF(C97&lt;=0,0,C97/C88)</f>
        <v>0</v>
      </c>
      <c r="D98" s="410" t="s">
        <v>121</v>
      </c>
      <c r="E98" s="2384" t="str">
        <f ca="1">IF(C98&gt;=200%,"增值额超过扣除项目金额200%",IF(C98&gt;=100%,"增值额超过扣除项目金额100%，未超过200%",IF(C98&gt;=50%,"增值额超过扣除项目金额50%，未超过100%",IF(C98&lt;50%,"增值额未超过扣除项目金额50%"))))</f>
        <v>增值额未超过扣除项目金额50%</v>
      </c>
      <c r="F98" s="2306"/>
      <c r="G98" s="2306"/>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770</v>
      </c>
      <c r="B99" s="537" t="s">
        <v>771</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794</v>
      </c>
      <c r="B100" s="2597"/>
      <c r="C100" s="2597"/>
      <c r="D100" s="2597"/>
      <c r="E100" s="2835"/>
      <c r="F100" s="2835"/>
      <c r="G100" s="2835"/>
      <c r="H100" s="2836"/>
      <c r="I100" s="2597"/>
    </row>
    <row r="101" ht="15" spans="1:10">
      <c r="A101" s="2837" t="s">
        <v>795</v>
      </c>
      <c r="B101" s="2838"/>
      <c r="C101" s="2838"/>
      <c r="D101" s="2839"/>
      <c r="E101" s="2597"/>
      <c r="F101" s="2840" t="s">
        <v>862</v>
      </c>
      <c r="G101" s="2841"/>
      <c r="H101" s="2841"/>
      <c r="I101" s="2911"/>
      <c r="J101" s="2912"/>
    </row>
    <row r="102" ht="15" spans="1:10">
      <c r="A102" s="2842" t="s">
        <v>797</v>
      </c>
      <c r="B102" s="2843"/>
      <c r="C102" s="2844">
        <f>C4</f>
        <v>0</v>
      </c>
      <c r="D102" s="2845">
        <f>D4</f>
        <v>0</v>
      </c>
      <c r="E102" s="2597"/>
      <c r="F102" s="2846" t="s">
        <v>798</v>
      </c>
      <c r="G102" s="2847"/>
      <c r="H102" s="2848" t="s">
        <v>799</v>
      </c>
      <c r="I102" s="2913"/>
      <c r="J102" s="2914"/>
    </row>
    <row r="103" ht="13.5" spans="1:10">
      <c r="A103" s="2849" t="s">
        <v>863</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801</v>
      </c>
      <c r="C104" s="2855" t="e">
        <f ca="1">C20</f>
        <v>#REF!</v>
      </c>
      <c r="D104" s="2856" t="e">
        <f ca="1">D20</f>
        <v>#REF!</v>
      </c>
      <c r="E104" s="2597"/>
      <c r="F104" s="2804" t="s">
        <v>802</v>
      </c>
      <c r="G104" s="2484"/>
      <c r="H104" s="2857" t="str">
        <f>C110</f>
        <v>总价（元）</v>
      </c>
      <c r="I104" s="2874">
        <f ca="1">H125</f>
        <v>0</v>
      </c>
      <c r="J104" s="2914"/>
    </row>
    <row r="105" ht="13.5" spans="1:10">
      <c r="A105" s="2849" t="s">
        <v>864</v>
      </c>
      <c r="B105" s="519" t="str">
        <f>B103</f>
        <v>总价（元）</v>
      </c>
      <c r="C105" s="2384" t="e">
        <f ca="1">ROUND(IF('数据-取费表'!B4="总价",G19,IF(H19="元",G20*'数据-取费表'!E5,G20*'数据-取费表'!E5/10000)),0)</f>
        <v>#REF!</v>
      </c>
      <c r="D105" s="2858"/>
      <c r="E105" s="2597"/>
      <c r="F105" s="2804"/>
      <c r="G105" s="2484"/>
      <c r="H105" s="2857" t="s">
        <v>801</v>
      </c>
      <c r="I105" s="2787" t="e">
        <f ca="1">I125</f>
        <v>#DIV/0!</v>
      </c>
      <c r="J105" s="2731"/>
    </row>
    <row r="106" ht="13.5" spans="1:10">
      <c r="A106" s="2849"/>
      <c r="B106" s="518" t="s">
        <v>801</v>
      </c>
      <c r="C106" s="2679" t="e">
        <f ca="1">ROUND(IF('数据-取费表'!B4="楼面单价",G20,IF(H19="元",G19/'数据-取费表'!E5,G19*10000/'数据-取费表'!E5)),0)</f>
        <v>#REF!</v>
      </c>
      <c r="D106" s="2858"/>
      <c r="E106" s="2597"/>
      <c r="F106" s="2804"/>
      <c r="G106" s="2484"/>
      <c r="H106" s="2857"/>
      <c r="I106" s="2915"/>
      <c r="J106" s="2916"/>
    </row>
    <row r="107" ht="13.5" spans="1:10">
      <c r="A107" s="2859" t="s">
        <v>865</v>
      </c>
      <c r="B107" s="2860" t="str">
        <f>B103</f>
        <v>总价（元）</v>
      </c>
      <c r="C107" s="2861">
        <f ca="1">H125</f>
        <v>0</v>
      </c>
      <c r="D107" s="2862"/>
      <c r="E107" s="2597"/>
      <c r="F107" s="2863" t="s">
        <v>805</v>
      </c>
      <c r="G107" s="2864"/>
      <c r="H107" s="2865" t="str">
        <f>C112</f>
        <v>总额（元）</v>
      </c>
      <c r="I107" s="2874">
        <f>SUMIF(I108:I110,"&lt;9E307")</f>
        <v>0</v>
      </c>
      <c r="J107" s="2914"/>
    </row>
    <row r="108" ht="15" spans="1:17">
      <c r="A108" s="567"/>
      <c r="B108" s="2866" t="s">
        <v>801</v>
      </c>
      <c r="C108" s="2867" t="e">
        <f ca="1">I125</f>
        <v>#DIV/0!</v>
      </c>
      <c r="D108" s="2868"/>
      <c r="E108" s="2597"/>
      <c r="F108" s="2869" t="s">
        <v>806</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804</v>
      </c>
      <c r="B109" s="2872"/>
      <c r="C109" s="2872"/>
      <c r="D109" s="2873"/>
      <c r="E109" s="2597"/>
      <c r="F109" s="2869" t="s">
        <v>807</v>
      </c>
      <c r="G109" s="2870"/>
      <c r="H109" s="2865" t="str">
        <f>C114</f>
        <v>总额（元）</v>
      </c>
      <c r="I109" s="2787">
        <f>C39</f>
        <v>0</v>
      </c>
      <c r="J109" s="2731"/>
    </row>
    <row r="110" ht="13.5" spans="1:10">
      <c r="A110" s="2804" t="s">
        <v>866</v>
      </c>
      <c r="B110" s="2484"/>
      <c r="C110" s="2857" t="str">
        <f>B103</f>
        <v>总价（元）</v>
      </c>
      <c r="D110" s="2874">
        <f ca="1">H125</f>
        <v>0</v>
      </c>
      <c r="E110" s="2597"/>
      <c r="F110" s="2869" t="s">
        <v>808</v>
      </c>
      <c r="G110" s="2870"/>
      <c r="H110" s="2865" t="str">
        <f>C115</f>
        <v>总额（元）</v>
      </c>
      <c r="I110" s="2787">
        <f>C40</f>
        <v>0</v>
      </c>
      <c r="J110" s="2731"/>
    </row>
    <row r="111" ht="13.5" spans="1:10">
      <c r="A111" s="2804"/>
      <c r="B111" s="2484"/>
      <c r="C111" s="2857" t="s">
        <v>801</v>
      </c>
      <c r="D111" s="2787" t="e">
        <f ca="1">I125</f>
        <v>#DIV/0!</v>
      </c>
      <c r="E111" s="2597"/>
      <c r="F111" s="2804"/>
      <c r="G111" s="2484"/>
      <c r="H111" s="552"/>
      <c r="I111" s="2919"/>
      <c r="J111" s="2920"/>
    </row>
    <row r="112" ht="28.5" customHeight="1" spans="1:10">
      <c r="A112" s="2875" t="s">
        <v>805</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806</v>
      </c>
      <c r="B113" s="2870"/>
      <c r="C113" s="2865" t="str">
        <f>C112</f>
        <v>总额（元）</v>
      </c>
      <c r="D113" s="2787">
        <f>IF(D38="同一抵押权人同一抵押物续贷",C38&amp;"（未扣减，详见特别提示）",C38)</f>
        <v>0</v>
      </c>
      <c r="E113" s="2597"/>
      <c r="F113" s="2878"/>
      <c r="G113" s="2695"/>
      <c r="H113" s="2857" t="s">
        <v>801</v>
      </c>
      <c r="I113" s="2921" t="e">
        <f ca="1">D117</f>
        <v>#DIV/0!</v>
      </c>
      <c r="J113" s="2922"/>
    </row>
    <row r="114" ht="13.5" spans="1:10">
      <c r="A114" s="2869" t="s">
        <v>807</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808</v>
      </c>
      <c r="B115" s="2870"/>
      <c r="C115" s="2865" t="str">
        <f>C112</f>
        <v>总额（元）</v>
      </c>
      <c r="D115" s="2787">
        <f>C40</f>
        <v>0</v>
      </c>
      <c r="E115" s="2597"/>
      <c r="F115" s="2878"/>
      <c r="G115" s="2695"/>
      <c r="H115" s="2857" t="s">
        <v>801</v>
      </c>
      <c r="I115" s="2787" t="str">
        <f ca="1">D119</f>
        <v>——</v>
      </c>
      <c r="J115" s="2731"/>
    </row>
    <row r="116" ht="13.5" spans="1:10">
      <c r="A116" s="2804" t="str">
        <f>IF(项目基本情况!F5="已注销","——","3.房地产抵押价值")</f>
        <v>3.房地产抵押价值</v>
      </c>
      <c r="B116" s="248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84"/>
      <c r="C117" s="2857" t="s">
        <v>801</v>
      </c>
      <c r="D117" s="2787" t="e">
        <f ca="1">ROUND(IF(D116=D110,D111,IF(H19="元",D116/B125,D116*10000/B125)),0)</f>
        <v>#DIV/0!</v>
      </c>
      <c r="E117" s="2597"/>
      <c r="F117" s="2879"/>
      <c r="G117" s="2880"/>
      <c r="H117" s="2881" t="s">
        <v>801</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84"/>
      <c r="C118" s="2857" t="str">
        <f>B103</f>
        <v>总价（元）</v>
      </c>
      <c r="D118" s="2874" t="str">
        <f ca="1">IF(A118="——","——",D110-D114-D115)</f>
        <v>——</v>
      </c>
      <c r="E118" s="2597"/>
      <c r="F118" s="2882"/>
      <c r="G118" s="2882"/>
      <c r="H118" s="2883"/>
      <c r="I118" s="2883"/>
      <c r="J118" s="2923"/>
      <c r="O118" s="1709"/>
      <c r="P118" s="1709"/>
    </row>
    <row r="119" s="2593" customFormat="1" ht="12.75" spans="1:27">
      <c r="A119" s="2804"/>
      <c r="B119" s="2484"/>
      <c r="C119" s="2857" t="s">
        <v>801</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484"/>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801</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809</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810</v>
      </c>
      <c r="B123" s="2333" t="s">
        <v>357</v>
      </c>
      <c r="C123" s="2333" t="s">
        <v>811</v>
      </c>
      <c r="D123" s="2888" t="s">
        <v>812</v>
      </c>
      <c r="E123" s="2889"/>
      <c r="F123" s="2327" t="s">
        <v>654</v>
      </c>
      <c r="G123" s="2327"/>
      <c r="H123" s="2327" t="s">
        <v>813</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327" t="s">
        <v>814</v>
      </c>
      <c r="E124" s="2327" t="s">
        <v>815</v>
      </c>
      <c r="F124" s="2327" t="s">
        <v>814</v>
      </c>
      <c r="G124" s="2327" t="s">
        <v>815</v>
      </c>
      <c r="H124" s="2327" t="s">
        <v>814</v>
      </c>
      <c r="I124" s="2787" t="s">
        <v>815</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327">
        <f>典型户型修正!B25</f>
        <v>0</v>
      </c>
      <c r="C125" s="2890"/>
      <c r="D125" s="2327">
        <f>C36</f>
        <v>0</v>
      </c>
      <c r="E125" s="2327" t="e">
        <f>ROUND(IF(H19="元",D125/B125,D125*10000/B125),0)</f>
        <v>#DIV/0!</v>
      </c>
      <c r="F125" s="2327">
        <f>C37</f>
        <v>0</v>
      </c>
      <c r="G125" s="2327" t="e">
        <f>ROUND(IF(H19="元",F125/B125,F125*10000/B125),0)</f>
        <v>#DIV/0!</v>
      </c>
      <c r="H125" s="2327">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816</v>
      </c>
      <c r="B126" s="2327"/>
      <c r="C126" s="2327"/>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816</v>
      </c>
      <c r="B128" s="2306"/>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484"/>
      <c r="C129" s="2484"/>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816</v>
      </c>
      <c r="B130" s="2327"/>
      <c r="C130" s="2327"/>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484"/>
      <c r="C131" s="2484"/>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816</v>
      </c>
      <c r="B132" s="2327"/>
      <c r="C132" s="2305"/>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484"/>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816</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817</v>
      </c>
      <c r="B137" s="2936"/>
      <c r="C137" s="2937" t="s">
        <v>818</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819</v>
      </c>
      <c r="G143" s="2947"/>
      <c r="H143" s="2947"/>
      <c r="I143" s="2959" t="s">
        <v>820</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821</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822</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823</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822</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B19" workbookViewId="0">
      <selection activeCell="G51" sqref="G51"/>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868</v>
      </c>
      <c r="C1" s="1578" t="s">
        <v>97</v>
      </c>
      <c r="D1" s="2490"/>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1" customFormat="1" ht="28.5" customHeight="1" spans="1:29">
      <c r="A2" s="1581" t="s">
        <v>871</v>
      </c>
      <c r="B2" s="1582">
        <f ca="1">IF(D2="——",IF(C2="元",ROUND(C49*D3,0),ROUND(C49*D3/10000,0)),IF(C2="元",ROUND(C49*D3,0),ROUND(C49*D3/10000,0))-E2)</f>
        <v>2757777</v>
      </c>
      <c r="C2" s="1583" t="str">
        <f>'数据-取费表'!B3</f>
        <v>元</v>
      </c>
      <c r="D2" s="1584" t="s">
        <v>121</v>
      </c>
      <c r="E2" s="2491" t="e">
        <f ca="1">SUMIF(INDIRECT("'"&amp;G2&amp;"'"&amp;"!A:A"),"承租人权益价值",INDIRECT("'"&amp;G2&amp;"'"&amp;"!c:c"))</f>
        <v>#REF!</v>
      </c>
      <c r="F2" s="1586" t="str">
        <f>C2</f>
        <v>元</v>
      </c>
      <c r="G2" s="1587"/>
      <c r="H2" s="2492"/>
      <c r="I2" s="2492"/>
      <c r="J2" s="2492"/>
      <c r="K2" s="2514"/>
      <c r="L2" s="2515"/>
      <c r="M2" s="2492"/>
      <c r="N2" s="2492"/>
      <c r="O2" s="2492"/>
      <c r="P2" s="2516"/>
      <c r="Q2" s="1094"/>
      <c r="R2" s="1094"/>
      <c r="S2" s="1094"/>
      <c r="T2" s="1094"/>
      <c r="U2" s="1094"/>
      <c r="V2" s="1094"/>
      <c r="W2" s="1094"/>
      <c r="X2" s="1094"/>
      <c r="Y2" s="1094"/>
      <c r="Z2" s="1094"/>
      <c r="AA2" s="1094"/>
      <c r="AB2" s="1094"/>
      <c r="AC2" s="2539"/>
    </row>
    <row r="3" s="2241" customFormat="1" ht="28.5" customHeight="1" spans="1:29">
      <c r="A3" s="402" t="s">
        <v>872</v>
      </c>
      <c r="B3" s="1588">
        <f ca="1">ROUND(IF(D2="——",C49,IF(C2="万元",B2*10000/D3,B2/D3)),0)</f>
        <v>46655</v>
      </c>
      <c r="C3" s="1588" t="s">
        <v>873</v>
      </c>
      <c r="D3" s="1588">
        <f>IF(C1="仅计算典型户型",'数据-取费表'!E5,'数据-取费表'!B5)</f>
        <v>59.11</v>
      </c>
      <c r="E3" s="2492"/>
      <c r="F3" s="2493"/>
      <c r="G3" s="2492"/>
      <c r="H3" s="2492"/>
      <c r="I3" s="2492"/>
      <c r="J3" s="2492"/>
      <c r="K3" s="2514"/>
      <c r="L3" s="2515"/>
      <c r="M3" s="2492"/>
      <c r="N3" s="2492"/>
      <c r="O3" s="2492"/>
      <c r="P3" s="2517"/>
      <c r="Q3" s="1094"/>
      <c r="R3" s="1094"/>
      <c r="S3" s="1094"/>
      <c r="T3" s="1094"/>
      <c r="U3" s="1094"/>
      <c r="V3" s="1094"/>
      <c r="W3" s="1094"/>
      <c r="X3" s="1094"/>
      <c r="Y3" s="1094"/>
      <c r="Z3" s="1094"/>
      <c r="AA3" s="1094"/>
      <c r="AB3" s="1094"/>
      <c r="AC3" s="2540"/>
    </row>
    <row r="4" ht="15" spans="1:29">
      <c r="A4" s="1098" t="s">
        <v>874</v>
      </c>
      <c r="B4" s="1099"/>
      <c r="C4" s="602" t="s">
        <v>875</v>
      </c>
      <c r="D4" s="612"/>
      <c r="E4" s="1100" t="s">
        <v>876</v>
      </c>
      <c r="F4" s="1101"/>
      <c r="G4" s="602" t="s">
        <v>877</v>
      </c>
      <c r="H4" s="612"/>
      <c r="I4" s="602" t="s">
        <v>878</v>
      </c>
      <c r="J4" s="612"/>
      <c r="K4" s="2518"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2494" t="s">
        <v>882</v>
      </c>
      <c r="F5" s="1107"/>
      <c r="G5" s="2495" t="str">
        <f>E5</f>
        <v>模式口南里</v>
      </c>
      <c r="H5" s="1105"/>
      <c r="I5" s="2495" t="str">
        <f>E5</f>
        <v>模式口南里</v>
      </c>
      <c r="J5" s="1105"/>
      <c r="K5" s="2519"/>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2519"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f>案例!J41</f>
        <v>44756</v>
      </c>
      <c r="F7" s="1119">
        <f>SUMIF(58:58,YEAR(E7)&amp;"-"&amp;MONTH(E7),59:59)</f>
        <v>99.5</v>
      </c>
      <c r="G7" s="1118">
        <f>案例!J45</f>
        <v>44653</v>
      </c>
      <c r="H7" s="1117">
        <f>SUMIF(58:58,YEAR(G7)&amp;"-"&amp;MONTH(G7),59:59)</f>
        <v>99</v>
      </c>
      <c r="I7" s="1118">
        <f>案例!J47</f>
        <v>44629</v>
      </c>
      <c r="J7" s="1117">
        <f>SUMIF(58:58,YEAR(I7)&amp;"-"&amp;MONTH(I7),59:59)</f>
        <v>98.5</v>
      </c>
      <c r="K7" s="2520"/>
      <c r="L7" s="1235"/>
      <c r="M7" s="1241"/>
      <c r="N7" s="1241"/>
      <c r="O7" s="1241"/>
      <c r="P7" s="1242" t="s">
        <v>886</v>
      </c>
      <c r="Q7" s="1289"/>
      <c r="R7" s="1290" t="s">
        <v>887</v>
      </c>
      <c r="S7" s="1291">
        <f t="shared" ref="S7:S15" si="0">F7</f>
        <v>99.5</v>
      </c>
      <c r="T7" s="1290" t="s">
        <v>887</v>
      </c>
      <c r="U7" s="1291">
        <f t="shared" ref="U7:U15" si="1">H7</f>
        <v>99</v>
      </c>
      <c r="V7" s="1290" t="s">
        <v>887</v>
      </c>
      <c r="W7" s="1291">
        <f t="shared" ref="W7:W15" si="2">J7</f>
        <v>98.5</v>
      </c>
      <c r="X7" s="1292"/>
      <c r="Y7" s="1242" t="s">
        <v>886</v>
      </c>
      <c r="Z7" s="1293"/>
      <c r="AA7" s="1310">
        <f>D7/F7</f>
        <v>1.00502512562814</v>
      </c>
      <c r="AB7" s="1310">
        <f>D7/H7</f>
        <v>1.01010101010101</v>
      </c>
      <c r="AC7" s="1310">
        <f>D7/J7</f>
        <v>1.01522842639594</v>
      </c>
    </row>
    <row r="8" s="1080" customFormat="1" ht="15.75" spans="1:29">
      <c r="A8" s="1114" t="s">
        <v>888</v>
      </c>
      <c r="B8" s="1115"/>
      <c r="C8" s="1121" t="s">
        <v>889</v>
      </c>
      <c r="D8" s="1117">
        <v>100</v>
      </c>
      <c r="E8" s="2496" t="s">
        <v>890</v>
      </c>
      <c r="F8" s="1119">
        <f>SUMIF(61:61,E8,62:62)-SUMIF(61:61,C8,62:62)+100</f>
        <v>100</v>
      </c>
      <c r="G8" s="1121" t="s">
        <v>890</v>
      </c>
      <c r="H8" s="1117">
        <f>SUMIF(61:61,G8,62:62)-SUMIF(61:61,C8,62:62)+100</f>
        <v>100</v>
      </c>
      <c r="I8" s="2496" t="s">
        <v>890</v>
      </c>
      <c r="J8" s="1117">
        <f>SUMIF(61:61,I8,62:62)-SUMIF(61:61,C8,62:62)+100</f>
        <v>100</v>
      </c>
      <c r="K8" s="2520"/>
      <c r="L8" s="1235"/>
      <c r="M8" s="1241"/>
      <c r="N8" s="1241"/>
      <c r="O8" s="1241"/>
      <c r="P8" s="1242" t="s">
        <v>891</v>
      </c>
      <c r="Q8" s="1293"/>
      <c r="R8" s="1290" t="s">
        <v>887</v>
      </c>
      <c r="S8" s="1291">
        <f t="shared" si="0"/>
        <v>100</v>
      </c>
      <c r="T8" s="1290" t="s">
        <v>887</v>
      </c>
      <c r="U8" s="1291">
        <f t="shared" si="1"/>
        <v>100</v>
      </c>
      <c r="V8" s="1290" t="s">
        <v>887</v>
      </c>
      <c r="W8" s="1291">
        <f t="shared" si="2"/>
        <v>100</v>
      </c>
      <c r="X8" s="1292"/>
      <c r="Y8" s="1242" t="s">
        <v>891</v>
      </c>
      <c r="Z8" s="1293"/>
      <c r="AA8" s="1310">
        <f t="shared" ref="AA8:AA46" si="3">D8/F8</f>
        <v>1</v>
      </c>
      <c r="AB8" s="1310">
        <f t="shared" ref="AB8:AB46" si="4">D8/H8</f>
        <v>1</v>
      </c>
      <c r="AC8" s="1310">
        <f t="shared" ref="AC8:AC46" si="5">D8/J8</f>
        <v>1</v>
      </c>
    </row>
    <row r="9" s="1080" customFormat="1" spans="1:29">
      <c r="A9" s="1122" t="s">
        <v>892</v>
      </c>
      <c r="B9" s="1123" t="s">
        <v>893</v>
      </c>
      <c r="C9" s="2497" t="s">
        <v>461</v>
      </c>
      <c r="D9" s="2498">
        <v>100</v>
      </c>
      <c r="E9" s="2499" t="s">
        <v>461</v>
      </c>
      <c r="F9" s="2500">
        <f>SUMIF(63:63,E9,64:64)-SUMIF(63:63,C9,64:64)+100</f>
        <v>100</v>
      </c>
      <c r="G9" s="2501" t="s">
        <v>461</v>
      </c>
      <c r="H9" s="2498">
        <f>SUMIF(63:63,G9,64:64)-SUMIF(63:63,C9,64:64)+100</f>
        <v>100</v>
      </c>
      <c r="I9" s="2521" t="s">
        <v>461</v>
      </c>
      <c r="J9" s="1125">
        <f>SUMIF(63:63,I9,64:64)-SUMIF(63:63,C9,64:64)+100</f>
        <v>100</v>
      </c>
      <c r="K9" s="252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252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2"/>
      <c r="L11" s="1249"/>
      <c r="M11" s="1236"/>
      <c r="N11" s="1236"/>
      <c r="O11" s="1236"/>
      <c r="P11" s="1686"/>
      <c r="Q11" s="1294" t="str">
        <f t="shared" si="6"/>
        <v>容积率</v>
      </c>
      <c r="R11" s="1290" t="s">
        <v>887</v>
      </c>
      <c r="S11" s="1291">
        <f t="shared" si="0"/>
        <v>100</v>
      </c>
      <c r="T11" s="1290" t="s">
        <v>887</v>
      </c>
      <c r="U11" s="1291">
        <f t="shared" si="1"/>
        <v>100</v>
      </c>
      <c r="V11" s="1290" t="s">
        <v>887</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3"/>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3"/>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3"/>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480" t="s">
        <v>898</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4">
        <v>5</v>
      </c>
      <c r="L15" s="1251"/>
      <c r="M15" s="1236"/>
      <c r="N15" s="1236"/>
      <c r="O15" s="1236"/>
      <c r="P15" s="490"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504"/>
      <c r="B16" s="1669"/>
      <c r="C16" s="1258" t="s">
        <v>900</v>
      </c>
      <c r="D16" s="1151"/>
      <c r="E16" s="1152" t="s">
        <v>900</v>
      </c>
      <c r="F16" s="1670"/>
      <c r="G16" s="1169" t="s">
        <v>900</v>
      </c>
      <c r="H16" s="1153"/>
      <c r="I16" s="1152" t="s">
        <v>900</v>
      </c>
      <c r="J16" s="1151"/>
      <c r="K16" s="2525"/>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4">
        <v>3</v>
      </c>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t="s">
        <v>900</v>
      </c>
      <c r="D18" s="1153"/>
      <c r="E18" s="1160" t="s">
        <v>900</v>
      </c>
      <c r="F18" s="1673"/>
      <c r="G18" s="1255" t="s">
        <v>900</v>
      </c>
      <c r="H18" s="1151"/>
      <c r="I18" s="1160" t="s">
        <v>900</v>
      </c>
      <c r="J18" s="1151"/>
      <c r="K18" s="2525"/>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4">
        <v>2</v>
      </c>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525"/>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4">
        <v>1</v>
      </c>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526"/>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4">
        <v>1</v>
      </c>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t="s">
        <v>900</v>
      </c>
      <c r="D24" s="1151"/>
      <c r="E24" s="1152" t="s">
        <v>900</v>
      </c>
      <c r="F24" s="1670"/>
      <c r="G24" s="1169" t="s">
        <v>900</v>
      </c>
      <c r="H24" s="1151"/>
      <c r="I24" s="1152" t="s">
        <v>900</v>
      </c>
      <c r="J24" s="1151"/>
      <c r="K24" s="2525"/>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502"/>
      <c r="F25" s="1609">
        <f>SUMIF(86:86,E25,87:87)-SUMIF(86:86,C25,87:87)+100</f>
        <v>100</v>
      </c>
      <c r="G25" s="1186"/>
      <c r="H25" s="1138">
        <f>SUMIF(86:86,G25,87:87)-SUMIF(86:86,C25,87:87)+100</f>
        <v>100</v>
      </c>
      <c r="I25" s="2502"/>
      <c r="J25" s="1138">
        <f>SUMIF(86:86,I25,87:87)-SUMIF(86:86,C25,87:87)+100</f>
        <v>100</v>
      </c>
      <c r="K25" s="2522"/>
      <c r="L25" s="1251"/>
      <c r="M25" s="1236"/>
      <c r="N25" s="1236"/>
      <c r="O25" s="1236"/>
      <c r="P25" s="1687"/>
      <c r="Q25" s="491" t="str">
        <f t="shared" ref="Q25:Q46" si="11">B25</f>
        <v>楼层-1</v>
      </c>
      <c r="R25" s="1295" t="s">
        <v>887</v>
      </c>
      <c r="S25" s="1296">
        <f>F25</f>
        <v>100</v>
      </c>
      <c r="T25" s="1295" t="s">
        <v>887</v>
      </c>
      <c r="U25" s="1296">
        <f>H25</f>
        <v>100</v>
      </c>
      <c r="V25" s="1295" t="s">
        <v>887</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502" t="s">
        <v>906</v>
      </c>
      <c r="F26" s="1609">
        <f>SUMIF(88:88,E26,89:89)-SUMIF(88:88,C26,89:89)+100</f>
        <v>100</v>
      </c>
      <c r="G26" s="1186" t="s">
        <v>906</v>
      </c>
      <c r="H26" s="1138">
        <f>SUMIF(88:88,G26,89:89)-SUMIF(88:88,C26,89:89)+100</f>
        <v>100</v>
      </c>
      <c r="I26" s="2502" t="s">
        <v>907</v>
      </c>
      <c r="J26" s="1138">
        <f>SUMIF(88:88,I26,89:89)-SUMIF(88:88,C26,89:89)+100</f>
        <v>101</v>
      </c>
      <c r="K26" s="2522">
        <v>1</v>
      </c>
      <c r="L26" s="1251"/>
      <c r="M26" s="1236"/>
      <c r="N26" s="1236"/>
      <c r="O26" s="1236"/>
      <c r="P26" s="1687"/>
      <c r="Q26" s="491" t="str">
        <f t="shared" si="11"/>
        <v>朝向</v>
      </c>
      <c r="R26" s="1295" t="s">
        <v>887</v>
      </c>
      <c r="S26" s="1296">
        <f>F26</f>
        <v>100</v>
      </c>
      <c r="T26" s="1295" t="s">
        <v>887</v>
      </c>
      <c r="U26" s="1296">
        <f>H26</f>
        <v>100</v>
      </c>
      <c r="V26" s="1295" t="s">
        <v>887</v>
      </c>
      <c r="W26" s="1296">
        <f>J26</f>
        <v>101</v>
      </c>
      <c r="X26" s="1282"/>
      <c r="Y26" s="1254"/>
      <c r="Z26" s="1281" t="str">
        <f>Q26</f>
        <v>朝向</v>
      </c>
      <c r="AA26" s="1312">
        <f t="shared" si="3"/>
        <v>1</v>
      </c>
      <c r="AB26" s="1312">
        <f t="shared" si="4"/>
        <v>1</v>
      </c>
      <c r="AC26" s="1312">
        <f t="shared" si="5"/>
        <v>0.99009900990099</v>
      </c>
    </row>
    <row r="27" s="1080" customFormat="1" ht="15" spans="1:29">
      <c r="A27" s="1134"/>
      <c r="B27" s="2503" t="s">
        <v>908</v>
      </c>
      <c r="C27" s="1130" t="s">
        <v>909</v>
      </c>
      <c r="D27" s="1603">
        <v>100</v>
      </c>
      <c r="E27" s="1131" t="s">
        <v>910</v>
      </c>
      <c r="F27" s="1678">
        <f>SUMIF(90:90,E27,91:91)-SUMIF(90:90,C27,91:91)+100</f>
        <v>98</v>
      </c>
      <c r="G27" s="1130" t="s">
        <v>911</v>
      </c>
      <c r="H27" s="1603">
        <f>SUMIF(90:90,G27,91:91)-SUMIF(90:90,C27,91:91)+100</f>
        <v>101</v>
      </c>
      <c r="I27" s="1131" t="s">
        <v>910</v>
      </c>
      <c r="J27" s="1603">
        <f>SUMIF(90:90,I27,91:91)-SUMIF(90:90,C27,91:91)+100</f>
        <v>98</v>
      </c>
      <c r="K27" s="2523"/>
      <c r="L27" s="1235"/>
      <c r="M27" s="1241"/>
      <c r="N27" s="1241"/>
      <c r="O27" s="1241"/>
      <c r="P27" s="1687"/>
      <c r="Q27" s="1294" t="str">
        <f t="shared" si="11"/>
        <v>楼层</v>
      </c>
      <c r="R27" s="1290" t="s">
        <v>887</v>
      </c>
      <c r="S27" s="1291">
        <f>F27</f>
        <v>98</v>
      </c>
      <c r="T27" s="1290" t="s">
        <v>887</v>
      </c>
      <c r="U27" s="1291">
        <f>H27</f>
        <v>101</v>
      </c>
      <c r="V27" s="1290" t="s">
        <v>887</v>
      </c>
      <c r="W27" s="1291">
        <f>J27</f>
        <v>98</v>
      </c>
      <c r="X27" s="1292"/>
      <c r="Y27" s="1254"/>
      <c r="Z27" s="1311" t="str">
        <f>Q27</f>
        <v>楼层</v>
      </c>
      <c r="AA27" s="1312">
        <f t="shared" si="3"/>
        <v>1.02040816326531</v>
      </c>
      <c r="AB27" s="1312">
        <f t="shared" si="4"/>
        <v>0.99009900990099</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3"/>
      <c r="L28" s="1251"/>
      <c r="M28" s="1236"/>
      <c r="N28" s="1236"/>
      <c r="O28" s="1236"/>
      <c r="P28" s="1687"/>
      <c r="Q28" s="491">
        <f t="shared" si="11"/>
        <v>111</v>
      </c>
      <c r="R28" s="1295" t="s">
        <v>887</v>
      </c>
      <c r="S28" s="1296">
        <f t="shared" ref="S28:S46" si="12">F28</f>
        <v>100</v>
      </c>
      <c r="T28" s="1295" t="s">
        <v>887</v>
      </c>
      <c r="U28" s="1296">
        <f t="shared" ref="U28:U46" si="13">H28</f>
        <v>100</v>
      </c>
      <c r="V28" s="1295" t="s">
        <v>887</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3"/>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3"/>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3"/>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504" t="s">
        <v>914</v>
      </c>
      <c r="F32" s="1609">
        <f>SUMIF(100:100,E32,101:101)-SUMIF(100:100,C32,101:101)+100</f>
        <v>100</v>
      </c>
      <c r="G32" s="1679" t="s">
        <v>914</v>
      </c>
      <c r="H32" s="1184">
        <f>SUMIF(100:100,G32,101:101)-SUMIF(100:100,C32,101:101)+100</f>
        <v>100</v>
      </c>
      <c r="I32" s="2504" t="s">
        <v>914</v>
      </c>
      <c r="J32" s="1138">
        <f>SUMIF(100:100,I32,101:101)-SUMIF(100:100,C32,101:101)+100</f>
        <v>100</v>
      </c>
      <c r="K32" s="2522">
        <v>5</v>
      </c>
      <c r="L32" s="1251"/>
      <c r="M32" s="1236"/>
      <c r="N32" s="1236"/>
      <c r="O32" s="1236"/>
      <c r="P32" s="1688" t="s">
        <v>915</v>
      </c>
      <c r="Q32" s="491" t="str">
        <f t="shared" si="11"/>
        <v>建筑类型</v>
      </c>
      <c r="R32" s="1295" t="s">
        <v>887</v>
      </c>
      <c r="S32" s="1296">
        <f t="shared" si="12"/>
        <v>100</v>
      </c>
      <c r="T32" s="1295" t="s">
        <v>887</v>
      </c>
      <c r="U32" s="1296">
        <f t="shared" si="13"/>
        <v>100</v>
      </c>
      <c r="V32" s="1295" t="s">
        <v>887</v>
      </c>
      <c r="W32" s="1296">
        <f t="shared" si="14"/>
        <v>100</v>
      </c>
      <c r="X32" s="1282"/>
      <c r="Y32" s="1267" t="s">
        <v>915</v>
      </c>
      <c r="Z32" s="1281" t="str">
        <f t="shared" si="15"/>
        <v>建筑类型</v>
      </c>
      <c r="AA32" s="1312">
        <f t="shared" si="3"/>
        <v>1</v>
      </c>
      <c r="AB32" s="1312">
        <f t="shared" si="4"/>
        <v>1</v>
      </c>
      <c r="AC32" s="1312">
        <f t="shared" si="5"/>
        <v>1</v>
      </c>
    </row>
    <row r="33" s="1082" customFormat="1" ht="15" spans="1:29">
      <c r="A33" s="1190"/>
      <c r="B33" s="1127" t="s">
        <v>916</v>
      </c>
      <c r="C33" s="1610">
        <f>'数据-取费表'!B5</f>
        <v>59.11</v>
      </c>
      <c r="D33" s="1129">
        <v>100</v>
      </c>
      <c r="E33" s="1133">
        <v>57.55</v>
      </c>
      <c r="F33" s="1611">
        <f>LOOKUP(E33,103:103,104:104)-LOOKUP(C33,103:103,104:104)+100</f>
        <v>100</v>
      </c>
      <c r="G33" s="1132">
        <f>案例!C45</f>
        <v>57.55</v>
      </c>
      <c r="H33" s="1129">
        <f>LOOKUP(G33,103:103,104:104)-LOOKUP(C33,103:103,104:104)+100</f>
        <v>100</v>
      </c>
      <c r="I33" s="1133">
        <f>案例!C47</f>
        <v>59.36</v>
      </c>
      <c r="J33" s="1129">
        <f>LOOKUP(I33,103:103,104:104)-LOOKUP(C33,103:103,104:104)+100</f>
        <v>100</v>
      </c>
      <c r="K33" s="2523"/>
      <c r="L33" s="1249"/>
      <c r="M33" s="1265"/>
      <c r="N33" s="1265"/>
      <c r="O33" s="1265"/>
      <c r="P33" s="1689"/>
      <c r="Q33" s="1646" t="str">
        <f t="shared" si="11"/>
        <v>项目建筑规模</v>
      </c>
      <c r="R33" s="1297" t="s">
        <v>887</v>
      </c>
      <c r="S33" s="1298">
        <f t="shared" si="12"/>
        <v>100</v>
      </c>
      <c r="T33" s="1297" t="s">
        <v>887</v>
      </c>
      <c r="U33" s="1298">
        <f t="shared" si="13"/>
        <v>100</v>
      </c>
      <c r="V33" s="1297" t="s">
        <v>887</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917</v>
      </c>
      <c r="C34" s="1680" t="s">
        <v>918</v>
      </c>
      <c r="D34" s="1138">
        <v>100</v>
      </c>
      <c r="E34" s="1681" t="s">
        <v>918</v>
      </c>
      <c r="F34" s="1609">
        <f>SUMIF(105:105,E34,106:106)-SUMIF(105:105,C34,106:106)+100</f>
        <v>100</v>
      </c>
      <c r="G34" s="1680" t="s">
        <v>918</v>
      </c>
      <c r="H34" s="1138">
        <f>SUMIF(105:105,G34,106:106)-SUMIF(105:105,C34,106:106)+100</f>
        <v>100</v>
      </c>
      <c r="I34" s="1681" t="s">
        <v>918</v>
      </c>
      <c r="J34" s="1138">
        <f>SUMIF(105:105,I34,106:106)-SUMIF(105:105,C34,106:106)+100</f>
        <v>100</v>
      </c>
      <c r="K34" s="2522">
        <v>1</v>
      </c>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919</v>
      </c>
      <c r="C35" s="1186"/>
      <c r="D35" s="1138">
        <v>100</v>
      </c>
      <c r="E35" s="2502"/>
      <c r="F35" s="1609">
        <f>SUMIF(107:107,E35,108:108)-SUMIF(107:107,C35,108:108)+100</f>
        <v>100</v>
      </c>
      <c r="G35" s="1186"/>
      <c r="H35" s="1138">
        <f>SUMIF(107:107,G35,108:108)-SUMIF(107:107,C35,108:108)+100</f>
        <v>100</v>
      </c>
      <c r="I35" s="2502"/>
      <c r="J35" s="1138">
        <f>SUMIF(107:107,I35,108:108)-SUMIF(107:107,C35,108:108)+100</f>
        <v>100</v>
      </c>
      <c r="K35" s="2522"/>
      <c r="L35" s="1251"/>
      <c r="M35" s="1236"/>
      <c r="N35" s="1236"/>
      <c r="O35" s="1236"/>
      <c r="P35" s="1689"/>
      <c r="Q35" s="491" t="str">
        <f t="shared" si="11"/>
        <v>建筑品质</v>
      </c>
      <c r="R35" s="1295" t="s">
        <v>887</v>
      </c>
      <c r="S35" s="1296">
        <f t="shared" si="12"/>
        <v>100</v>
      </c>
      <c r="T35" s="1295" t="s">
        <v>887</v>
      </c>
      <c r="U35" s="1296">
        <f t="shared" si="13"/>
        <v>100</v>
      </c>
      <c r="V35" s="1295" t="s">
        <v>887</v>
      </c>
      <c r="W35" s="1296">
        <f t="shared" si="14"/>
        <v>100</v>
      </c>
      <c r="X35" s="1282"/>
      <c r="Y35" s="1267"/>
      <c r="Z35" s="1281" t="str">
        <f t="shared" si="15"/>
        <v>建筑品质</v>
      </c>
      <c r="AA35" s="1312">
        <f t="shared" si="3"/>
        <v>1</v>
      </c>
      <c r="AB35" s="1312">
        <f t="shared" si="4"/>
        <v>1</v>
      </c>
      <c r="AC35" s="1312">
        <f t="shared" si="5"/>
        <v>1</v>
      </c>
    </row>
    <row r="36" ht="15" spans="1:29">
      <c r="A36" s="1185"/>
      <c r="B36" s="1127" t="s">
        <v>920</v>
      </c>
      <c r="C36" s="1186"/>
      <c r="D36" s="1138">
        <v>100</v>
      </c>
      <c r="E36" s="2502"/>
      <c r="F36" s="1609">
        <f>SUMIF(109:109,E36,110:110)-SUMIF(109:109,C36,110:110)+100</f>
        <v>100</v>
      </c>
      <c r="G36" s="1186"/>
      <c r="H36" s="1138">
        <f>SUMIF(109:109,G36,110:110)-SUMIF(109:109,C36,110:110)+100</f>
        <v>100</v>
      </c>
      <c r="I36" s="2502"/>
      <c r="J36" s="1138">
        <f>SUMIF(109:109,I36,110:110)-SUMIF(109:109,C36,110:110)+100</f>
        <v>100</v>
      </c>
      <c r="K36" s="2522"/>
      <c r="L36" s="1251"/>
      <c r="M36" s="1236"/>
      <c r="N36" s="1236"/>
      <c r="O36" s="1236"/>
      <c r="P36" s="1689"/>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921</v>
      </c>
      <c r="C37" s="1613">
        <f>'数据-取费表'!E20</f>
        <v>0.6</v>
      </c>
      <c r="D37" s="1129">
        <v>100</v>
      </c>
      <c r="E37" s="2505">
        <f>C37</f>
        <v>0.6</v>
      </c>
      <c r="F37" s="1611">
        <f>LOOKUP(E37,112:112,113:113)-LOOKUP(C37,112:112,113:113)+100</f>
        <v>100</v>
      </c>
      <c r="G37" s="2506">
        <f>C37</f>
        <v>0.6</v>
      </c>
      <c r="H37" s="1129">
        <f>LOOKUP(G37,112:112,113:113)-LOOKUP(C37,112:112,113:113)+100</f>
        <v>100</v>
      </c>
      <c r="I37" s="2505">
        <f>C37</f>
        <v>0.6</v>
      </c>
      <c r="J37" s="1129">
        <f>LOOKUP(I37,112:112,113:113)-LOOKUP(C37,112:112,113:113)+100</f>
        <v>100</v>
      </c>
      <c r="K37" s="2522">
        <v>2</v>
      </c>
      <c r="L37" s="1235"/>
      <c r="M37" s="1241"/>
      <c r="N37" s="1241"/>
      <c r="O37" s="1241"/>
      <c r="P37" s="1689"/>
      <c r="Q37" s="1294" t="str">
        <f t="shared" si="11"/>
        <v>成新度</v>
      </c>
      <c r="R37" s="1290" t="s">
        <v>887</v>
      </c>
      <c r="S37" s="1291">
        <f t="shared" si="12"/>
        <v>100</v>
      </c>
      <c r="T37" s="1290" t="s">
        <v>887</v>
      </c>
      <c r="U37" s="1291">
        <f t="shared" si="13"/>
        <v>100</v>
      </c>
      <c r="V37" s="1290" t="s">
        <v>887</v>
      </c>
      <c r="W37" s="1291">
        <f t="shared" si="14"/>
        <v>100</v>
      </c>
      <c r="X37" s="1292"/>
      <c r="Y37" s="1267"/>
      <c r="Z37" s="1311" t="str">
        <f t="shared" si="15"/>
        <v>成新度</v>
      </c>
      <c r="AA37" s="1310">
        <f t="shared" si="3"/>
        <v>1</v>
      </c>
      <c r="AB37" s="1310">
        <f t="shared" si="4"/>
        <v>1</v>
      </c>
      <c r="AC37" s="1310">
        <f t="shared" si="5"/>
        <v>1</v>
      </c>
    </row>
    <row r="38" ht="15" spans="1:29">
      <c r="A38" s="1185"/>
      <c r="B38" s="1127" t="s">
        <v>922</v>
      </c>
      <c r="C38" s="1186" t="s">
        <v>923</v>
      </c>
      <c r="D38" s="1138">
        <v>100</v>
      </c>
      <c r="E38" s="2502" t="s">
        <v>923</v>
      </c>
      <c r="F38" s="1609">
        <f>SUMIF(114:114,E38,115:115)-SUMIF(114:114,C38,115:115)+100</f>
        <v>100</v>
      </c>
      <c r="G38" s="1186" t="s">
        <v>923</v>
      </c>
      <c r="H38" s="1138">
        <f>SUMIF(114:114,G38,115:115)-SUMIF(114:114,C38,115:115)+100</f>
        <v>100</v>
      </c>
      <c r="I38" s="2502" t="s">
        <v>923</v>
      </c>
      <c r="J38" s="1138">
        <f>SUMIF(114:114,I38,115:115)-SUMIF(114:114,C38,115:115)+100</f>
        <v>100</v>
      </c>
      <c r="K38" s="2522">
        <v>1</v>
      </c>
      <c r="L38" s="1251"/>
      <c r="M38" s="1236"/>
      <c r="N38" s="1236"/>
      <c r="O38" s="1236"/>
      <c r="P38" s="1689" t="s">
        <v>915</v>
      </c>
      <c r="Q38" s="491" t="str">
        <f t="shared" si="11"/>
        <v>物业管理</v>
      </c>
      <c r="R38" s="1295" t="s">
        <v>887</v>
      </c>
      <c r="S38" s="1296">
        <f t="shared" si="12"/>
        <v>100</v>
      </c>
      <c r="T38" s="1295" t="s">
        <v>887</v>
      </c>
      <c r="U38" s="1296">
        <f t="shared" si="13"/>
        <v>100</v>
      </c>
      <c r="V38" s="1295" t="s">
        <v>887</v>
      </c>
      <c r="W38" s="1296">
        <f t="shared" si="14"/>
        <v>100</v>
      </c>
      <c r="X38" s="1282"/>
      <c r="Y38" s="1267" t="s">
        <v>915</v>
      </c>
      <c r="Z38" s="1281" t="str">
        <f t="shared" si="15"/>
        <v>物业管理</v>
      </c>
      <c r="AA38" s="1312">
        <f t="shared" si="3"/>
        <v>1</v>
      </c>
      <c r="AB38" s="1312">
        <f t="shared" si="4"/>
        <v>1</v>
      </c>
      <c r="AC38" s="1312">
        <f t="shared" si="5"/>
        <v>1</v>
      </c>
    </row>
    <row r="39" ht="15" spans="1:29">
      <c r="A39" s="1185"/>
      <c r="B39" s="1127" t="s">
        <v>924</v>
      </c>
      <c r="C39" s="1186" t="s">
        <v>902</v>
      </c>
      <c r="D39" s="1138">
        <v>100</v>
      </c>
      <c r="E39" s="2502" t="s">
        <v>902</v>
      </c>
      <c r="F39" s="1609">
        <f>SUMIF(116:116,E39,117:117)-SUMIF(116:116,C39,117:117)+100</f>
        <v>100</v>
      </c>
      <c r="G39" s="1186" t="s">
        <v>902</v>
      </c>
      <c r="H39" s="1138">
        <f>SUMIF(116:116,G39,117:117)-SUMIF(116:116,C39,117:117)+100</f>
        <v>100</v>
      </c>
      <c r="I39" s="2502" t="s">
        <v>902</v>
      </c>
      <c r="J39" s="1138">
        <f>SUMIF(116:116,I39,117:117)-SUMIF(116:116,C39,117:117)+100</f>
        <v>100</v>
      </c>
      <c r="K39" s="2522">
        <v>1</v>
      </c>
      <c r="L39" s="1251"/>
      <c r="M39" s="1236"/>
      <c r="N39" s="1236"/>
      <c r="O39" s="1236"/>
      <c r="P39" s="1689"/>
      <c r="Q39" s="491" t="str">
        <f t="shared" si="11"/>
        <v>市政基础设施</v>
      </c>
      <c r="R39" s="1295" t="s">
        <v>887</v>
      </c>
      <c r="S39" s="1296">
        <f t="shared" si="12"/>
        <v>100</v>
      </c>
      <c r="T39" s="1295" t="s">
        <v>887</v>
      </c>
      <c r="U39" s="1296">
        <f t="shared" si="13"/>
        <v>100</v>
      </c>
      <c r="V39" s="1295" t="s">
        <v>887</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925</v>
      </c>
      <c r="C40" s="1186"/>
      <c r="D40" s="1138">
        <v>100</v>
      </c>
      <c r="E40" s="2502"/>
      <c r="F40" s="1609">
        <f>SUMIF(118:118,E40,119:119)-SUMIF(118:118,C40,119:119)+100</f>
        <v>100</v>
      </c>
      <c r="G40" s="1186"/>
      <c r="H40" s="1138">
        <f>SUMIF(118:118,G40,119:119)-SUMIF(118:118,C40,119:119)+100</f>
        <v>100</v>
      </c>
      <c r="I40" s="2502"/>
      <c r="J40" s="1138">
        <f>SUMIF(118:118,I40,119:119)-SUMIF(118:118,C40,119:119)+100</f>
        <v>100</v>
      </c>
      <c r="K40" s="2522"/>
      <c r="L40" s="1251"/>
      <c r="M40" s="1236"/>
      <c r="N40" s="1236"/>
      <c r="O40" s="1236"/>
      <c r="P40" s="1689"/>
      <c r="Q40" s="491" t="str">
        <f t="shared" si="11"/>
        <v>房型</v>
      </c>
      <c r="R40" s="1295" t="s">
        <v>887</v>
      </c>
      <c r="S40" s="1296">
        <f t="shared" si="12"/>
        <v>100</v>
      </c>
      <c r="T40" s="1295" t="s">
        <v>887</v>
      </c>
      <c r="U40" s="1296">
        <f t="shared" si="13"/>
        <v>100</v>
      </c>
      <c r="V40" s="1295" t="s">
        <v>887</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926</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3"/>
      <c r="L41" s="1249"/>
      <c r="M41" s="1265"/>
      <c r="N41" s="1265"/>
      <c r="O41" s="1265"/>
      <c r="P41" s="1689"/>
      <c r="Q41" s="1646" t="str">
        <f t="shared" si="11"/>
        <v>单套/主力户型建筑面积</v>
      </c>
      <c r="R41" s="1297" t="s">
        <v>887</v>
      </c>
      <c r="S41" s="1298">
        <f t="shared" si="12"/>
        <v>100</v>
      </c>
      <c r="T41" s="1297" t="s">
        <v>887</v>
      </c>
      <c r="U41" s="1298">
        <f t="shared" si="13"/>
        <v>100</v>
      </c>
      <c r="V41" s="1297" t="s">
        <v>887</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927</v>
      </c>
      <c r="C42" s="1186" t="s">
        <v>928</v>
      </c>
      <c r="D42" s="1138">
        <v>100</v>
      </c>
      <c r="E42" s="2502" t="s">
        <v>929</v>
      </c>
      <c r="F42" s="1609">
        <f>SUMIF(122:122,E42,123:123)-SUMIF(122:122,C42,123:123)+100</f>
        <v>99</v>
      </c>
      <c r="G42" s="1186" t="s">
        <v>928</v>
      </c>
      <c r="H42" s="1138">
        <f>SUMIF(122:122,G42,123:123)-SUMIF(122:122,C42,123:123)+100</f>
        <v>100</v>
      </c>
      <c r="I42" s="2502" t="s">
        <v>928</v>
      </c>
      <c r="J42" s="1138">
        <f>SUMIF(122:122,I42,123:123)-SUMIF(122:122,C42,123:123)+100</f>
        <v>100</v>
      </c>
      <c r="K42" s="2522">
        <v>1</v>
      </c>
      <c r="L42" s="1251"/>
      <c r="M42" s="1236"/>
      <c r="N42" s="1236"/>
      <c r="O42" s="1236"/>
      <c r="P42" s="1689"/>
      <c r="Q42" s="491" t="str">
        <f t="shared" si="11"/>
        <v>内部装修</v>
      </c>
      <c r="R42" s="1295" t="s">
        <v>887</v>
      </c>
      <c r="S42" s="1296">
        <f t="shared" si="12"/>
        <v>99</v>
      </c>
      <c r="T42" s="1295" t="s">
        <v>887</v>
      </c>
      <c r="U42" s="1296">
        <f t="shared" si="13"/>
        <v>100</v>
      </c>
      <c r="V42" s="1295" t="s">
        <v>887</v>
      </c>
      <c r="W42" s="1296">
        <f t="shared" si="14"/>
        <v>100</v>
      </c>
      <c r="X42" s="1282"/>
      <c r="Y42" s="1267"/>
      <c r="Z42" s="1281" t="str">
        <f t="shared" si="15"/>
        <v>内部装修</v>
      </c>
      <c r="AA42" s="1312">
        <f t="shared" si="3"/>
        <v>1.01010101010101</v>
      </c>
      <c r="AB42" s="1312">
        <f t="shared" si="4"/>
        <v>1</v>
      </c>
      <c r="AC42" s="1312">
        <f t="shared" si="5"/>
        <v>1</v>
      </c>
    </row>
    <row r="43" ht="15" spans="1:29">
      <c r="A43" s="1185"/>
      <c r="B43" s="1127" t="s">
        <v>215</v>
      </c>
      <c r="C43" s="1186" t="s">
        <v>900</v>
      </c>
      <c r="D43" s="1138">
        <v>100</v>
      </c>
      <c r="E43" s="2502" t="s">
        <v>900</v>
      </c>
      <c r="F43" s="1609">
        <f>SUMIF(124:124,E43,125:125)-SUMIF(124:124,C43,125:125)+100</f>
        <v>100</v>
      </c>
      <c r="G43" s="1186" t="s">
        <v>900</v>
      </c>
      <c r="H43" s="1138">
        <f>SUMIF(124:124,G43,125:125)-SUMIF(124:124,C43,125:125)+100</f>
        <v>100</v>
      </c>
      <c r="I43" s="2502" t="s">
        <v>900</v>
      </c>
      <c r="J43" s="1138">
        <f>SUMIF(124:124,I43,125:125)-SUMIF(124:124,C43,125:125)+100</f>
        <v>100</v>
      </c>
      <c r="K43" s="2527">
        <v>1</v>
      </c>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07"/>
      <c r="C44" s="2508"/>
      <c r="D44" s="1129">
        <v>100</v>
      </c>
      <c r="E44" s="2508"/>
      <c r="F44" s="1611">
        <f>SUMIF(126:126,E44,127:127)-SUMIF(126:126,C44,127:127)+100</f>
        <v>100</v>
      </c>
      <c r="G44" s="2508"/>
      <c r="H44" s="1129">
        <f>SUMIF(126:126,G44,127:127)-SUMIF(126:126,C44,127:127)+100</f>
        <v>100</v>
      </c>
      <c r="I44" s="2508"/>
      <c r="J44" s="1129">
        <f>SUMIF(126:126,I44,127:127)-SUMIF(126:126,C44,127:127)+100</f>
        <v>100</v>
      </c>
      <c r="K44" s="2523"/>
      <c r="L44" s="1235"/>
      <c r="M44" s="1241"/>
      <c r="N44" s="1241"/>
      <c r="O44" s="1241"/>
      <c r="P44" s="1689"/>
      <c r="Q44" s="1294">
        <f t="shared" si="11"/>
        <v>0</v>
      </c>
      <c r="R44" s="1290" t="s">
        <v>887</v>
      </c>
      <c r="S44" s="1291">
        <f t="shared" si="12"/>
        <v>100</v>
      </c>
      <c r="T44" s="1290" t="s">
        <v>887</v>
      </c>
      <c r="U44" s="1291">
        <f t="shared" si="13"/>
        <v>100</v>
      </c>
      <c r="V44" s="1290" t="s">
        <v>887</v>
      </c>
      <c r="W44" s="1291">
        <f t="shared" si="14"/>
        <v>100</v>
      </c>
      <c r="X44" s="1292"/>
      <c r="Y44" s="1267"/>
      <c r="Z44" s="1311">
        <f t="shared" si="15"/>
        <v>0</v>
      </c>
      <c r="AA44" s="1310">
        <f t="shared" si="3"/>
        <v>1</v>
      </c>
      <c r="AB44" s="1310">
        <f t="shared" si="4"/>
        <v>1</v>
      </c>
      <c r="AC44" s="1310">
        <f t="shared" si="5"/>
        <v>1</v>
      </c>
    </row>
    <row r="45" ht="15" spans="1:29">
      <c r="A45" s="1185"/>
      <c r="B45" s="2507"/>
      <c r="C45" s="2509"/>
      <c r="D45" s="1138">
        <v>100</v>
      </c>
      <c r="E45" s="2509"/>
      <c r="F45" s="1609">
        <f>SUMIF(128:128,E45,129:129)-SUMIF(128:128,C45,129:129)+100</f>
        <v>100</v>
      </c>
      <c r="G45" s="2509"/>
      <c r="H45" s="1138">
        <f>SUMIF(128:128,G45,129:129)-SUMIF(128:128,C45,129:129)+100</f>
        <v>100</v>
      </c>
      <c r="I45" s="2509"/>
      <c r="J45" s="1138">
        <f>SUMIF(128:128,I45,129:129)-SUMIF(128:128,C45,129:129)+100</f>
        <v>100</v>
      </c>
      <c r="K45" s="2523"/>
      <c r="L45" s="1251"/>
      <c r="M45" s="1236"/>
      <c r="N45" s="1236"/>
      <c r="O45" s="1236"/>
      <c r="P45" s="1689"/>
      <c r="Q45" s="491">
        <f t="shared" si="11"/>
        <v>0</v>
      </c>
      <c r="R45" s="1295" t="s">
        <v>887</v>
      </c>
      <c r="S45" s="1296">
        <f t="shared" si="12"/>
        <v>100</v>
      </c>
      <c r="T45" s="1295" t="s">
        <v>887</v>
      </c>
      <c r="U45" s="1296">
        <f t="shared" si="13"/>
        <v>100</v>
      </c>
      <c r="V45" s="1295" t="s">
        <v>887</v>
      </c>
      <c r="W45" s="1296">
        <f t="shared" si="14"/>
        <v>100</v>
      </c>
      <c r="X45" s="1282"/>
      <c r="Y45" s="1267"/>
      <c r="Z45" s="1281">
        <f t="shared" si="15"/>
        <v>0</v>
      </c>
      <c r="AA45" s="1312">
        <f t="shared" si="3"/>
        <v>1</v>
      </c>
      <c r="AB45" s="1312">
        <f t="shared" si="4"/>
        <v>1</v>
      </c>
      <c r="AC45" s="1312">
        <f t="shared" si="5"/>
        <v>1</v>
      </c>
    </row>
    <row r="46" ht="15.75" spans="1:29">
      <c r="A46" s="1615"/>
      <c r="B46" s="2510"/>
      <c r="C46" s="2511"/>
      <c r="D46" s="1144">
        <v>100</v>
      </c>
      <c r="E46" s="2511"/>
      <c r="F46" s="1616">
        <f>SUMIF(130:130,E46,131:131)-SUMIF(130:130,C46,131:131)+100</f>
        <v>100</v>
      </c>
      <c r="G46" s="2511"/>
      <c r="H46" s="1144">
        <f>SUMIF(130:130,G46,131:131)-SUMIF(130:130,C46,131:131)+100</f>
        <v>100</v>
      </c>
      <c r="I46" s="2511"/>
      <c r="J46" s="1144">
        <f>SUMIF(130:130,I46,131:131)-SUMIF(130:130,C46,131:131)+100</f>
        <v>100</v>
      </c>
      <c r="K46" s="2523"/>
      <c r="L46" s="1251"/>
      <c r="M46" s="1236"/>
      <c r="N46" s="1236"/>
      <c r="O46" s="1236"/>
      <c r="P46" s="1690"/>
      <c r="Q46" s="491">
        <f t="shared" si="11"/>
        <v>0</v>
      </c>
      <c r="R46" s="1295" t="s">
        <v>887</v>
      </c>
      <c r="S46" s="1296">
        <f t="shared" si="12"/>
        <v>100</v>
      </c>
      <c r="T46" s="1295" t="s">
        <v>887</v>
      </c>
      <c r="U46" s="1296">
        <f t="shared" si="13"/>
        <v>100</v>
      </c>
      <c r="V46" s="1295" t="s">
        <v>887</v>
      </c>
      <c r="W46" s="1296">
        <f t="shared" si="14"/>
        <v>100</v>
      </c>
      <c r="X46" s="1282"/>
      <c r="Y46" s="1314"/>
      <c r="Z46" s="1281">
        <f t="shared" si="15"/>
        <v>0</v>
      </c>
      <c r="AA46" s="1312">
        <f t="shared" si="3"/>
        <v>1</v>
      </c>
      <c r="AB46" s="1312">
        <f t="shared" si="4"/>
        <v>1</v>
      </c>
      <c r="AC46" s="1312">
        <f t="shared" si="5"/>
        <v>1</v>
      </c>
    </row>
    <row r="47" ht="15" spans="1:29">
      <c r="A47" s="1193" t="s">
        <v>930</v>
      </c>
      <c r="B47" s="1617"/>
      <c r="C47" s="1618" t="s">
        <v>121</v>
      </c>
      <c r="D47" s="1619"/>
      <c r="E47" s="1620">
        <f>案例!F41</f>
        <v>40834</v>
      </c>
      <c r="F47" s="1621"/>
      <c r="G47" s="1622">
        <f>案例!F45</f>
        <v>49279</v>
      </c>
      <c r="H47" s="1623"/>
      <c r="I47" s="1620">
        <f>案例!F47</f>
        <v>47170</v>
      </c>
      <c r="J47" s="1623"/>
      <c r="K47" s="2528"/>
      <c r="L47" s="1271"/>
      <c r="N47" s="1236"/>
      <c r="P47" s="491" t="str">
        <f>A47</f>
        <v>成交单价（元/平方米）</v>
      </c>
      <c r="Q47" s="491"/>
      <c r="R47" s="1312">
        <f>E47</f>
        <v>40834</v>
      </c>
      <c r="S47" s="1312"/>
      <c r="T47" s="1312">
        <f>G47</f>
        <v>49279</v>
      </c>
      <c r="U47" s="1312"/>
      <c r="V47" s="1312">
        <f>I47</f>
        <v>47170</v>
      </c>
      <c r="W47" s="1312"/>
      <c r="X47" s="1300"/>
      <c r="Y47" s="1314"/>
      <c r="Z47" s="1300"/>
      <c r="AA47" s="1300"/>
      <c r="AB47" s="1300"/>
      <c r="AC47" s="1300"/>
    </row>
    <row r="48" ht="15.75" spans="1:29">
      <c r="A48" s="1201" t="s">
        <v>931</v>
      </c>
      <c r="B48" s="1624"/>
      <c r="C48" s="1625">
        <f>R49</f>
        <v>46655</v>
      </c>
      <c r="D48" s="831" t="s">
        <v>932</v>
      </c>
      <c r="E48" s="1626">
        <f>R48</f>
        <v>42300</v>
      </c>
      <c r="F48" s="832"/>
      <c r="G48" s="1625">
        <f>T48</f>
        <v>49284</v>
      </c>
      <c r="H48" s="832"/>
      <c r="I48" s="1626">
        <f>V48</f>
        <v>48382</v>
      </c>
      <c r="J48" s="832"/>
      <c r="K48" s="2529">
        <f>F48+H48+J48</f>
        <v>0</v>
      </c>
      <c r="L48" s="1271"/>
      <c r="P48" s="491" t="str">
        <f>A48</f>
        <v>比较价值（元/平方米）</v>
      </c>
      <c r="Q48" s="491"/>
      <c r="R48" s="1312">
        <f>IF(E1="售价",ROUND(PRODUCT(R47,AA7:AA46),0),ROUND(PRODUCT(R47,AA7:AA46),1))</f>
        <v>42300</v>
      </c>
      <c r="S48" s="1312"/>
      <c r="T48" s="2537">
        <f>IF(E1="售价",ROUND(PRODUCT(T47,AB7:AB46),0),ROUND(PRODUCT(T47,AB7:AB46),1))</f>
        <v>49284</v>
      </c>
      <c r="U48" s="2538"/>
      <c r="V48" s="1312">
        <f>IF(E1="售价",ROUND(PRODUCT(V47,AC7:AC46),0),ROUND(PRODUCT(V47,AC7:AC46),1))</f>
        <v>48382</v>
      </c>
      <c r="W48" s="1312"/>
      <c r="X48" s="1300"/>
      <c r="Y48" s="1300"/>
      <c r="Z48" s="1300"/>
      <c r="AA48" s="1300"/>
      <c r="AB48" s="1300"/>
      <c r="AC48" s="1300"/>
    </row>
    <row r="49" ht="15.75" spans="1:29">
      <c r="A49" s="1205" t="s">
        <v>933</v>
      </c>
      <c r="B49" s="1206"/>
      <c r="C49" s="2512">
        <f>R49</f>
        <v>46655</v>
      </c>
      <c r="D49" s="1627"/>
      <c r="E49" s="1627"/>
      <c r="F49" s="1627"/>
      <c r="G49" s="1627"/>
      <c r="H49" s="1627"/>
      <c r="I49" s="1627"/>
      <c r="J49" s="1627"/>
      <c r="K49" s="2530"/>
      <c r="L49" s="1271"/>
      <c r="P49" s="1273" t="str">
        <f>A49</f>
        <v>估价对象XX用房的比较价值（楼面单价，元/平方米）</v>
      </c>
      <c r="Q49" s="1302"/>
      <c r="R49" s="1647">
        <f>IF(E1="售价",ROUND(IF(D48="简单平均",AVERAGE(R48:V48),R48*F48+T48*H48+V48*J48),0),ROUND(IF(D48="简单平均",AVERAGE(R48:V48),R48*F48+T48*H48+V48*J48),1))</f>
        <v>46655</v>
      </c>
      <c r="S49" s="1647"/>
      <c r="T49" s="1647"/>
      <c r="U49" s="1647"/>
      <c r="V49" s="1647"/>
      <c r="W49" s="1647"/>
      <c r="X49" s="1300"/>
      <c r="Y49" s="1300"/>
      <c r="Z49" s="1300"/>
      <c r="AA49" s="1300"/>
      <c r="AB49" s="1300"/>
      <c r="AC49" s="1300"/>
    </row>
    <row r="50" spans="7:7">
      <c r="G50" s="1208"/>
    </row>
    <row r="52" ht="13.5" customHeight="1" spans="3:10">
      <c r="C52" s="838" t="s">
        <v>934</v>
      </c>
      <c r="D52" s="530"/>
      <c r="E52" s="1209">
        <f>IF(E47&lt;E48,E48/E47-1,E47/E48-1)</f>
        <v>0.0359014546701277</v>
      </c>
      <c r="F52" s="1210" t="str">
        <f>IF(OR(E52&gt;=0.3,E52&lt;=-0.3),"超过30%","")</f>
        <v/>
      </c>
      <c r="G52" s="1209">
        <f>IF(G47&lt;G48,G48/G47-1,G47/G48-1)</f>
        <v>0.00010146309787129</v>
      </c>
      <c r="H52" s="1210" t="str">
        <f>IF(OR(G52&gt;=0.3,G52&lt;=-0.3),"超过30%","")</f>
        <v/>
      </c>
      <c r="I52" s="1209">
        <f>IF(I47&lt;I48,I48/I47-1,I47/I48-1)</f>
        <v>0.0256942972228111</v>
      </c>
      <c r="J52" s="1210" t="str">
        <f>IF(OR(I52&gt;=0.3,I52&lt;=-0.3),"超过30%","")</f>
        <v/>
      </c>
    </row>
    <row r="53" ht="13.5" customHeight="1" spans="3:10">
      <c r="C53" s="838" t="s">
        <v>935</v>
      </c>
      <c r="D53" s="529"/>
      <c r="E53" s="1209">
        <f>IF(E48&lt;G48,G48/E48-1,E48/G48-1)</f>
        <v>0.165106382978723</v>
      </c>
      <c r="F53" s="1210" t="str">
        <f>IF(OR(E53&gt;=0.2,E53&lt;=-0.2),"超过20%","")</f>
        <v/>
      </c>
      <c r="G53" s="1209">
        <f>IF(G48&lt;I48,I48/G48-1,G48/I48-1)</f>
        <v>0.0186432970939605</v>
      </c>
      <c r="H53" s="1210" t="str">
        <f>IF(OR(G53&gt;=0.2,G53&lt;=-0.2),"超过20%","")</f>
        <v/>
      </c>
      <c r="I53" s="1209">
        <f>IF(I48&lt;E48,E48/I48-1,I48/E48-1)</f>
        <v>0.143782505910165</v>
      </c>
      <c r="J53" s="1210" t="str">
        <f>IF(OR(I53&gt;=0.2,I53&lt;=-0.2),"超过20%","")</f>
        <v/>
      </c>
    </row>
    <row r="54" s="1083" customFormat="1" ht="13.5" customHeight="1" spans="3:16">
      <c r="C54" s="838" t="s">
        <v>936</v>
      </c>
      <c r="D54" s="529"/>
      <c r="E54" s="1209">
        <f>IF(E47&lt;G47,G47/E47-1,E47/G47-1)</f>
        <v>0.206812949992653</v>
      </c>
      <c r="F54" s="1210" t="str">
        <f>IF(OR(E54&gt;=0.3,E54&lt;=-0.3),"超过30%","")</f>
        <v/>
      </c>
      <c r="G54" s="1209">
        <f>IF(G47&lt;I47,I47/G47-1,G47/I47-1)</f>
        <v>0.0447106211575155</v>
      </c>
      <c r="H54" s="1210" t="str">
        <f>IF(OR(G54&gt;=0.3,G54&lt;=-0.3),"超过30%","")</f>
        <v/>
      </c>
      <c r="I54" s="1209">
        <f>IF(I47&lt;E47,E47/I47-1,I47/E47-1)</f>
        <v>0.155164813635696</v>
      </c>
      <c r="J54" s="1210" t="str">
        <f>IF(OR(I54&gt;=0.3,I54&lt;=-0.3),"超过30%","")</f>
        <v/>
      </c>
      <c r="K54" s="1274"/>
      <c r="L54" s="1275"/>
      <c r="P54" s="2531"/>
    </row>
    <row r="55" s="1083" customFormat="1" spans="2:16">
      <c r="B55" s="1211"/>
      <c r="C55" s="1212"/>
      <c r="K55" s="1274"/>
      <c r="L55" s="1275"/>
      <c r="P55" s="2531"/>
    </row>
    <row r="56" spans="2:3">
      <c r="B56" s="1211"/>
      <c r="C56" s="1212"/>
    </row>
    <row r="57" ht="21" spans="1:17">
      <c r="A57" s="1323" t="s">
        <v>937</v>
      </c>
      <c r="B57" s="1300"/>
      <c r="C57" s="1324"/>
      <c r="D57" s="1324"/>
      <c r="E57" s="1324"/>
      <c r="F57" s="1324"/>
      <c r="G57" s="1324"/>
      <c r="H57" s="1324"/>
      <c r="I57" s="1324"/>
      <c r="J57" s="1324"/>
      <c r="K57" s="1640"/>
      <c r="L57" s="2532"/>
      <c r="M57" s="1642"/>
      <c r="N57" s="1642"/>
      <c r="O57" s="1642"/>
      <c r="P57" s="2533"/>
      <c r="Q57" s="1382"/>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v>98.5</v>
      </c>
      <c r="M59" s="1644">
        <v>98.5</v>
      </c>
      <c r="N59" s="1339">
        <v>98.5</v>
      </c>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2534"/>
      <c r="O61" s="2534"/>
      <c r="P61" s="1696"/>
      <c r="Q61" s="1382"/>
    </row>
    <row r="62" s="1080" customFormat="1" ht="15.75" spans="1:17">
      <c r="A62" s="1335"/>
      <c r="B62" s="1336"/>
      <c r="C62" s="1633">
        <v>100</v>
      </c>
      <c r="D62" s="1339"/>
      <c r="E62" s="1339"/>
      <c r="F62" s="1339"/>
      <c r="G62" s="1339"/>
      <c r="H62" s="1339"/>
      <c r="I62" s="1339"/>
      <c r="J62" s="1339"/>
      <c r="K62" s="1339"/>
      <c r="L62" s="1339"/>
      <c r="M62" s="1388"/>
      <c r="N62" s="2534"/>
      <c r="O62" s="2534"/>
      <c r="P62" s="1695"/>
      <c r="Q62" s="1382"/>
    </row>
    <row r="63" spans="1:17">
      <c r="A63" s="1340" t="s">
        <v>939</v>
      </c>
      <c r="B63" s="1341" t="s">
        <v>893</v>
      </c>
      <c r="C63" s="1361" t="str">
        <f>C9</f>
        <v>住宅</v>
      </c>
      <c r="D63" s="2513" t="s">
        <v>461</v>
      </c>
      <c r="E63" s="1268"/>
      <c r="F63" s="1268"/>
      <c r="G63" s="1268"/>
      <c r="H63" s="1268"/>
      <c r="I63" s="1268"/>
      <c r="J63" s="1268"/>
      <c r="K63" s="1032"/>
      <c r="L63" s="1032"/>
      <c r="M63" s="1389"/>
      <c r="N63" s="2535"/>
      <c r="O63" s="2535"/>
      <c r="P63" s="1697"/>
      <c r="Q63" s="1382"/>
    </row>
    <row r="64" ht="15.75" spans="1:17">
      <c r="A64" s="1342"/>
      <c r="B64" s="1343"/>
      <c r="C64" s="1344">
        <v>100</v>
      </c>
      <c r="D64" s="1344">
        <v>101</v>
      </c>
      <c r="E64" s="1344"/>
      <c r="F64" s="1344"/>
      <c r="G64" s="1344"/>
      <c r="H64" s="1344"/>
      <c r="I64" s="1344"/>
      <c r="J64" s="1344"/>
      <c r="K64" s="1344"/>
      <c r="L64" s="1344"/>
      <c r="M64" s="1392"/>
      <c r="N64" s="2536"/>
      <c r="O64" s="2536"/>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2535"/>
      <c r="O65" s="2535"/>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6"/>
      <c r="O66" s="2536"/>
      <c r="P66" s="1697"/>
      <c r="Q66" s="1382"/>
    </row>
    <row r="67" ht="15.75" spans="1:17">
      <c r="A67" s="1342"/>
      <c r="B67" s="1349" t="s">
        <v>897</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6"/>
      <c r="O67" s="2536"/>
      <c r="P67" s="1697"/>
      <c r="Q67" s="1382"/>
    </row>
    <row r="68" ht="15" spans="1:17">
      <c r="A68" s="1342"/>
      <c r="B68" s="1351"/>
      <c r="C68" s="1139">
        <v>0</v>
      </c>
      <c r="D68" s="1139">
        <v>1</v>
      </c>
      <c r="E68" s="1139">
        <v>2</v>
      </c>
      <c r="F68" s="1139"/>
      <c r="G68" s="1139"/>
      <c r="H68" s="1139"/>
      <c r="I68" s="1139"/>
      <c r="J68" s="1139"/>
      <c r="K68" s="1043"/>
      <c r="L68" s="1043"/>
      <c r="M68" s="1396"/>
      <c r="N68" s="2535"/>
      <c r="O68" s="2535"/>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6"/>
      <c r="O69" s="2536"/>
      <c r="P69" s="1697"/>
      <c r="Q69" s="1382"/>
    </row>
    <row r="70" s="1082" customFormat="1" ht="15.75" spans="1:17">
      <c r="A70" s="1352"/>
      <c r="B70" s="1345">
        <f>B12</f>
        <v>111</v>
      </c>
      <c r="C70" s="1353"/>
      <c r="D70" s="1353"/>
      <c r="E70" s="1353"/>
      <c r="F70" s="1353"/>
      <c r="G70" s="1353"/>
      <c r="H70" s="1045"/>
      <c r="I70" s="1045"/>
      <c r="J70" s="1045"/>
      <c r="K70" s="1045"/>
      <c r="L70" s="1045"/>
      <c r="M70" s="1397"/>
      <c r="N70" s="2546"/>
      <c r="O70" s="2546"/>
      <c r="P70" s="1702"/>
      <c r="Q70" s="1414"/>
    </row>
    <row r="71" s="1082" customFormat="1" ht="15.75" spans="1:17">
      <c r="A71" s="1352"/>
      <c r="B71" s="1347"/>
      <c r="C71" s="1354"/>
      <c r="D71" s="1344"/>
      <c r="E71" s="1344"/>
      <c r="F71" s="1344"/>
      <c r="G71" s="1344"/>
      <c r="H71" s="1344"/>
      <c r="I71" s="1344"/>
      <c r="J71" s="1344"/>
      <c r="K71" s="1344"/>
      <c r="L71" s="1344"/>
      <c r="M71" s="1392"/>
      <c r="N71" s="2536"/>
      <c r="O71" s="2536"/>
      <c r="P71" s="1702"/>
      <c r="Q71" s="1414"/>
    </row>
    <row r="72" s="1082" customFormat="1" ht="15.75" spans="1:17">
      <c r="A72" s="1352"/>
      <c r="B72" s="1345">
        <f>B13</f>
        <v>111</v>
      </c>
      <c r="C72" s="1353"/>
      <c r="D72" s="1353"/>
      <c r="E72" s="1353"/>
      <c r="F72" s="1353"/>
      <c r="G72" s="1353"/>
      <c r="H72" s="1045"/>
      <c r="I72" s="1045"/>
      <c r="J72" s="1045"/>
      <c r="K72" s="1045"/>
      <c r="L72" s="1045"/>
      <c r="M72" s="1397"/>
      <c r="N72" s="2546"/>
      <c r="O72" s="2546"/>
      <c r="P72" s="1703"/>
      <c r="Q72" s="1415"/>
    </row>
    <row r="73" s="1082" customFormat="1" ht="15.75" spans="1:17">
      <c r="A73" s="1352"/>
      <c r="B73" s="1347"/>
      <c r="C73" s="1354"/>
      <c r="D73" s="1354"/>
      <c r="E73" s="1354"/>
      <c r="F73" s="1354"/>
      <c r="G73" s="1354"/>
      <c r="H73" s="1355"/>
      <c r="I73" s="1355"/>
      <c r="J73" s="1355"/>
      <c r="K73" s="1355"/>
      <c r="L73" s="1355"/>
      <c r="M73" s="1400"/>
      <c r="N73" s="2546"/>
      <c r="O73" s="2546"/>
      <c r="P73" s="1702"/>
      <c r="Q73" s="1414"/>
    </row>
    <row r="74" s="1082" customFormat="1" ht="15.75" spans="1:17">
      <c r="A74" s="1352"/>
      <c r="B74" s="1349">
        <f>B14</f>
        <v>111</v>
      </c>
      <c r="C74" s="1353"/>
      <c r="D74" s="1353"/>
      <c r="E74" s="1353"/>
      <c r="F74" s="1353"/>
      <c r="G74" s="1026"/>
      <c r="H74" s="1050"/>
      <c r="I74" s="1050"/>
      <c r="J74" s="1050"/>
      <c r="K74" s="1050"/>
      <c r="L74" s="1050"/>
      <c r="M74" s="1401"/>
      <c r="N74" s="2546"/>
      <c r="O74" s="2546"/>
      <c r="P74" s="1702"/>
      <c r="Q74" s="1414"/>
    </row>
    <row r="75" s="1082" customFormat="1" ht="15.75" spans="1:17">
      <c r="A75" s="1356"/>
      <c r="B75" s="1357"/>
      <c r="C75" s="1358"/>
      <c r="D75" s="1358"/>
      <c r="E75" s="1358"/>
      <c r="F75" s="1358"/>
      <c r="G75" s="1358"/>
      <c r="H75" s="1359"/>
      <c r="I75" s="1359"/>
      <c r="J75" s="1359"/>
      <c r="K75" s="1359"/>
      <c r="L75" s="1359"/>
      <c r="M75" s="1402"/>
      <c r="N75" s="2546"/>
      <c r="O75" s="2546"/>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2535"/>
      <c r="O76" s="2535"/>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36"/>
      <c r="O77" s="2536"/>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5"/>
      <c r="O78" s="2535"/>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36"/>
      <c r="O79" s="2536"/>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5"/>
      <c r="O80" s="2535"/>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36"/>
      <c r="O81" s="2536"/>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2536"/>
      <c r="O82" s="2536"/>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36"/>
      <c r="O83" s="2536"/>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535"/>
      <c r="O84" s="2535"/>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36"/>
      <c r="O85" s="2536"/>
      <c r="P85" s="1697"/>
      <c r="Q85" s="1382"/>
    </row>
    <row r="86" s="1080" customFormat="1" ht="15.75" spans="1:17">
      <c r="A86" s="1362"/>
      <c r="B86" s="1345" t="s">
        <v>904</v>
      </c>
      <c r="C86" s="1353"/>
      <c r="D86" s="1353"/>
      <c r="E86" s="1353"/>
      <c r="F86" s="1353"/>
      <c r="G86" s="1353"/>
      <c r="H86" s="1353"/>
      <c r="I86" s="1353"/>
      <c r="J86" s="1353"/>
      <c r="K86" s="1353"/>
      <c r="L86" s="1353"/>
      <c r="M86" s="1655"/>
      <c r="N86" s="2534"/>
      <c r="O86" s="2534"/>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6"/>
      <c r="O87" s="2536"/>
      <c r="P87" s="1697"/>
      <c r="Q87" s="1382"/>
    </row>
    <row r="88" s="1080" customFormat="1" ht="15.75" spans="1:17">
      <c r="A88" s="1362"/>
      <c r="B88" s="1345" t="s">
        <v>905</v>
      </c>
      <c r="C88" s="2541" t="s">
        <v>907</v>
      </c>
      <c r="D88" s="2541" t="s">
        <v>906</v>
      </c>
      <c r="E88" s="2542" t="s">
        <v>952</v>
      </c>
      <c r="F88" s="2542"/>
      <c r="G88" s="1353"/>
      <c r="H88" s="1353"/>
      <c r="I88" s="1353"/>
      <c r="J88" s="1353"/>
      <c r="K88" s="1353"/>
      <c r="L88" s="1353"/>
      <c r="M88" s="1655"/>
      <c r="N88" s="2534"/>
      <c r="O88" s="2534"/>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36"/>
      <c r="O89" s="2536"/>
      <c r="P89" s="1697"/>
      <c r="Q89" s="1382"/>
    </row>
    <row r="90" s="1082" customFormat="1" ht="15.75" spans="1:17">
      <c r="A90" s="1352"/>
      <c r="B90" s="1345" t="str">
        <f>B27</f>
        <v>楼层</v>
      </c>
      <c r="C90" s="2543" t="s">
        <v>953</v>
      </c>
      <c r="D90" s="2543" t="s">
        <v>954</v>
      </c>
      <c r="E90" s="2543" t="s">
        <v>911</v>
      </c>
      <c r="F90" s="2543" t="s">
        <v>909</v>
      </c>
      <c r="G90" s="2543" t="s">
        <v>910</v>
      </c>
      <c r="H90" s="2544" t="s">
        <v>955</v>
      </c>
      <c r="I90" s="1045"/>
      <c r="J90" s="1045"/>
      <c r="K90" s="1045"/>
      <c r="L90" s="1045"/>
      <c r="M90" s="1397"/>
      <c r="N90" s="2546"/>
      <c r="O90" s="2546"/>
      <c r="P90" s="1702"/>
      <c r="Q90" s="1414"/>
    </row>
    <row r="91" s="1082" customFormat="1" ht="15.75" spans="1:17">
      <c r="A91" s="1352"/>
      <c r="B91" s="1347"/>
      <c r="C91" s="1354">
        <v>98</v>
      </c>
      <c r="D91" s="1354">
        <v>100</v>
      </c>
      <c r="E91" s="1354">
        <v>103</v>
      </c>
      <c r="F91" s="1354">
        <v>102</v>
      </c>
      <c r="G91" s="1354">
        <v>100</v>
      </c>
      <c r="H91" s="1355">
        <v>96</v>
      </c>
      <c r="I91" s="1355"/>
      <c r="J91" s="1355"/>
      <c r="K91" s="1355"/>
      <c r="L91" s="1355"/>
      <c r="M91" s="1400"/>
      <c r="N91" s="2546"/>
      <c r="O91" s="2546"/>
      <c r="P91" s="1702"/>
      <c r="Q91" s="1414"/>
    </row>
    <row r="92" ht="15.75" spans="1:17">
      <c r="A92" s="1342"/>
      <c r="B92" s="1345">
        <f>B28</f>
        <v>111</v>
      </c>
      <c r="C92" s="1353"/>
      <c r="D92" s="1353"/>
      <c r="E92" s="1353"/>
      <c r="F92" s="1353"/>
      <c r="G92" s="1366"/>
      <c r="H92" s="1366"/>
      <c r="I92" s="1366"/>
      <c r="J92" s="1366"/>
      <c r="K92" s="1065"/>
      <c r="L92" s="1065"/>
      <c r="M92" s="1408"/>
      <c r="N92" s="2535"/>
      <c r="O92" s="2535"/>
      <c r="P92" s="1697"/>
      <c r="Q92" s="1382"/>
    </row>
    <row r="93" ht="15.75" spans="1:17">
      <c r="A93" s="1342"/>
      <c r="B93" s="1347"/>
      <c r="C93" s="1354"/>
      <c r="D93" s="1344"/>
      <c r="E93" s="1344"/>
      <c r="F93" s="1344"/>
      <c r="G93" s="1344"/>
      <c r="H93" s="1344"/>
      <c r="I93" s="1344"/>
      <c r="J93" s="1344"/>
      <c r="K93" s="1344"/>
      <c r="L93" s="1344"/>
      <c r="M93" s="1392"/>
      <c r="N93" s="2536"/>
      <c r="O93" s="2536"/>
      <c r="P93" s="1697"/>
      <c r="Q93" s="1382"/>
    </row>
    <row r="94" ht="15.75" spans="1:17">
      <c r="A94" s="1342"/>
      <c r="B94" s="1345">
        <f>B29</f>
        <v>111</v>
      </c>
      <c r="C94" s="1353"/>
      <c r="D94" s="1353"/>
      <c r="E94" s="1353"/>
      <c r="F94" s="1353"/>
      <c r="G94" s="1366"/>
      <c r="H94" s="1366"/>
      <c r="I94" s="1366"/>
      <c r="J94" s="1366"/>
      <c r="K94" s="1065"/>
      <c r="L94" s="1065"/>
      <c r="M94" s="1408"/>
      <c r="N94" s="2535"/>
      <c r="O94" s="2535"/>
      <c r="P94" s="1697"/>
      <c r="Q94" s="1382"/>
    </row>
    <row r="95" ht="15.75" spans="1:17">
      <c r="A95" s="1342"/>
      <c r="B95" s="1347"/>
      <c r="C95" s="1354"/>
      <c r="D95" s="1354"/>
      <c r="E95" s="1354"/>
      <c r="F95" s="1354"/>
      <c r="G95" s="1344"/>
      <c r="H95" s="1344"/>
      <c r="I95" s="1344"/>
      <c r="J95" s="1344"/>
      <c r="K95" s="1344"/>
      <c r="L95" s="1344"/>
      <c r="M95" s="1392"/>
      <c r="N95" s="2536"/>
      <c r="O95" s="2536"/>
      <c r="P95" s="1697"/>
      <c r="Q95" s="1382"/>
    </row>
    <row r="96" ht="15.75" spans="1:17">
      <c r="A96" s="1342"/>
      <c r="B96" s="1345">
        <f>B30</f>
        <v>111</v>
      </c>
      <c r="C96" s="1353"/>
      <c r="D96" s="1353"/>
      <c r="E96" s="1353"/>
      <c r="F96" s="1353"/>
      <c r="G96" s="1366"/>
      <c r="H96" s="1366"/>
      <c r="I96" s="1366"/>
      <c r="J96" s="1366"/>
      <c r="K96" s="1065"/>
      <c r="L96" s="1065"/>
      <c r="M96" s="1408"/>
      <c r="N96" s="2535"/>
      <c r="O96" s="2535"/>
      <c r="P96" s="1697"/>
      <c r="Q96" s="1382"/>
    </row>
    <row r="97" ht="15.75" spans="1:17">
      <c r="A97" s="1342"/>
      <c r="B97" s="1347"/>
      <c r="C97" s="1358"/>
      <c r="D97" s="1358"/>
      <c r="E97" s="1358"/>
      <c r="F97" s="1358"/>
      <c r="G97" s="1344"/>
      <c r="H97" s="1344"/>
      <c r="I97" s="1344"/>
      <c r="J97" s="1344"/>
      <c r="K97" s="1344"/>
      <c r="L97" s="1344"/>
      <c r="M97" s="1392"/>
      <c r="N97" s="2536"/>
      <c r="O97" s="2536"/>
      <c r="P97" s="1697"/>
      <c r="Q97" s="1382"/>
    </row>
    <row r="98" ht="15.75" spans="1:17">
      <c r="A98" s="1342"/>
      <c r="B98" s="1349">
        <f>B31</f>
        <v>111</v>
      </c>
      <c r="C98" s="1367"/>
      <c r="D98" s="1367"/>
      <c r="E98" s="1367"/>
      <c r="F98" s="1367"/>
      <c r="G98" s="1367"/>
      <c r="H98" s="1367"/>
      <c r="I98" s="1367"/>
      <c r="J98" s="1367"/>
      <c r="K98" s="1068"/>
      <c r="L98" s="1068"/>
      <c r="M98" s="1409"/>
      <c r="N98" s="2535"/>
      <c r="O98" s="2535"/>
      <c r="P98" s="1697"/>
      <c r="Q98" s="1382"/>
    </row>
    <row r="99" ht="15.75" spans="1:17">
      <c r="A99" s="1653"/>
      <c r="B99" s="1357"/>
      <c r="C99" s="1368"/>
      <c r="D99" s="1368"/>
      <c r="E99" s="1368"/>
      <c r="F99" s="1368"/>
      <c r="G99" s="1368"/>
      <c r="H99" s="1368"/>
      <c r="I99" s="1368"/>
      <c r="J99" s="1368"/>
      <c r="K99" s="1368"/>
      <c r="L99" s="1368"/>
      <c r="M99" s="1410"/>
      <c r="N99" s="2536"/>
      <c r="O99" s="2536"/>
      <c r="P99" s="1697"/>
      <c r="Q99" s="1382"/>
    </row>
    <row r="100" spans="1:17">
      <c r="A100" s="1340" t="s">
        <v>912</v>
      </c>
      <c r="B100" s="1341" t="s">
        <v>913</v>
      </c>
      <c r="C100" s="2513" t="s">
        <v>914</v>
      </c>
      <c r="D100" s="2513"/>
      <c r="E100" s="1268"/>
      <c r="F100" s="1268"/>
      <c r="G100" s="1268"/>
      <c r="H100" s="1268"/>
      <c r="I100" s="1268"/>
      <c r="J100" s="1268"/>
      <c r="K100" s="1032"/>
      <c r="L100" s="1032"/>
      <c r="M100" s="1389"/>
      <c r="N100" s="2535"/>
      <c r="O100" s="2535"/>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6"/>
      <c r="O101" s="2536"/>
      <c r="P101" s="1697"/>
      <c r="Q101" s="1382"/>
    </row>
    <row r="102" ht="15.75" spans="1:17">
      <c r="A102" s="1342"/>
      <c r="B102" s="1345" t="s">
        <v>916</v>
      </c>
      <c r="C102" s="1058" t="str">
        <f>C103&amp;"(含)"&amp;"-"&amp;D103</f>
        <v>0(含)-50</v>
      </c>
      <c r="D102" s="1058" t="str">
        <f t="shared" ref="D102:L102" si="23">D103&amp;"(含)"&amp;"-"&amp;E103</f>
        <v>50(含)-75</v>
      </c>
      <c r="E102" s="1058" t="str">
        <f t="shared" si="23"/>
        <v>75(含)-95</v>
      </c>
      <c r="F102" s="1058" t="str">
        <f t="shared" si="23"/>
        <v>95(含)-120</v>
      </c>
      <c r="G102" s="1058" t="str">
        <f t="shared" si="23"/>
        <v>120(含)-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4"/>
      <c r="O102" s="2534"/>
      <c r="P102" s="1697"/>
      <c r="Q102" s="1382"/>
    </row>
    <row r="103" s="1082" customFormat="1" ht="15" spans="1:17">
      <c r="A103" s="1369"/>
      <c r="B103" s="1370"/>
      <c r="C103" s="1330">
        <v>0</v>
      </c>
      <c r="D103" s="1330">
        <v>50</v>
      </c>
      <c r="E103" s="1330">
        <v>75</v>
      </c>
      <c r="F103" s="1330">
        <v>95</v>
      </c>
      <c r="G103" s="1330">
        <v>120</v>
      </c>
      <c r="H103" s="1330"/>
      <c r="I103" s="1330"/>
      <c r="J103" s="1072"/>
      <c r="K103" s="1072"/>
      <c r="L103" s="1072"/>
      <c r="M103" s="1411"/>
      <c r="N103" s="2546"/>
      <c r="O103" s="2546"/>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36"/>
      <c r="O104" s="2536"/>
      <c r="P104" s="1702"/>
      <c r="Q104" s="1414"/>
    </row>
    <row r="105" ht="15.75" spans="1:17">
      <c r="A105" s="1372"/>
      <c r="B105" s="1345" t="s">
        <v>917</v>
      </c>
      <c r="C105" s="2541" t="s">
        <v>918</v>
      </c>
      <c r="D105" s="2541"/>
      <c r="E105" s="2545"/>
      <c r="F105" s="1366"/>
      <c r="G105" s="1366"/>
      <c r="H105" s="1366"/>
      <c r="I105" s="1366"/>
      <c r="J105" s="1366"/>
      <c r="K105" s="1065"/>
      <c r="L105" s="1065"/>
      <c r="M105" s="1408"/>
      <c r="N105" s="2535"/>
      <c r="O105" s="2535"/>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36"/>
      <c r="O106" s="2536"/>
      <c r="P106" s="1697"/>
      <c r="Q106" s="1382"/>
    </row>
    <row r="107" ht="15.75" spans="1:17">
      <c r="A107" s="1372"/>
      <c r="B107" s="1345" t="s">
        <v>919</v>
      </c>
      <c r="C107" s="2545" t="s">
        <v>956</v>
      </c>
      <c r="D107" s="1366"/>
      <c r="E107" s="1366"/>
      <c r="F107" s="1366"/>
      <c r="G107" s="1366"/>
      <c r="H107" s="1366"/>
      <c r="I107" s="1366"/>
      <c r="J107" s="1366"/>
      <c r="K107" s="1065"/>
      <c r="L107" s="1065"/>
      <c r="M107" s="1408"/>
      <c r="N107" s="2535"/>
      <c r="O107" s="2535"/>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6"/>
      <c r="O108" s="2536"/>
      <c r="P108" s="1697"/>
      <c r="Q108" s="1382"/>
    </row>
    <row r="109" ht="15.75" spans="1:17">
      <c r="A109" s="1372"/>
      <c r="B109" s="1345" t="s">
        <v>920</v>
      </c>
      <c r="C109" s="1353"/>
      <c r="D109" s="1353"/>
      <c r="E109" s="1353"/>
      <c r="F109" s="1366"/>
      <c r="G109" s="1366"/>
      <c r="H109" s="1366"/>
      <c r="I109" s="1366"/>
      <c r="J109" s="1366"/>
      <c r="K109" s="1065"/>
      <c r="L109" s="1065"/>
      <c r="M109" s="1408"/>
      <c r="N109" s="2535"/>
      <c r="O109" s="2535"/>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6"/>
      <c r="O110" s="2536"/>
      <c r="P110" s="1697"/>
      <c r="Q110" s="1382"/>
    </row>
    <row r="111" s="1082" customFormat="1" ht="15.75" spans="1:17">
      <c r="A111" s="1369"/>
      <c r="B111" s="1345" t="s">
        <v>921</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6"/>
      <c r="O111" s="2546"/>
      <c r="P111" s="1702"/>
      <c r="Q111" s="1414"/>
    </row>
    <row r="112" s="1082" customFormat="1" ht="15" spans="1:17">
      <c r="A112" s="1369"/>
      <c r="B112" s="1349"/>
      <c r="C112" s="642">
        <v>0.5</v>
      </c>
      <c r="D112" s="642">
        <v>0.6</v>
      </c>
      <c r="E112" s="642">
        <v>0.7</v>
      </c>
      <c r="F112" s="642">
        <v>0.8</v>
      </c>
      <c r="G112" s="642">
        <v>0.9</v>
      </c>
      <c r="H112" s="642">
        <v>1.0001</v>
      </c>
      <c r="I112" s="642"/>
      <c r="J112" s="2547"/>
      <c r="K112" s="2547"/>
      <c r="L112" s="2547"/>
      <c r="M112" s="2548"/>
      <c r="N112" s="2546"/>
      <c r="O112" s="2546"/>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6"/>
      <c r="O113" s="2546"/>
      <c r="P113" s="1702"/>
      <c r="Q113" s="1414"/>
    </row>
    <row r="114" ht="15.75" spans="1:17">
      <c r="A114" s="1372"/>
      <c r="B114" s="1345" t="s">
        <v>922</v>
      </c>
      <c r="C114" s="2541" t="s">
        <v>923</v>
      </c>
      <c r="D114" s="2545" t="s">
        <v>957</v>
      </c>
      <c r="E114" s="2545" t="s">
        <v>958</v>
      </c>
      <c r="F114" s="2545"/>
      <c r="G114" s="1366"/>
      <c r="H114" s="1366"/>
      <c r="I114" s="1366"/>
      <c r="J114" s="1366"/>
      <c r="K114" s="1065"/>
      <c r="L114" s="1065"/>
      <c r="M114" s="1408"/>
      <c r="N114" s="2535"/>
      <c r="O114" s="2535"/>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36"/>
      <c r="O115" s="2536"/>
      <c r="P115" s="1697"/>
      <c r="Q115" s="1382"/>
    </row>
    <row r="116" ht="15.75" spans="1:17">
      <c r="A116" s="1372"/>
      <c r="B116" s="1345" t="s">
        <v>924</v>
      </c>
      <c r="C116" s="2541" t="s">
        <v>902</v>
      </c>
      <c r="D116" s="2541" t="s">
        <v>959</v>
      </c>
      <c r="E116" s="1353"/>
      <c r="F116" s="1353"/>
      <c r="G116" s="1353"/>
      <c r="H116" s="1366"/>
      <c r="I116" s="1366"/>
      <c r="J116" s="1366"/>
      <c r="K116" s="1065"/>
      <c r="L116" s="1065"/>
      <c r="M116" s="1408"/>
      <c r="N116" s="2535"/>
      <c r="O116" s="2535"/>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36"/>
      <c r="O117" s="2536"/>
      <c r="P117" s="1697"/>
      <c r="Q117" s="1382"/>
    </row>
    <row r="118" ht="15.75" spans="1:17">
      <c r="A118" s="1372"/>
      <c r="B118" s="1345" t="s">
        <v>925</v>
      </c>
      <c r="C118" s="1366"/>
      <c r="D118" s="1366"/>
      <c r="E118" s="1366"/>
      <c r="F118" s="1366"/>
      <c r="G118" s="1366"/>
      <c r="H118" s="1366"/>
      <c r="I118" s="1366"/>
      <c r="J118" s="1366"/>
      <c r="K118" s="1065"/>
      <c r="L118" s="1065"/>
      <c r="M118" s="1408"/>
      <c r="N118" s="2535"/>
      <c r="O118" s="2535"/>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6"/>
      <c r="O119" s="2536"/>
      <c r="P119" s="1697"/>
      <c r="Q119" s="1382"/>
    </row>
    <row r="120" s="1082" customFormat="1" ht="28.5" spans="1:17">
      <c r="A120" s="1369"/>
      <c r="B120" s="1345" t="s">
        <v>926</v>
      </c>
      <c r="C120" s="1353"/>
      <c r="D120" s="1353"/>
      <c r="E120" s="1353"/>
      <c r="F120" s="1353"/>
      <c r="G120" s="1353"/>
      <c r="H120" s="1353"/>
      <c r="I120" s="1353"/>
      <c r="J120" s="1353"/>
      <c r="K120" s="1353"/>
      <c r="L120" s="1353"/>
      <c r="M120" s="1655"/>
      <c r="N120" s="2546"/>
      <c r="O120" s="2546"/>
      <c r="P120" s="1702"/>
      <c r="Q120" s="1414"/>
    </row>
    <row r="121" s="1082" customFormat="1" ht="15.75" spans="1:17">
      <c r="A121" s="1352"/>
      <c r="B121" s="1343"/>
      <c r="C121" s="1354"/>
      <c r="D121" s="1344"/>
      <c r="E121" s="1344"/>
      <c r="F121" s="1344"/>
      <c r="G121" s="1344"/>
      <c r="H121" s="1344"/>
      <c r="I121" s="1344"/>
      <c r="J121" s="1344"/>
      <c r="K121" s="1344"/>
      <c r="L121" s="1344"/>
      <c r="M121" s="1344"/>
      <c r="N121" s="2546"/>
      <c r="O121" s="2546"/>
      <c r="P121" s="1702"/>
      <c r="Q121" s="1414"/>
    </row>
    <row r="122" ht="15.75" spans="1:17">
      <c r="A122" s="1372"/>
      <c r="B122" s="1345" t="s">
        <v>927</v>
      </c>
      <c r="C122" s="2541" t="s">
        <v>960</v>
      </c>
      <c r="D122" s="2541" t="s">
        <v>928</v>
      </c>
      <c r="E122" s="2541" t="s">
        <v>929</v>
      </c>
      <c r="F122" s="2545" t="s">
        <v>961</v>
      </c>
      <c r="G122" s="1366"/>
      <c r="H122" s="1366"/>
      <c r="I122" s="1366"/>
      <c r="J122" s="1366"/>
      <c r="K122" s="1065"/>
      <c r="L122" s="1065"/>
      <c r="M122" s="1408"/>
      <c r="N122" s="2535"/>
      <c r="O122" s="2535"/>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36"/>
      <c r="O123" s="2536"/>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5"/>
      <c r="O124" s="2535"/>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36"/>
      <c r="O125" s="2536"/>
      <c r="P125" s="1697"/>
      <c r="Q125" s="1382"/>
    </row>
    <row r="126" s="1082" customFormat="1" ht="15.75" spans="1:17">
      <c r="A126" s="1369"/>
      <c r="B126" s="1345">
        <f>B44</f>
        <v>0</v>
      </c>
      <c r="C126" s="2541" t="s">
        <v>962</v>
      </c>
      <c r="D126" s="2541" t="s">
        <v>963</v>
      </c>
      <c r="E126" s="1353"/>
      <c r="F126" s="1353"/>
      <c r="G126" s="1353"/>
      <c r="H126" s="1045"/>
      <c r="I126" s="1045"/>
      <c r="J126" s="1045"/>
      <c r="K126" s="1045"/>
      <c r="L126" s="1045"/>
      <c r="M126" s="1397"/>
      <c r="N126" s="2546"/>
      <c r="O126" s="2546"/>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6"/>
      <c r="O127" s="2546"/>
      <c r="P127" s="1702"/>
      <c r="Q127" s="1414"/>
    </row>
    <row r="128" ht="15.75" spans="1:17">
      <c r="A128" s="1372"/>
      <c r="B128" s="1345">
        <f>B45</f>
        <v>0</v>
      </c>
      <c r="C128" s="2541" t="s">
        <v>964</v>
      </c>
      <c r="D128" s="2541" t="s">
        <v>965</v>
      </c>
      <c r="E128" s="1353"/>
      <c r="F128" s="1353"/>
      <c r="G128" s="1366"/>
      <c r="H128" s="1366"/>
      <c r="I128" s="1366"/>
      <c r="J128" s="1366"/>
      <c r="K128" s="1065"/>
      <c r="L128" s="1065"/>
      <c r="M128" s="1408"/>
      <c r="N128" s="2535"/>
      <c r="O128" s="2535"/>
      <c r="P128" s="1697"/>
      <c r="Q128" s="1382"/>
    </row>
    <row r="129" ht="15.75" spans="1:17">
      <c r="A129" s="1342"/>
      <c r="B129" s="1347"/>
      <c r="C129" s="1354">
        <v>100</v>
      </c>
      <c r="D129" s="1354">
        <v>98</v>
      </c>
      <c r="E129" s="1354"/>
      <c r="F129" s="1354"/>
      <c r="G129" s="1344"/>
      <c r="H129" s="1344"/>
      <c r="I129" s="1344"/>
      <c r="J129" s="1344"/>
      <c r="K129" s="1344"/>
      <c r="L129" s="1344"/>
      <c r="M129" s="1392"/>
      <c r="N129" s="2536"/>
      <c r="O129" s="2536"/>
      <c r="P129" s="1697"/>
      <c r="Q129" s="1382"/>
    </row>
    <row r="130" ht="15.75" spans="1:17">
      <c r="A130" s="1372"/>
      <c r="B130" s="1349">
        <f>B46</f>
        <v>0</v>
      </c>
      <c r="C130" s="2541" t="s">
        <v>966</v>
      </c>
      <c r="D130" s="2541" t="s">
        <v>967</v>
      </c>
      <c r="E130" s="1353"/>
      <c r="F130" s="1353"/>
      <c r="G130" s="1367"/>
      <c r="H130" s="1367"/>
      <c r="I130" s="1367"/>
      <c r="J130" s="1367"/>
      <c r="K130" s="1026"/>
      <c r="L130" s="1026"/>
      <c r="M130" s="1409"/>
      <c r="N130" s="2535"/>
      <c r="O130" s="2535"/>
      <c r="P130" s="1697"/>
      <c r="Q130" s="1382"/>
    </row>
    <row r="131" ht="15.75" spans="1:17">
      <c r="A131" s="1653"/>
      <c r="B131" s="1357"/>
      <c r="C131" s="1358">
        <v>100</v>
      </c>
      <c r="D131" s="1358">
        <v>99</v>
      </c>
      <c r="E131" s="1358"/>
      <c r="F131" s="1358"/>
      <c r="G131" s="1368"/>
      <c r="H131" s="1368"/>
      <c r="I131" s="1368"/>
      <c r="J131" s="1368"/>
      <c r="K131" s="1368"/>
      <c r="L131" s="1368"/>
      <c r="M131" s="1410"/>
      <c r="N131" s="2536"/>
      <c r="O131" s="2536"/>
      <c r="P131" s="1697"/>
      <c r="Q131" s="1382"/>
    </row>
    <row r="136" ht="15" spans="2:2">
      <c r="B136" s="2549" t="s">
        <v>968</v>
      </c>
    </row>
    <row r="137" ht="15" spans="2:11">
      <c r="B137" s="2550" t="s">
        <v>969</v>
      </c>
      <c r="C137" s="2551"/>
      <c r="D137" s="2551"/>
      <c r="E137" s="2551"/>
      <c r="F137" s="2551"/>
      <c r="G137" s="2552"/>
      <c r="H137" s="2553"/>
      <c r="I137" s="2577" t="s">
        <v>970</v>
      </c>
      <c r="J137" s="2551"/>
      <c r="K137" s="2578"/>
    </row>
    <row r="138" ht="15" spans="2:11">
      <c r="B138" s="2554"/>
      <c r="C138" s="1218" t="s">
        <v>971</v>
      </c>
      <c r="D138" s="1218" t="s">
        <v>972</v>
      </c>
      <c r="E138" s="2555" t="s">
        <v>973</v>
      </c>
      <c r="F138" s="2556" t="s">
        <v>974</v>
      </c>
      <c r="G138" s="1218" t="s">
        <v>972</v>
      </c>
      <c r="H138" s="2557" t="s">
        <v>973</v>
      </c>
      <c r="I138" s="2579"/>
      <c r="J138" s="1218" t="s">
        <v>975</v>
      </c>
      <c r="K138" s="2557" t="s">
        <v>976</v>
      </c>
    </row>
    <row r="139" ht="15" spans="2:11">
      <c r="B139" s="2558">
        <v>6</v>
      </c>
      <c r="C139" s="2559">
        <v>96</v>
      </c>
      <c r="D139" s="2560" t="s">
        <v>977</v>
      </c>
      <c r="E139" s="2561">
        <v>100</v>
      </c>
      <c r="F139" s="2562">
        <v>102.5</v>
      </c>
      <c r="G139" s="2560" t="s">
        <v>977</v>
      </c>
      <c r="H139" s="2563">
        <v>105</v>
      </c>
      <c r="I139" s="2580" t="s">
        <v>978</v>
      </c>
      <c r="J139" s="2559">
        <v>20</v>
      </c>
      <c r="K139" s="2581">
        <f>C145/(J139-2)</f>
        <v>0.00405555555555556</v>
      </c>
    </row>
    <row r="140" ht="15" spans="2:11">
      <c r="B140" s="2564">
        <v>5</v>
      </c>
      <c r="C140" s="2565">
        <v>100</v>
      </c>
      <c r="D140" s="2565"/>
      <c r="E140" s="2566"/>
      <c r="F140" s="2567">
        <v>102</v>
      </c>
      <c r="G140" s="2565"/>
      <c r="H140" s="2568"/>
      <c r="I140" s="2582" t="s">
        <v>979</v>
      </c>
      <c r="J140" s="2583">
        <f>ROUNDUP((J139-1)/2,0)</f>
        <v>10</v>
      </c>
      <c r="K140" s="2584">
        <v>100</v>
      </c>
    </row>
    <row r="141" ht="15" spans="2:11">
      <c r="B141" s="2564">
        <v>4</v>
      </c>
      <c r="C141" s="2565">
        <v>102</v>
      </c>
      <c r="D141" s="2565"/>
      <c r="E141" s="2566"/>
      <c r="F141" s="2567">
        <v>101.5</v>
      </c>
      <c r="G141" s="2565"/>
      <c r="H141" s="2568"/>
      <c r="I141" s="2582" t="s">
        <v>980</v>
      </c>
      <c r="J141" s="2583">
        <v>1</v>
      </c>
      <c r="K141" s="2585">
        <f>ROUND(100+(J141-J140)*K139*100,1)</f>
        <v>96.4</v>
      </c>
    </row>
    <row r="142" ht="15" spans="2:11">
      <c r="B142" s="2564">
        <v>3</v>
      </c>
      <c r="C142" s="2565">
        <v>103</v>
      </c>
      <c r="D142" s="2565"/>
      <c r="E142" s="2566"/>
      <c r="F142" s="2567">
        <v>101</v>
      </c>
      <c r="G142" s="2565"/>
      <c r="H142" s="2568"/>
      <c r="I142" s="2582" t="s">
        <v>981</v>
      </c>
      <c r="J142" s="2583">
        <f>J139</f>
        <v>20</v>
      </c>
      <c r="K142" s="2586">
        <v>95</v>
      </c>
    </row>
    <row r="143" ht="15" spans="2:11">
      <c r="B143" s="2564">
        <v>2</v>
      </c>
      <c r="C143" s="2565">
        <v>100</v>
      </c>
      <c r="D143" s="2565"/>
      <c r="E143" s="2566"/>
      <c r="F143" s="2567">
        <v>100.5</v>
      </c>
      <c r="G143" s="2565"/>
      <c r="H143" s="2568"/>
      <c r="I143" s="2582" t="s">
        <v>982</v>
      </c>
      <c r="J143" s="2565">
        <v>15</v>
      </c>
      <c r="K143" s="2585">
        <f>ROUND(100+(J143-J140)*K139*100,1)</f>
        <v>102</v>
      </c>
    </row>
    <row r="144" ht="15" spans="2:11">
      <c r="B144" s="2564">
        <v>1</v>
      </c>
      <c r="C144" s="2565">
        <v>98</v>
      </c>
      <c r="D144" s="2569" t="s">
        <v>983</v>
      </c>
      <c r="E144" s="2566">
        <v>102</v>
      </c>
      <c r="F144" s="2570">
        <v>100</v>
      </c>
      <c r="G144" s="2569" t="s">
        <v>983</v>
      </c>
      <c r="H144" s="2568">
        <v>105</v>
      </c>
      <c r="I144" s="2582" t="s">
        <v>982</v>
      </c>
      <c r="J144" s="2565">
        <v>18</v>
      </c>
      <c r="K144" s="2585">
        <f>ROUND(100+(J144-J140)*K139*100,1)</f>
        <v>103.2</v>
      </c>
    </row>
    <row r="145" ht="15.75" spans="2:11">
      <c r="B145" s="2571" t="s">
        <v>984</v>
      </c>
      <c r="C145" s="2572">
        <f>ROUND(MAX(C139:C144)/MIN(C139:C144)-1,3)</f>
        <v>0.073</v>
      </c>
      <c r="D145" s="2573"/>
      <c r="E145" s="2573"/>
      <c r="F145" s="2574" t="s">
        <v>985</v>
      </c>
      <c r="G145" s="2575"/>
      <c r="H145" s="2576"/>
      <c r="I145" s="2587" t="s">
        <v>982</v>
      </c>
      <c r="J145" s="2588">
        <v>8</v>
      </c>
      <c r="K145" s="2589">
        <f>ROUND(100+(J145-J140)*K139*100,1)</f>
        <v>99.2</v>
      </c>
    </row>
    <row r="147" spans="2:2">
      <c r="B147" s="2549" t="s">
        <v>986</v>
      </c>
    </row>
    <row r="148" spans="2:2">
      <c r="B148" s="2549" t="s">
        <v>987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43 E43 G43 I43">
      <formula1>内部装修维护情况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C13" workbookViewId="0">
      <selection activeCell="E32" sqref="E32"/>
    </sheetView>
  </sheetViews>
  <sheetFormatPr defaultColWidth="9" defaultRowHeight="15"/>
  <cols>
    <col min="1" max="1" width="9" style="2153" customWidth="1"/>
    <col min="2" max="2" width="20.625" style="2240" customWidth="1"/>
    <col min="3" max="3" width="11.875" style="2240"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41" customWidth="1"/>
    <col min="12" max="12" width="18.375" style="2153" customWidth="1"/>
    <col min="13" max="13" width="13" style="2153" customWidth="1"/>
    <col min="14" max="14" width="13.125" style="2239" customWidth="1"/>
    <col min="15" max="15" width="5.25" style="2239" customWidth="1"/>
    <col min="16" max="16" width="24.875" style="2239" customWidth="1"/>
    <col min="17" max="17" width="13.75" style="2242" customWidth="1"/>
    <col min="18" max="18" width="26.125" style="2239" customWidth="1"/>
    <col min="19" max="19" width="1.5" style="2239" customWidth="1"/>
    <col min="20" max="37" width="9" style="2239"/>
    <col min="38" max="16384" width="9" style="2153"/>
  </cols>
  <sheetData>
    <row r="1" s="2237" customFormat="1" ht="20.25" spans="1:37">
      <c r="A1" s="2243" t="s">
        <v>988</v>
      </c>
      <c r="B1" s="2244"/>
      <c r="C1" s="2245"/>
      <c r="D1" s="2246" t="s">
        <v>97</v>
      </c>
      <c r="E1" s="2247" t="s">
        <v>121</v>
      </c>
      <c r="F1" s="2248"/>
      <c r="G1" s="2249" t="e">
        <f>MATCH(C1,'数据-取费表'!A19:A19,0)+5</f>
        <v>#N/A</v>
      </c>
      <c r="H1" s="2250"/>
      <c r="I1" s="2385"/>
      <c r="J1" s="2385"/>
      <c r="K1" s="2386"/>
      <c r="L1" s="2385"/>
      <c r="M1" s="2385"/>
      <c r="N1" s="2387"/>
      <c r="O1" s="2387"/>
      <c r="P1" s="2387"/>
      <c r="Q1" s="247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721" t="s">
        <v>871</v>
      </c>
      <c r="B2" s="2251">
        <f ca="1">IF(C2="元",IF('数据-取费表'!B29="租赁期内按合同租金",C40+L47+J29,C40+L47),ROUND(IF('数据-取费表'!B29="租赁期内按合同租金",(C40+L47+J29)/10000,(C40+L47)/10000),0))</f>
        <v>1996563</v>
      </c>
      <c r="C2" s="2252" t="str">
        <f>'数据-取费表'!B3</f>
        <v>元</v>
      </c>
      <c r="D2" s="1506"/>
      <c r="E2" s="2253"/>
      <c r="F2" s="2253"/>
      <c r="G2" s="2254"/>
      <c r="H2" s="2255"/>
      <c r="I2" s="2255"/>
      <c r="J2" s="2255"/>
      <c r="K2" s="2388"/>
      <c r="L2" s="2255"/>
      <c r="M2" s="2255"/>
    </row>
    <row r="3" ht="18" customHeight="1" spans="1:13">
      <c r="A3" s="2256" t="s">
        <v>872</v>
      </c>
      <c r="B3" s="2257">
        <f ca="1">ROUND(IF('数据-取费表'!B29="租赁期内按合同租金",(C40+L47+J29)/F43,(C40+L47)/F43),0)</f>
        <v>33777</v>
      </c>
      <c r="C3" s="2252" t="s">
        <v>989</v>
      </c>
      <c r="D3" s="1506"/>
      <c r="E3" s="2253"/>
      <c r="F3" s="2253"/>
      <c r="G3" s="2254"/>
      <c r="H3" s="2258" t="s">
        <v>990</v>
      </c>
      <c r="I3" s="2255"/>
      <c r="J3" s="2255"/>
      <c r="K3" s="2388"/>
      <c r="L3" s="2255"/>
      <c r="M3" s="2255"/>
    </row>
    <row r="4" ht="18" customHeight="1" spans="1:13">
      <c r="A4" s="2259" t="s">
        <v>991</v>
      </c>
      <c r="B4" s="2260" t="s">
        <v>992</v>
      </c>
      <c r="C4" s="2260" t="s">
        <v>993</v>
      </c>
      <c r="D4" s="2260" t="s">
        <v>994</v>
      </c>
      <c r="E4" s="2261" t="s">
        <v>995</v>
      </c>
      <c r="F4" s="2262"/>
      <c r="G4" s="2263"/>
      <c r="H4" s="2259" t="s">
        <v>991</v>
      </c>
      <c r="I4" s="2260" t="s">
        <v>992</v>
      </c>
      <c r="J4" s="2260" t="s">
        <v>993</v>
      </c>
      <c r="K4" s="2260" t="s">
        <v>994</v>
      </c>
      <c r="L4" s="2261" t="s">
        <v>995</v>
      </c>
      <c r="M4" s="2262"/>
    </row>
    <row r="5" ht="18" customHeight="1" spans="1:13">
      <c r="A5" s="2264">
        <v>1</v>
      </c>
      <c r="B5" s="2265" t="s">
        <v>996</v>
      </c>
      <c r="C5" s="2266">
        <f ca="1">C6+C10+C12</f>
        <v>45737</v>
      </c>
      <c r="D5" s="2267" t="s">
        <v>997</v>
      </c>
      <c r="E5" s="1506"/>
      <c r="F5" s="2268"/>
      <c r="G5" s="2263"/>
      <c r="H5" s="2264">
        <v>1</v>
      </c>
      <c r="I5" s="2265" t="s">
        <v>996</v>
      </c>
      <c r="J5" s="2266">
        <f ca="1">J6+J10+J12</f>
        <v>0</v>
      </c>
      <c r="K5" s="2389" t="s">
        <v>998</v>
      </c>
      <c r="L5" s="1506"/>
      <c r="M5" s="2268"/>
    </row>
    <row r="6" ht="18" customHeight="1" spans="1:13">
      <c r="A6" s="2269" t="s">
        <v>999</v>
      </c>
      <c r="B6" s="2270" t="s">
        <v>1000</v>
      </c>
      <c r="C6" s="2266">
        <f>ROUND(F6*F8*F7*(1-F9),0)</f>
        <v>45680</v>
      </c>
      <c r="D6" s="2271" t="s">
        <v>1001</v>
      </c>
      <c r="E6" s="2272" t="s">
        <v>1002</v>
      </c>
      <c r="F6" s="2273">
        <f>'数据-取费表'!B30</f>
        <v>70</v>
      </c>
      <c r="G6" s="2263"/>
      <c r="H6" s="2269" t="s">
        <v>999</v>
      </c>
      <c r="I6" s="2270" t="s">
        <v>1000</v>
      </c>
      <c r="J6" s="2266">
        <f>ROUND(M6*M8*M7*(1-M9),0)</f>
        <v>0</v>
      </c>
      <c r="K6" s="2271" t="s">
        <v>1001</v>
      </c>
      <c r="L6" s="2272" t="s">
        <v>1002</v>
      </c>
      <c r="M6" s="2273">
        <f>'数据-取费表'!B37</f>
        <v>0</v>
      </c>
    </row>
    <row r="7" ht="18" customHeight="1" spans="1:13">
      <c r="A7" s="2274"/>
      <c r="B7" s="2275"/>
      <c r="C7" s="2276"/>
      <c r="D7" s="2277"/>
      <c r="E7" s="2272" t="s">
        <v>1003</v>
      </c>
      <c r="F7" s="2273">
        <f>IF('数据-取费表'!B42="",IF(D1="仅计算典型户型",'数据-取费表'!E5,'数据-取费表'!B5),'数据-取费表'!B42)</f>
        <v>59.11</v>
      </c>
      <c r="G7" s="2263"/>
      <c r="H7" s="2278"/>
      <c r="I7" s="2275"/>
      <c r="J7" s="2276"/>
      <c r="K7" s="2277"/>
      <c r="L7" s="2272" t="s">
        <v>1003</v>
      </c>
      <c r="M7" s="2273">
        <f>IF('数据-取费表'!B42="",IF(D1="仅计算典型户型",'数据-取费表'!E5,'数据-取费表'!B5),'数据-取费表'!B42)</f>
        <v>59.11</v>
      </c>
    </row>
    <row r="8" ht="18" customHeight="1" spans="1:13">
      <c r="A8" s="2274"/>
      <c r="B8" s="2275"/>
      <c r="C8" s="2276"/>
      <c r="D8" s="2277"/>
      <c r="E8" s="2272" t="s">
        <v>1004</v>
      </c>
      <c r="F8" s="2273">
        <f>'数据-取费表'!B43</f>
        <v>12</v>
      </c>
      <c r="G8" s="2263"/>
      <c r="H8" s="2278"/>
      <c r="I8" s="2275"/>
      <c r="J8" s="2276"/>
      <c r="K8" s="2277"/>
      <c r="L8" s="2272" t="s">
        <v>1005</v>
      </c>
      <c r="M8" s="2273">
        <f>'数据-取费表'!B43</f>
        <v>12</v>
      </c>
    </row>
    <row r="9" ht="18" customHeight="1" spans="1:13">
      <c r="A9" s="2274"/>
      <c r="B9" s="2275"/>
      <c r="C9" s="2276"/>
      <c r="D9" s="2279"/>
      <c r="E9" s="2272" t="s">
        <v>1006</v>
      </c>
      <c r="F9" s="2280">
        <f>'数据-取费表'!B33</f>
        <v>0.08</v>
      </c>
      <c r="G9" s="2263"/>
      <c r="H9" s="2278"/>
      <c r="I9" s="2275"/>
      <c r="J9" s="2390"/>
      <c r="K9" s="2391"/>
      <c r="L9" s="2284" t="s">
        <v>1006</v>
      </c>
      <c r="M9" s="2280">
        <f>'数据-取费表'!B39</f>
        <v>0</v>
      </c>
    </row>
    <row r="10" ht="18" customHeight="1" spans="1:13">
      <c r="A10" s="2269" t="s">
        <v>1007</v>
      </c>
      <c r="B10" s="2281" t="s">
        <v>1008</v>
      </c>
      <c r="C10" s="2282">
        <f ca="1">ROUND(IF(F10="押一",C6/12*F11,IF(F10="押二",C6/12*2*F11,IF(F10="押三",C6/12*3*F11,C11*F11))),0)</f>
        <v>57</v>
      </c>
      <c r="D10" s="2283" t="s">
        <v>1009</v>
      </c>
      <c r="E10" s="2284" t="s">
        <v>1010</v>
      </c>
      <c r="F10" s="2285" t="s">
        <v>1011</v>
      </c>
      <c r="G10" s="2263"/>
      <c r="H10" s="2269" t="s">
        <v>1007</v>
      </c>
      <c r="I10" s="2281" t="s">
        <v>1008</v>
      </c>
      <c r="J10" s="2282">
        <f ca="1">ROUND(IF(M10="押一",J6/12*M11,IF(M10="押二",J6/12*2*M11,IF(M10="押三",J6/12*3*M11,J11*M11))),0)</f>
        <v>0</v>
      </c>
      <c r="K10" s="2271" t="s">
        <v>1009</v>
      </c>
      <c r="L10" s="2284" t="s">
        <v>1010</v>
      </c>
      <c r="M10" s="2285"/>
    </row>
    <row r="11" s="2238" customFormat="1" ht="18" customHeight="1" spans="1:37">
      <c r="A11" s="2286"/>
      <c r="B11" s="2287" t="s">
        <v>1012</v>
      </c>
      <c r="C11" s="2288"/>
      <c r="D11" s="2277"/>
      <c r="E11" s="2284" t="s">
        <v>1013</v>
      </c>
      <c r="F11" s="2289">
        <f ca="1">'数据-取费表'!B31</f>
        <v>0.015</v>
      </c>
      <c r="G11" s="2290"/>
      <c r="H11" s="2291"/>
      <c r="I11" s="2287" t="s">
        <v>1014</v>
      </c>
      <c r="J11" s="2288"/>
      <c r="K11" s="2277"/>
      <c r="L11" s="2284" t="s">
        <v>1013</v>
      </c>
      <c r="M11" s="2289">
        <f ca="1">'数据-取费表'!B31</f>
        <v>0.015</v>
      </c>
      <c r="N11" s="2392"/>
      <c r="O11" s="2392"/>
      <c r="P11" s="2392"/>
      <c r="Q11" s="2478"/>
      <c r="R11" s="2392"/>
      <c r="S11" s="2392"/>
      <c r="T11" s="2392"/>
      <c r="U11" s="2392"/>
      <c r="V11" s="2392"/>
      <c r="W11" s="2392"/>
      <c r="X11" s="2392"/>
      <c r="Y11" s="2392"/>
      <c r="Z11" s="2392"/>
      <c r="AA11" s="2392"/>
      <c r="AB11" s="2392"/>
      <c r="AC11" s="2392"/>
      <c r="AD11" s="2392"/>
      <c r="AE11" s="2392"/>
      <c r="AF11" s="2392"/>
      <c r="AG11" s="2392"/>
      <c r="AH11" s="2392"/>
      <c r="AI11" s="2392"/>
      <c r="AJ11" s="2392"/>
      <c r="AK11" s="2392"/>
    </row>
    <row r="12" ht="18" customHeight="1" spans="1:13">
      <c r="A12" s="2292" t="s">
        <v>1015</v>
      </c>
      <c r="B12" s="2293" t="s">
        <v>1016</v>
      </c>
      <c r="C12" s="2294"/>
      <c r="D12" s="2295"/>
      <c r="E12" s="2296"/>
      <c r="F12" s="2297"/>
      <c r="G12" s="2263"/>
      <c r="H12" s="2292" t="s">
        <v>1015</v>
      </c>
      <c r="I12" s="2293" t="s">
        <v>1016</v>
      </c>
      <c r="J12" s="2294"/>
      <c r="K12" s="2374"/>
      <c r="L12" s="2296"/>
      <c r="M12" s="2393"/>
    </row>
    <row r="13" s="2238" customFormat="1" ht="18" customHeight="1" spans="1:37">
      <c r="A13" s="2298">
        <v>2</v>
      </c>
      <c r="B13" s="2299" t="s">
        <v>1017</v>
      </c>
      <c r="C13" s="2300">
        <f>ROUND(C29*F13,0)</f>
        <v>134808</v>
      </c>
      <c r="D13" s="2301" t="s">
        <v>1018</v>
      </c>
      <c r="E13" s="2301" t="s">
        <v>1019</v>
      </c>
      <c r="F13" s="2302">
        <f>'数据-取费表'!E20</f>
        <v>0.6</v>
      </c>
      <c r="G13" s="2290"/>
      <c r="H13" s="2298">
        <v>2</v>
      </c>
      <c r="I13" s="2299" t="s">
        <v>1017</v>
      </c>
      <c r="J13" s="2390">
        <f>ROUND(J14*J15,0)</f>
        <v>0</v>
      </c>
      <c r="K13" s="2322" t="s">
        <v>1018</v>
      </c>
      <c r="L13" s="2394"/>
      <c r="M13" s="2395"/>
      <c r="N13" s="2392"/>
      <c r="O13" s="2392"/>
      <c r="P13" s="2392"/>
      <c r="Q13" s="2478"/>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s="2238" customFormat="1" ht="18" customHeight="1" spans="1:37">
      <c r="A14" s="2303" t="s">
        <v>1020</v>
      </c>
      <c r="B14" s="2272" t="s">
        <v>1021</v>
      </c>
      <c r="C14" s="2304">
        <f>IF(D1="仅计算典型户型",'数据-取费表'!F18,'数据-取费表'!E18)</f>
        <v>147775</v>
      </c>
      <c r="D14" s="2305" t="s">
        <v>1022</v>
      </c>
      <c r="E14" s="2306"/>
      <c r="F14" s="2307"/>
      <c r="G14" s="2290"/>
      <c r="H14" s="2303" t="s">
        <v>999</v>
      </c>
      <c r="I14" s="2272" t="s">
        <v>1023</v>
      </c>
      <c r="J14" s="1763">
        <f>C29</f>
        <v>224680</v>
      </c>
      <c r="K14" s="2384"/>
      <c r="L14" s="2396"/>
      <c r="M14" s="2397"/>
      <c r="N14" s="2392"/>
      <c r="O14" s="2392"/>
      <c r="P14" s="2392"/>
      <c r="Q14" s="2478"/>
      <c r="R14" s="2392"/>
      <c r="S14" s="2392"/>
      <c r="T14" s="2392"/>
      <c r="U14" s="2392"/>
      <c r="V14" s="2392"/>
      <c r="W14" s="2392"/>
      <c r="X14" s="2392"/>
      <c r="Y14" s="2392"/>
      <c r="Z14" s="2392"/>
      <c r="AA14" s="2392"/>
      <c r="AB14" s="2392"/>
      <c r="AC14" s="2392"/>
      <c r="AD14" s="2392"/>
      <c r="AE14" s="2392"/>
      <c r="AF14" s="2392"/>
      <c r="AG14" s="2392"/>
      <c r="AH14" s="2392"/>
      <c r="AI14" s="2392"/>
      <c r="AJ14" s="2392"/>
      <c r="AK14" s="2392"/>
    </row>
    <row r="15" ht="18" customHeight="1" spans="1:13">
      <c r="A15" s="2303" t="s">
        <v>1024</v>
      </c>
      <c r="B15" s="2272" t="s">
        <v>1025</v>
      </c>
      <c r="C15" s="1763">
        <f>ROUND(C14*F15,0)</f>
        <v>4433</v>
      </c>
      <c r="D15" s="2308" t="s">
        <v>1026</v>
      </c>
      <c r="E15" s="2308" t="s">
        <v>1027</v>
      </c>
      <c r="F15" s="2309">
        <f>'数据-取费表'!E21</f>
        <v>0.03</v>
      </c>
      <c r="G15" s="2263"/>
      <c r="H15" s="2310" t="s">
        <v>1007</v>
      </c>
      <c r="I15" s="2296" t="s">
        <v>1019</v>
      </c>
      <c r="J15" s="2398">
        <f>'数据-取费表'!B40</f>
        <v>0</v>
      </c>
      <c r="K15" s="2399"/>
      <c r="L15" s="2400"/>
      <c r="M15" s="2401"/>
    </row>
    <row r="16" s="2238" customFormat="1" ht="18" customHeight="1" spans="1:37">
      <c r="A16" s="2303" t="s">
        <v>1028</v>
      </c>
      <c r="B16" s="2272" t="s">
        <v>1029</v>
      </c>
      <c r="C16" s="1763">
        <f>ROUND(C14*F16,0)</f>
        <v>7389</v>
      </c>
      <c r="D16" s="2272" t="s">
        <v>1026</v>
      </c>
      <c r="E16" s="2272" t="s">
        <v>1027</v>
      </c>
      <c r="F16" s="2311">
        <f>IF('数据-取费表'!B10="住宅",'数据-取费表'!E22,0)</f>
        <v>0.05</v>
      </c>
      <c r="G16" s="2290"/>
      <c r="H16" s="2298" t="s">
        <v>741</v>
      </c>
      <c r="I16" s="2299" t="s">
        <v>1030</v>
      </c>
      <c r="J16" s="2300">
        <f ca="1">ROUND(J17+J22+J23+J24,0)</f>
        <v>3370</v>
      </c>
      <c r="K16" s="2322" t="s">
        <v>1031</v>
      </c>
      <c r="L16" s="2323"/>
      <c r="M16" s="2324"/>
      <c r="N16" s="2392"/>
      <c r="O16" s="2392"/>
      <c r="P16" s="2392"/>
      <c r="Q16" s="2478"/>
      <c r="R16" s="2392"/>
      <c r="S16" s="2392"/>
      <c r="T16" s="2392"/>
      <c r="U16" s="2392"/>
      <c r="V16" s="2392"/>
      <c r="W16" s="2392"/>
      <c r="X16" s="2392"/>
      <c r="Y16" s="2392"/>
      <c r="Z16" s="2392"/>
      <c r="AA16" s="2392"/>
      <c r="AB16" s="2392"/>
      <c r="AC16" s="2392"/>
      <c r="AD16" s="2392"/>
      <c r="AE16" s="2392"/>
      <c r="AF16" s="2392"/>
      <c r="AG16" s="2392"/>
      <c r="AH16" s="2392"/>
      <c r="AI16" s="2392"/>
      <c r="AJ16" s="2392"/>
      <c r="AK16" s="2392"/>
    </row>
    <row r="17" s="2238" customFormat="1" ht="18" customHeight="1" spans="1:37">
      <c r="A17" s="2303" t="s">
        <v>1032</v>
      </c>
      <c r="B17" s="2272" t="s">
        <v>1033</v>
      </c>
      <c r="C17" s="1763">
        <f>ROUND(F17*IF(D1="仅计算典型户型",'数据-取费表'!E5,'数据-取费表'!B5),0)</f>
        <v>11822</v>
      </c>
      <c r="D17" s="2272" t="s">
        <v>1034</v>
      </c>
      <c r="E17" s="2272" t="s">
        <v>1035</v>
      </c>
      <c r="F17" s="2312">
        <f>'数据-取费表'!E23</f>
        <v>200</v>
      </c>
      <c r="G17" s="2290"/>
      <c r="H17" s="2303" t="s">
        <v>999</v>
      </c>
      <c r="I17" s="2272" t="s">
        <v>1036</v>
      </c>
      <c r="J17" s="2326">
        <f>ROUND(IF(AND(项目基本情况!B7="自然人",项目基本情况!B6="北京市"),J6*M17/(1+'数据-取费表'!F30),J18+J19+J20),0)</f>
        <v>0</v>
      </c>
      <c r="K17" s="2305" t="s">
        <v>1037</v>
      </c>
      <c r="L17" s="2327" t="s">
        <v>1038</v>
      </c>
      <c r="M17" s="2328">
        <f>IF(项目基本情况!B7="企业","——",IF('数据-取费表'!B10="住宅",IF(M6*M7*M8/12/(1+'数据-取费表'!F30)&gt;100000,4%,2.5%),IF(M6*M7*M8/12/(1+'数据-取费表'!F30)&gt;100000,12%,7%)))</f>
        <v>0.025</v>
      </c>
      <c r="N17" s="2392"/>
      <c r="O17" s="2392"/>
      <c r="P17" s="2392"/>
      <c r="Q17" s="2478"/>
      <c r="R17" s="2392"/>
      <c r="S17" s="2392"/>
      <c r="T17" s="2392"/>
      <c r="U17" s="2392"/>
      <c r="V17" s="2392"/>
      <c r="W17" s="2392"/>
      <c r="X17" s="2392"/>
      <c r="Y17" s="2392"/>
      <c r="Z17" s="2392"/>
      <c r="AA17" s="2392"/>
      <c r="AB17" s="2392"/>
      <c r="AC17" s="2392"/>
      <c r="AD17" s="2392"/>
      <c r="AE17" s="2392"/>
      <c r="AF17" s="2392"/>
      <c r="AG17" s="2392"/>
      <c r="AH17" s="2392"/>
      <c r="AI17" s="2392"/>
      <c r="AJ17" s="2392"/>
      <c r="AK17" s="2392"/>
    </row>
    <row r="18" ht="18" customHeight="1" spans="1:13">
      <c r="A18" s="2303" t="s">
        <v>1039</v>
      </c>
      <c r="B18" s="2272" t="s">
        <v>1040</v>
      </c>
      <c r="C18" s="1763">
        <f>ROUND(C14*F18,0)</f>
        <v>2217</v>
      </c>
      <c r="D18" s="2272" t="s">
        <v>1026</v>
      </c>
      <c r="E18" s="2272" t="s">
        <v>1027</v>
      </c>
      <c r="F18" s="2311">
        <f>'数据-取费表'!E24</f>
        <v>0.015</v>
      </c>
      <c r="G18" s="2263"/>
      <c r="H18" s="2303" t="s">
        <v>1020</v>
      </c>
      <c r="I18" s="2272" t="s">
        <v>1041</v>
      </c>
      <c r="J18" s="1763" t="str">
        <f>IF(项目基本情况!B7="自然人","——",ROUND(J6*M18/(1+'数据-取费表'!F30),0))</f>
        <v>——</v>
      </c>
      <c r="K18" s="2327" t="s">
        <v>1042</v>
      </c>
      <c r="L18" s="2272" t="s">
        <v>1027</v>
      </c>
      <c r="M18" s="2311">
        <f>'数据-取费表'!E29</f>
        <v>0.056</v>
      </c>
    </row>
    <row r="19" s="2238" customFormat="1" ht="18" customHeight="1" spans="1:37">
      <c r="A19" s="2303" t="s">
        <v>999</v>
      </c>
      <c r="B19" s="2272" t="s">
        <v>1043</v>
      </c>
      <c r="C19" s="1763">
        <f>SUM(C14:C18)</f>
        <v>173636</v>
      </c>
      <c r="D19" s="2313" t="s">
        <v>1044</v>
      </c>
      <c r="E19" s="1765"/>
      <c r="F19" s="2312"/>
      <c r="G19" s="2290"/>
      <c r="H19" s="2303" t="s">
        <v>1024</v>
      </c>
      <c r="I19" s="2272" t="s">
        <v>1045</v>
      </c>
      <c r="J19" s="1763" t="str">
        <f>IF(项目基本情况!B7="自然人","——",IF(K19="按租金收入计税",ROUND(J6*M19/(1+'数据-取费表'!F30),0),ROUND(C29*M19*0.7,0)))</f>
        <v>——</v>
      </c>
      <c r="K19" s="2330"/>
      <c r="L19" s="2272" t="s">
        <v>1027</v>
      </c>
      <c r="M19" s="2311">
        <f>IF(K19="按租金收入计税",'数据-取费表'!E39,'数据-取费表'!E38)</f>
        <v>0.012</v>
      </c>
      <c r="N19" s="2392"/>
      <c r="O19" s="2392"/>
      <c r="P19" s="2392"/>
      <c r="Q19" s="2478"/>
      <c r="R19" s="2392"/>
      <c r="S19" s="2392"/>
      <c r="T19" s="2392"/>
      <c r="U19" s="2392"/>
      <c r="V19" s="2392"/>
      <c r="W19" s="2392"/>
      <c r="X19" s="2392"/>
      <c r="Y19" s="2392"/>
      <c r="Z19" s="2392"/>
      <c r="AA19" s="2392"/>
      <c r="AB19" s="2392"/>
      <c r="AC19" s="2392"/>
      <c r="AD19" s="2392"/>
      <c r="AE19" s="2392"/>
      <c r="AF19" s="2392"/>
      <c r="AG19" s="2392"/>
      <c r="AH19" s="2392"/>
      <c r="AI19" s="2392"/>
      <c r="AJ19" s="2392"/>
      <c r="AK19" s="2392"/>
    </row>
    <row r="20" s="2238" customFormat="1" ht="18" customHeight="1" spans="1:37">
      <c r="A20" s="2303" t="s">
        <v>1007</v>
      </c>
      <c r="B20" s="2272" t="s">
        <v>1046</v>
      </c>
      <c r="C20" s="1763">
        <f>ROUND(C19*F20,0)</f>
        <v>1736</v>
      </c>
      <c r="D20" s="2314" t="s">
        <v>1047</v>
      </c>
      <c r="E20" s="2272" t="s">
        <v>1027</v>
      </c>
      <c r="F20" s="2311">
        <f>'数据-取费表'!E25</f>
        <v>0.01</v>
      </c>
      <c r="G20" s="2290"/>
      <c r="H20" s="2303" t="s">
        <v>1028</v>
      </c>
      <c r="I20" s="2271" t="s">
        <v>1048</v>
      </c>
      <c r="J20" s="2332" t="str">
        <f>IF(项目基本情况!B7="自然人","——",ROUND(M20*M21,0))</f>
        <v>——</v>
      </c>
      <c r="K20" s="2333" t="s">
        <v>1049</v>
      </c>
      <c r="L20" s="2272" t="s">
        <v>1050</v>
      </c>
      <c r="M20" s="2316">
        <f>'数据-取费表'!E40</f>
        <v>0</v>
      </c>
      <c r="N20" s="2392"/>
      <c r="O20" s="2392"/>
      <c r="P20" s="2392"/>
      <c r="Q20" s="2478"/>
      <c r="R20" s="2392"/>
      <c r="S20" s="2392"/>
      <c r="T20" s="2392"/>
      <c r="U20" s="2392"/>
      <c r="V20" s="2392"/>
      <c r="W20" s="2392"/>
      <c r="X20" s="2392"/>
      <c r="Y20" s="2392"/>
      <c r="Z20" s="2392"/>
      <c r="AA20" s="2392"/>
      <c r="AB20" s="2392"/>
      <c r="AC20" s="2392"/>
      <c r="AD20" s="2392"/>
      <c r="AE20" s="2392"/>
      <c r="AF20" s="2392"/>
      <c r="AG20" s="2392"/>
      <c r="AH20" s="2392"/>
      <c r="AI20" s="2392"/>
      <c r="AJ20" s="2392"/>
      <c r="AK20" s="2392"/>
    </row>
    <row r="21" ht="18" customHeight="1" spans="1:13">
      <c r="A21" s="2303" t="s">
        <v>1015</v>
      </c>
      <c r="B21" s="2272" t="s">
        <v>1051</v>
      </c>
      <c r="C21" s="1834">
        <f>F21</f>
        <v>0.01</v>
      </c>
      <c r="D21" s="2314" t="s">
        <v>1052</v>
      </c>
      <c r="E21" s="2272" t="s">
        <v>1053</v>
      </c>
      <c r="F21" s="2311">
        <f>'数据-取费表'!E26</f>
        <v>0.01</v>
      </c>
      <c r="G21" s="2263"/>
      <c r="H21" s="2286"/>
      <c r="I21" s="2279"/>
      <c r="J21" s="1835"/>
      <c r="K21" s="447"/>
      <c r="L21" s="2272" t="s">
        <v>1054</v>
      </c>
      <c r="M21" s="2273">
        <f>IF(D1="仅计算典型户型",'数据-取费表'!E6,'数据-取费表'!B6)</f>
        <v>0</v>
      </c>
    </row>
    <row r="22" ht="18" customHeight="1" spans="1:13">
      <c r="A22" s="2303" t="s">
        <v>1055</v>
      </c>
      <c r="B22" s="2272" t="s">
        <v>1056</v>
      </c>
      <c r="C22" s="1763"/>
      <c r="D22" s="2313" t="str">
        <f>IF(F23&lt;=1,"单利计息。","复利计息。")&amp;"建造成本、管理费用、销售费用产生的利息。"</f>
        <v>复利计息。建造成本、管理费用、销售费用产生的利息。</v>
      </c>
      <c r="E22" s="1765"/>
      <c r="F22" s="2312"/>
      <c r="G22" s="2263"/>
      <c r="H22" s="2303" t="s">
        <v>1007</v>
      </c>
      <c r="I22" s="2272" t="s">
        <v>1057</v>
      </c>
      <c r="J22" s="1763">
        <f>ROUND(J14*M22,0)</f>
        <v>3370</v>
      </c>
      <c r="K22" s="2327" t="s">
        <v>1058</v>
      </c>
      <c r="L22" s="2272" t="s">
        <v>1027</v>
      </c>
      <c r="M22" s="2336">
        <f>'数据-取费表'!B45</f>
        <v>0.015</v>
      </c>
    </row>
    <row r="23" ht="18" customHeight="1" spans="1:13">
      <c r="A23" s="2303" t="s">
        <v>1020</v>
      </c>
      <c r="B23" s="2272" t="s">
        <v>1059</v>
      </c>
      <c r="C23" s="1763">
        <f>IF('数据-取费表'!B24&lt;=1,ROUND(C19*F24*F23/2,0)+ROUND(C20*F24*F23/2,0),ROUND(C19*(POWER((1+F24),F23/2)-1),0)+ROUND(C20*(POWER((1+F24),F23/2)-1),0))</f>
        <v>8330</v>
      </c>
      <c r="D23" s="2315" t="str">
        <f>IF(F23&lt;=1,"(建造成本+管理费用)×利率×(建设周期÷2)","(建造成本+管理费用)×((1+利率)^(建设周期÷2)-1)")</f>
        <v>(建造成本+管理费用)×((1+利率)^(建设周期÷2)-1)</v>
      </c>
      <c r="E23" s="2272" t="s">
        <v>1060</v>
      </c>
      <c r="F23" s="2316">
        <f>'数据-取费表'!B22</f>
        <v>2</v>
      </c>
      <c r="G23" s="2263"/>
      <c r="H23" s="2303" t="s">
        <v>1015</v>
      </c>
      <c r="I23" s="2272" t="s">
        <v>1061</v>
      </c>
      <c r="J23" s="1763">
        <f>ROUND(J13*M23,0)</f>
        <v>0</v>
      </c>
      <c r="K23" s="2327" t="s">
        <v>1062</v>
      </c>
      <c r="L23" s="2272" t="s">
        <v>1027</v>
      </c>
      <c r="M23" s="2337">
        <f>'数据-取费表'!B46</f>
        <v>0.0015</v>
      </c>
    </row>
    <row r="24" s="2238" customFormat="1" ht="18" customHeight="1" spans="1:37">
      <c r="A24" s="2303" t="s">
        <v>1024</v>
      </c>
      <c r="B24" s="2272" t="s">
        <v>1063</v>
      </c>
      <c r="C24" s="1763">
        <f>ROUND(IF('数据-取费表'!B24&lt;=1,F21*F24*F23/2,F21*(POWER((1+F24),F23/2)-1)),4)</f>
        <v>0.0005</v>
      </c>
      <c r="D24" s="2315" t="str">
        <f>IF(F23&lt;=1,"销售费用×利率×(建设周期÷2)","销售费用×((1+利率)^(建设周期÷2)-1)")</f>
        <v>销售费用×((1+利率)^(建设周期÷2)-1)</v>
      </c>
      <c r="E24" s="2272" t="s">
        <v>1064</v>
      </c>
      <c r="F24" s="2317">
        <f>'数据-取费表'!E27</f>
        <v>0.0475</v>
      </c>
      <c r="G24" s="2290"/>
      <c r="H24" s="2310" t="s">
        <v>1055</v>
      </c>
      <c r="I24" s="2296" t="s">
        <v>1046</v>
      </c>
      <c r="J24" s="2318">
        <f ca="1">ROUND(J5*M24,0)</f>
        <v>0</v>
      </c>
      <c r="K24" s="2319" t="s">
        <v>1065</v>
      </c>
      <c r="L24" s="2296" t="s">
        <v>1027</v>
      </c>
      <c r="M24" s="2297">
        <f>'数据-取费表'!B47</f>
        <v>0.01</v>
      </c>
      <c r="N24" s="2392"/>
      <c r="O24" s="2392"/>
      <c r="P24" s="2392"/>
      <c r="Q24" s="2478"/>
      <c r="R24" s="2392"/>
      <c r="S24" s="2392"/>
      <c r="T24" s="2392"/>
      <c r="U24" s="2392"/>
      <c r="V24" s="2392"/>
      <c r="W24" s="2392"/>
      <c r="X24" s="2392"/>
      <c r="Y24" s="2392"/>
      <c r="Z24" s="2392"/>
      <c r="AA24" s="2392"/>
      <c r="AB24" s="2392"/>
      <c r="AC24" s="2392"/>
      <c r="AD24" s="2392"/>
      <c r="AE24" s="2392"/>
      <c r="AF24" s="2392"/>
      <c r="AG24" s="2392"/>
      <c r="AH24" s="2392"/>
      <c r="AI24" s="2392"/>
      <c r="AJ24" s="2392"/>
      <c r="AK24" s="2392"/>
    </row>
    <row r="25" s="2238" customFormat="1" ht="18" customHeight="1" spans="1:37">
      <c r="A25" s="2303" t="s">
        <v>1066</v>
      </c>
      <c r="B25" s="2272" t="s">
        <v>1067</v>
      </c>
      <c r="C25" s="1763"/>
      <c r="D25" s="2313" t="s">
        <v>1068</v>
      </c>
      <c r="E25" s="1765"/>
      <c r="F25" s="2312"/>
      <c r="G25" s="2290"/>
      <c r="H25" s="2298" t="s">
        <v>744</v>
      </c>
      <c r="I25" s="2338" t="s">
        <v>1069</v>
      </c>
      <c r="J25" s="2300">
        <f ca="1">J5-J16</f>
        <v>-3370</v>
      </c>
      <c r="K25" s="2339" t="s">
        <v>1070</v>
      </c>
      <c r="L25" s="2340"/>
      <c r="M25" s="2341"/>
      <c r="N25" s="2392"/>
      <c r="O25" s="2392"/>
      <c r="P25" s="2392"/>
      <c r="Q25" s="2478"/>
      <c r="R25" s="2392"/>
      <c r="S25" s="2392"/>
      <c r="T25" s="2392"/>
      <c r="U25" s="2392"/>
      <c r="V25" s="2392"/>
      <c r="W25" s="2392"/>
      <c r="X25" s="2392"/>
      <c r="Y25" s="2392"/>
      <c r="Z25" s="2392"/>
      <c r="AA25" s="2392"/>
      <c r="AB25" s="2392"/>
      <c r="AC25" s="2392"/>
      <c r="AD25" s="2392"/>
      <c r="AE25" s="2392"/>
      <c r="AF25" s="2392"/>
      <c r="AG25" s="2392"/>
      <c r="AH25" s="2392"/>
      <c r="AI25" s="2392"/>
      <c r="AJ25" s="2392"/>
      <c r="AK25" s="2392"/>
    </row>
    <row r="26" ht="18" customHeight="1" spans="1:13">
      <c r="A26" s="2303" t="s">
        <v>1020</v>
      </c>
      <c r="B26" s="2272" t="s">
        <v>1071</v>
      </c>
      <c r="C26" s="1763">
        <f>ROUND((C19+C20)*F26,0)</f>
        <v>26306</v>
      </c>
      <c r="D26" s="2314" t="s">
        <v>1072</v>
      </c>
      <c r="E26" s="2284" t="s">
        <v>1073</v>
      </c>
      <c r="F26" s="2280">
        <f>'数据-取费表'!E28</f>
        <v>0.15</v>
      </c>
      <c r="G26" s="2239"/>
      <c r="H26" s="2264" t="s">
        <v>770</v>
      </c>
      <c r="I26" s="2265" t="s">
        <v>1074</v>
      </c>
      <c r="J26" s="2266">
        <f ca="1">IF(J5&lt;&gt;0,ROUND(J25*(1-((1+M28)/(1+M26))^M27)/(M26-M28),0),0)</f>
        <v>0</v>
      </c>
      <c r="K26" s="2333" t="s">
        <v>1075</v>
      </c>
      <c r="L26" s="2272" t="s">
        <v>1076</v>
      </c>
      <c r="M26" s="2280">
        <f>'数据-取费表'!B16</f>
        <v>0.04</v>
      </c>
    </row>
    <row r="27" ht="18" customHeight="1" spans="1:13">
      <c r="A27" s="2303" t="s">
        <v>1024</v>
      </c>
      <c r="B27" s="2272" t="s">
        <v>1077</v>
      </c>
      <c r="C27" s="1763">
        <f>ROUND(F21*F26,4)</f>
        <v>0.0015</v>
      </c>
      <c r="D27" s="2314" t="s">
        <v>1078</v>
      </c>
      <c r="E27" s="2308"/>
      <c r="F27" s="2309"/>
      <c r="G27" s="2239"/>
      <c r="H27" s="2278"/>
      <c r="I27" s="2275"/>
      <c r="J27" s="2276"/>
      <c r="K27" s="2343" t="s">
        <v>1079</v>
      </c>
      <c r="L27" s="2272" t="s">
        <v>1080</v>
      </c>
      <c r="M27" s="2402" t="str">
        <f>'数据-取费表'!B41</f>
        <v>——</v>
      </c>
    </row>
    <row r="28" ht="18" customHeight="1" spans="1:13">
      <c r="A28" s="2303" t="s">
        <v>1081</v>
      </c>
      <c r="B28" s="2272" t="s">
        <v>1082</v>
      </c>
      <c r="C28" s="1763">
        <f>ROUND(F28/(1+'数据-取费表'!F30),4)</f>
        <v>0.0533</v>
      </c>
      <c r="D28" s="2314" t="s">
        <v>1083</v>
      </c>
      <c r="E28" s="2272" t="s">
        <v>1027</v>
      </c>
      <c r="F28" s="2311">
        <f>'数据-取费表'!E29</f>
        <v>0.056</v>
      </c>
      <c r="G28" s="2239"/>
      <c r="H28" s="2291"/>
      <c r="I28" s="2347"/>
      <c r="J28" s="2300"/>
      <c r="K28" s="447"/>
      <c r="L28" s="2272" t="s">
        <v>1084</v>
      </c>
      <c r="M28" s="2280">
        <f>'数据-取费表'!B38</f>
        <v>0</v>
      </c>
    </row>
    <row r="29" ht="18" customHeight="1" spans="1:13">
      <c r="A29" s="2310" t="s">
        <v>1085</v>
      </c>
      <c r="B29" s="2296" t="s">
        <v>1086</v>
      </c>
      <c r="C29" s="2318">
        <f>ROUND((C19+C20+C23+C26)/(1-F21-C24-C27-C28),0)</f>
        <v>224680</v>
      </c>
      <c r="D29" s="2319"/>
      <c r="E29" s="2296"/>
      <c r="F29" s="2320"/>
      <c r="G29" s="2239"/>
      <c r="H29" s="2321" t="s">
        <v>1087</v>
      </c>
      <c r="I29" s="2348" t="s">
        <v>1088</v>
      </c>
      <c r="J29" s="2349">
        <f ca="1">ROUND(J26/(1+F40)^F41,0)</f>
        <v>0</v>
      </c>
      <c r="K29" s="2350" t="s">
        <v>1089</v>
      </c>
      <c r="L29" s="2351"/>
      <c r="M29" s="2352">
        <f>IF(D1="仅计算典型户型",'数据-取费表'!E5,'数据-取费表'!B5)</f>
        <v>59.11</v>
      </c>
    </row>
    <row r="30" ht="18" customHeight="1" spans="1:13">
      <c r="A30" s="2298" t="s">
        <v>741</v>
      </c>
      <c r="B30" s="2299" t="s">
        <v>1030</v>
      </c>
      <c r="C30" s="2300">
        <f ca="1">ROUND(C31+C36+C37+C38,0)</f>
        <v>5117</v>
      </c>
      <c r="D30" s="2322" t="s">
        <v>1031</v>
      </c>
      <c r="E30" s="2323"/>
      <c r="F30" s="2324"/>
      <c r="G30" s="2239"/>
      <c r="H30" s="2325"/>
      <c r="I30" s="2403"/>
      <c r="J30" s="2404"/>
      <c r="K30" s="2405"/>
      <c r="L30" s="2406"/>
      <c r="M30" s="2407"/>
    </row>
    <row r="31" ht="18" customHeight="1" spans="1:13">
      <c r="A31" s="2303" t="s">
        <v>999</v>
      </c>
      <c r="B31" s="2272" t="s">
        <v>1036</v>
      </c>
      <c r="C31" s="2326">
        <f>ROUND(IF(AND(项目基本情况!B7="自然人",项目基本情况!B6="北京市"),C6*F31/(1+'数据-取费表'!F30),C32+C33+C34),0)</f>
        <v>1088</v>
      </c>
      <c r="D31" s="2305" t="s">
        <v>1037</v>
      </c>
      <c r="E31" s="2327" t="s">
        <v>1038</v>
      </c>
      <c r="F31" s="2328">
        <f>IF(项目基本情况!B7="企业","——",IF('数据-取费表'!B10="住宅",IF(F6*F7*F8/12/(1+'数据-取费表'!F30)&gt;100000,4%,2.5%),IF(F6*F7*F8/12/(1+'数据-取费表'!F30)&gt;100000,12%,7%)))</f>
        <v>0.025</v>
      </c>
      <c r="G31" s="2239"/>
      <c r="H31" s="2325"/>
      <c r="I31" s="2403"/>
      <c r="J31" s="2404"/>
      <c r="K31" s="2405"/>
      <c r="L31" s="2406"/>
      <c r="M31" s="2407"/>
    </row>
    <row r="32" ht="18" customHeight="1" spans="1:13">
      <c r="A32" s="2303" t="s">
        <v>1020</v>
      </c>
      <c r="B32" s="2272" t="s">
        <v>1041</v>
      </c>
      <c r="C32" s="1763" t="str">
        <f>IF(项目基本情况!B7="自然人","——",ROUND(C6*F32/(1+'数据-取费表'!F30),0))</f>
        <v>——</v>
      </c>
      <c r="D32" s="2327" t="s">
        <v>1042</v>
      </c>
      <c r="E32" s="2272" t="s">
        <v>1027</v>
      </c>
      <c r="F32" s="2317">
        <f>'数据-取费表'!E29</f>
        <v>0.056</v>
      </c>
      <c r="G32" s="2239"/>
      <c r="H32" s="2329"/>
      <c r="I32" s="2408"/>
      <c r="J32" s="2409"/>
      <c r="K32" s="2410"/>
      <c r="L32" s="2411"/>
      <c r="M32" s="2412"/>
    </row>
    <row r="33" ht="18" customHeight="1" spans="1:13">
      <c r="A33" s="2303" t="s">
        <v>1024</v>
      </c>
      <c r="B33" s="2272" t="s">
        <v>1045</v>
      </c>
      <c r="C33" s="1763" t="str">
        <f>IF(项目基本情况!B7="自然人","——",IF(D33="按租金收入计税",ROUND(C6*F33/(1+'数据-取费表'!F30),0),IF(D33="按房产原值计税",ROUND(C29*F33*0.7,0),'数据-取费表'!B44)))</f>
        <v>——</v>
      </c>
      <c r="D33" s="2330" t="s">
        <v>1090</v>
      </c>
      <c r="E33" s="2272" t="s">
        <v>1027</v>
      </c>
      <c r="F33" s="2311">
        <f>IF(D33="按票据","——",IF(D33="按租金收入计税",'数据-取费表'!E39,'数据-取费表'!E38))</f>
        <v>0.12</v>
      </c>
      <c r="G33" s="2239"/>
      <c r="H33" s="2331"/>
      <c r="I33" s="2413" t="s">
        <v>1091</v>
      </c>
      <c r="J33" s="2414"/>
      <c r="K33" s="2415"/>
      <c r="L33" s="2331"/>
      <c r="M33" s="2331"/>
    </row>
    <row r="34" ht="18" customHeight="1" spans="1:13">
      <c r="A34" s="2269" t="s">
        <v>1028</v>
      </c>
      <c r="B34" s="2271" t="s">
        <v>1048</v>
      </c>
      <c r="C34" s="2332" t="str">
        <f>IF(项目基本情况!B7="自然人","——",ROUND(F34*F35,0))</f>
        <v>——</v>
      </c>
      <c r="D34" s="2333" t="s">
        <v>1049</v>
      </c>
      <c r="E34" s="2272" t="s">
        <v>1050</v>
      </c>
      <c r="F34" s="2316">
        <f>'数据-取费表'!E40</f>
        <v>0</v>
      </c>
      <c r="G34" s="2239"/>
      <c r="H34" s="2325"/>
      <c r="I34" s="1221" t="s">
        <v>1092</v>
      </c>
      <c r="J34" s="2416">
        <f>ROUND(C13*J35,0)</f>
        <v>10111</v>
      </c>
      <c r="K34" s="2417"/>
      <c r="L34" s="2418"/>
      <c r="M34" s="2418"/>
    </row>
    <row r="35" ht="24.6" customHeight="1" spans="1:13">
      <c r="A35" s="2334"/>
      <c r="B35" s="2279"/>
      <c r="C35" s="1835"/>
      <c r="D35" s="447"/>
      <c r="E35" s="2272" t="s">
        <v>1054</v>
      </c>
      <c r="F35" s="2273">
        <f>IF(D1="仅计算典型户型",'数据-取费表'!E6,'数据-取费表'!B6)</f>
        <v>0</v>
      </c>
      <c r="G35" s="2239" t="s">
        <v>1093</v>
      </c>
      <c r="H35" s="2325"/>
      <c r="I35" s="2419" t="s">
        <v>1094</v>
      </c>
      <c r="J35" s="2420">
        <f>'数据-取费表'!B18</f>
        <v>0.075</v>
      </c>
      <c r="K35" s="2415"/>
      <c r="L35" s="2331"/>
      <c r="M35" s="2331"/>
    </row>
    <row r="36" ht="18" customHeight="1" spans="1:13">
      <c r="A36" s="2335" t="s">
        <v>1007</v>
      </c>
      <c r="B36" s="2272" t="s">
        <v>1057</v>
      </c>
      <c r="C36" s="1763">
        <f>ROUND(C29*F36,0)</f>
        <v>3370</v>
      </c>
      <c r="D36" s="2327" t="s">
        <v>1095</v>
      </c>
      <c r="E36" s="2272" t="s">
        <v>1027</v>
      </c>
      <c r="F36" s="2336">
        <f>'数据-取费表'!B45</f>
        <v>0.015</v>
      </c>
      <c r="G36" s="2239"/>
      <c r="H36" s="2331"/>
      <c r="I36" s="2421" t="s">
        <v>1096</v>
      </c>
      <c r="J36" s="2422"/>
      <c r="K36" s="2423"/>
      <c r="L36" s="2331"/>
      <c r="M36" s="2331"/>
    </row>
    <row r="37" ht="18" customHeight="1" spans="1:13">
      <c r="A37" s="2303" t="s">
        <v>1015</v>
      </c>
      <c r="B37" s="2272" t="s">
        <v>1061</v>
      </c>
      <c r="C37" s="1763">
        <f>ROUND(C13*F37,0)</f>
        <v>202</v>
      </c>
      <c r="D37" s="2327" t="s">
        <v>1062</v>
      </c>
      <c r="E37" s="2272" t="s">
        <v>1027</v>
      </c>
      <c r="F37" s="2337">
        <f>'数据-取费表'!B46</f>
        <v>0.0015</v>
      </c>
      <c r="G37" s="2239"/>
      <c r="H37" s="2331"/>
      <c r="I37" s="2224" t="s">
        <v>1097</v>
      </c>
      <c r="J37" s="2424"/>
      <c r="K37" s="2423"/>
      <c r="L37" s="2331"/>
      <c r="M37" s="2331"/>
    </row>
    <row r="38" ht="18" customHeight="1" spans="1:13">
      <c r="A38" s="2310" t="s">
        <v>1055</v>
      </c>
      <c r="B38" s="2296" t="s">
        <v>1046</v>
      </c>
      <c r="C38" s="2318">
        <f ca="1">ROUND(C5*F38,0)</f>
        <v>457</v>
      </c>
      <c r="D38" s="2319" t="s">
        <v>1065</v>
      </c>
      <c r="E38" s="2296" t="s">
        <v>1027</v>
      </c>
      <c r="F38" s="2297">
        <f>'数据-取费表'!B47</f>
        <v>0.01</v>
      </c>
      <c r="G38" s="2239"/>
      <c r="H38" s="2331"/>
      <c r="I38" s="1221" t="s">
        <v>1098</v>
      </c>
      <c r="J38" s="2227">
        <f ca="1">ROUND(J34/C39,3)</f>
        <v>0.249</v>
      </c>
      <c r="K38" s="2425"/>
      <c r="L38" s="2331"/>
      <c r="M38" s="2331"/>
    </row>
    <row r="39" ht="18" customHeight="1" spans="1:13">
      <c r="A39" s="2298" t="s">
        <v>744</v>
      </c>
      <c r="B39" s="2338" t="s">
        <v>1069</v>
      </c>
      <c r="C39" s="2300">
        <f ca="1">C5-C30</f>
        <v>40620</v>
      </c>
      <c r="D39" s="2339" t="s">
        <v>1070</v>
      </c>
      <c r="E39" s="2340"/>
      <c r="F39" s="2341"/>
      <c r="G39" s="2239"/>
      <c r="H39" s="2331"/>
      <c r="I39" s="1221" t="s">
        <v>1099</v>
      </c>
      <c r="J39" s="2227">
        <f ca="1">1-J38</f>
        <v>0.751</v>
      </c>
      <c r="K39" s="2425"/>
      <c r="L39" s="2331"/>
      <c r="M39" s="2331"/>
    </row>
    <row r="40" s="2239" customFormat="1" ht="18" customHeight="1" spans="1:17">
      <c r="A40" s="2264" t="s">
        <v>770</v>
      </c>
      <c r="B40" s="2265" t="s">
        <v>1100</v>
      </c>
      <c r="C40" s="2266">
        <f ca="1">ROUND(C39*(1-((1+F42)/(1+F40))^F41)/(F40-F42),0)</f>
        <v>1996563</v>
      </c>
      <c r="D40" s="2333" t="s">
        <v>1075</v>
      </c>
      <c r="E40" s="2272" t="s">
        <v>1076</v>
      </c>
      <c r="F40" s="2280">
        <f>'数据-取费表'!B16</f>
        <v>0.04</v>
      </c>
      <c r="H40" s="2342"/>
      <c r="I40" s="2224" t="s">
        <v>1101</v>
      </c>
      <c r="J40" s="2225"/>
      <c r="K40" s="2425"/>
      <c r="L40" s="2342"/>
      <c r="M40" s="2342"/>
      <c r="Q40" s="2242"/>
    </row>
    <row r="41" s="2239" customFormat="1" ht="18" customHeight="1" spans="1:17">
      <c r="A41" s="2278"/>
      <c r="B41" s="2275"/>
      <c r="C41" s="2276"/>
      <c r="D41" s="2343" t="s">
        <v>1079</v>
      </c>
      <c r="E41" s="2344" t="s">
        <v>1102</v>
      </c>
      <c r="F41" s="2345">
        <v>70</v>
      </c>
      <c r="H41" s="2346"/>
      <c r="I41" s="2226" t="s">
        <v>1103</v>
      </c>
      <c r="J41" s="2227">
        <f ca="1">ROUND(C13/C40,3)</f>
        <v>0.068</v>
      </c>
      <c r="K41" s="2423"/>
      <c r="L41" s="2346"/>
      <c r="M41" s="2346"/>
      <c r="Q41" s="2242"/>
    </row>
    <row r="42" s="2239" customFormat="1" ht="18" customHeight="1" spans="1:17">
      <c r="A42" s="2291"/>
      <c r="B42" s="2347"/>
      <c r="C42" s="2300"/>
      <c r="D42" s="447"/>
      <c r="E42" s="2272" t="s">
        <v>1084</v>
      </c>
      <c r="F42" s="2280">
        <f>'数据-取费表'!B32</f>
        <v>0.03</v>
      </c>
      <c r="H42" s="2346"/>
      <c r="I42" s="2226" t="s">
        <v>1104</v>
      </c>
      <c r="J42" s="2228">
        <f ca="1">1-J41</f>
        <v>0.932</v>
      </c>
      <c r="K42" s="2423"/>
      <c r="L42" s="2346"/>
      <c r="M42" s="2346"/>
      <c r="Q42" s="2242"/>
    </row>
    <row r="43" s="2239" customFormat="1" ht="18" customHeight="1" spans="1:18">
      <c r="A43" s="2321" t="s">
        <v>1087</v>
      </c>
      <c r="B43" s="2348" t="s">
        <v>1105</v>
      </c>
      <c r="C43" s="2349">
        <f ca="1">ROUND(C40/F43,0)</f>
        <v>33777</v>
      </c>
      <c r="D43" s="2350" t="s">
        <v>1106</v>
      </c>
      <c r="E43" s="2351" t="s">
        <v>1107</v>
      </c>
      <c r="F43" s="2352">
        <f>IF(D1="仅计算典型户型",'数据-取费表'!E5,'数据-取费表'!B5)</f>
        <v>59.11</v>
      </c>
      <c r="G43" s="2353"/>
      <c r="H43" s="2346"/>
      <c r="I43" s="2346"/>
      <c r="J43" s="2346"/>
      <c r="K43" s="2423"/>
      <c r="L43" s="2346"/>
      <c r="M43" s="2346"/>
      <c r="O43" s="2426" t="s">
        <v>1108</v>
      </c>
      <c r="P43" s="2427"/>
      <c r="Q43" s="2442"/>
      <c r="R43" s="2427"/>
    </row>
    <row r="44" s="2239" customFormat="1" ht="18" customHeight="1" spans="1:18">
      <c r="A44" s="2137"/>
      <c r="B44" s="2137"/>
      <c r="C44" s="2354"/>
      <c r="D44" s="2137"/>
      <c r="E44" s="2137"/>
      <c r="F44" s="2137"/>
      <c r="G44" s="2353"/>
      <c r="K44" s="2428"/>
      <c r="O44" s="2429" t="s">
        <v>1109</v>
      </c>
      <c r="P44" s="2430" t="s">
        <v>1110</v>
      </c>
      <c r="Q44" s="2479" t="s">
        <v>1111</v>
      </c>
      <c r="R44" s="2480" t="s">
        <v>1112</v>
      </c>
    </row>
    <row r="45" s="2239" customFormat="1" ht="18" customHeight="1" spans="1:18">
      <c r="A45" s="2137"/>
      <c r="B45" s="2137"/>
      <c r="C45" s="2354"/>
      <c r="D45" s="2137"/>
      <c r="E45" s="2137"/>
      <c r="F45" s="2137"/>
      <c r="G45" s="2355"/>
      <c r="K45" s="2428"/>
      <c r="O45" s="2431" t="s">
        <v>1113</v>
      </c>
      <c r="P45" s="2432" t="s">
        <v>1114</v>
      </c>
      <c r="Q45" s="2481">
        <f ca="1">C40+J29</f>
        <v>1996563</v>
      </c>
      <c r="R45" s="2482" t="s">
        <v>1115</v>
      </c>
    </row>
    <row r="46" s="2239" customFormat="1" ht="18" customHeight="1" spans="1:18">
      <c r="A46" s="2137"/>
      <c r="D46" s="2137"/>
      <c r="E46" s="2137"/>
      <c r="F46" s="2137"/>
      <c r="K46" s="2428"/>
      <c r="O46" s="2431" t="s">
        <v>1116</v>
      </c>
      <c r="P46" s="2432" t="s">
        <v>1117</v>
      </c>
      <c r="Q46" s="2481" t="str">
        <f>J61</f>
        <v>0</v>
      </c>
      <c r="R46" s="2482" t="s">
        <v>1118</v>
      </c>
    </row>
    <row r="47" s="2239" customFormat="1" ht="21" spans="1:18">
      <c r="A47" s="2356" t="s">
        <v>1119</v>
      </c>
      <c r="C47" s="2357">
        <f ca="1">IF(C2="元",C69-C40,ROUND((C69-C40)/10000,0))</f>
        <v>-2080128</v>
      </c>
      <c r="D47" s="2358" t="str">
        <f>C2</f>
        <v>元</v>
      </c>
      <c r="E47" s="2137"/>
      <c r="F47" s="2137"/>
      <c r="I47" s="2433" t="s">
        <v>1120</v>
      </c>
      <c r="J47" s="2434"/>
      <c r="K47" s="2435"/>
      <c r="L47" s="2436">
        <f ca="1">IF(M48="住宅",0,IF(L49&gt;J52,L61,J61))</f>
        <v>0</v>
      </c>
      <c r="O47" s="2437" t="s">
        <v>1121</v>
      </c>
      <c r="P47" s="2432" t="s">
        <v>1122</v>
      </c>
      <c r="Q47" s="2481">
        <f>C29</f>
        <v>224680</v>
      </c>
      <c r="R47" s="2482" t="s">
        <v>1115</v>
      </c>
    </row>
    <row r="48" s="2239" customFormat="1" ht="15.75" spans="1:18">
      <c r="A48" s="2259" t="s">
        <v>991</v>
      </c>
      <c r="B48" s="2260" t="s">
        <v>992</v>
      </c>
      <c r="C48" s="2260" t="s">
        <v>993</v>
      </c>
      <c r="D48" s="2260" t="s">
        <v>994</v>
      </c>
      <c r="E48" s="2359" t="s">
        <v>995</v>
      </c>
      <c r="F48" s="2360"/>
      <c r="I48" s="2438" t="s">
        <v>1123</v>
      </c>
      <c r="J48" s="2439" t="s">
        <v>918</v>
      </c>
      <c r="K48" s="2440" t="s">
        <v>1124</v>
      </c>
      <c r="L48" s="2441">
        <f>'数据-取费表'!B11</f>
        <v>70</v>
      </c>
      <c r="M48" s="2442" t="str">
        <f>IF('数据-取费表'!B10="住宅","住宅","非住宅")</f>
        <v>住宅</v>
      </c>
      <c r="O48" s="2437" t="s">
        <v>1125</v>
      </c>
      <c r="P48" s="2432" t="s">
        <v>1126</v>
      </c>
      <c r="Q48" s="2483" t="e">
        <f>J59</f>
        <v>#VALUE!</v>
      </c>
      <c r="R48" s="2482"/>
    </row>
    <row r="49" s="2239" customFormat="1" ht="15.75" spans="1:18">
      <c r="A49" s="2361" t="s">
        <v>1127</v>
      </c>
      <c r="B49" s="2265" t="s">
        <v>996</v>
      </c>
      <c r="C49" s="2362">
        <f ca="1">C50+C54+C56</f>
        <v>0</v>
      </c>
      <c r="D49" s="2363"/>
      <c r="E49" s="2364"/>
      <c r="F49" s="2312"/>
      <c r="I49" s="2443" t="s">
        <v>1128</v>
      </c>
      <c r="J49" s="2444" t="s">
        <v>1129</v>
      </c>
      <c r="K49" s="2445" t="s">
        <v>1130</v>
      </c>
      <c r="L49" s="2446">
        <f>'数据-取费表'!B13</f>
        <v>33</v>
      </c>
      <c r="O49" s="2437" t="s">
        <v>1131</v>
      </c>
      <c r="P49" s="2432" t="s">
        <v>1132</v>
      </c>
      <c r="Q49" s="2483">
        <f>J53</f>
        <v>0</v>
      </c>
      <c r="R49" s="2482"/>
    </row>
    <row r="50" s="2239" customFormat="1" ht="15.75" spans="1:18">
      <c r="A50" s="2365" t="s">
        <v>999</v>
      </c>
      <c r="B50" s="2270" t="s">
        <v>1133</v>
      </c>
      <c r="C50" s="2266">
        <f>ROUND(F50*F52*F51*(1-F53),0)</f>
        <v>0</v>
      </c>
      <c r="D50" s="2366" t="s">
        <v>1134</v>
      </c>
      <c r="E50" s="2367" t="s">
        <v>1135</v>
      </c>
      <c r="F50" s="2368"/>
      <c r="I50" s="2443" t="s">
        <v>1136</v>
      </c>
      <c r="J50" s="2446">
        <f>'数据-取费表'!B27</f>
        <v>1987</v>
      </c>
      <c r="K50" s="2447" t="s">
        <v>1137</v>
      </c>
      <c r="L50" s="2448"/>
      <c r="O50" s="2437" t="s">
        <v>1138</v>
      </c>
      <c r="P50" s="2432" t="s">
        <v>1139</v>
      </c>
      <c r="Q50" s="2481">
        <f>J54</f>
        <v>33</v>
      </c>
      <c r="R50" s="2482" t="s">
        <v>1140</v>
      </c>
    </row>
    <row r="51" s="2239" customFormat="1" ht="15.75" spans="1:18">
      <c r="A51" s="2278"/>
      <c r="B51" s="2275"/>
      <c r="C51" s="2276"/>
      <c r="D51" s="2277"/>
      <c r="E51" s="2308" t="s">
        <v>1003</v>
      </c>
      <c r="F51" s="2369">
        <f>F7</f>
        <v>59.11</v>
      </c>
      <c r="I51" s="2443" t="s">
        <v>1141</v>
      </c>
      <c r="J51" s="2449">
        <f>SUMPRODUCT((I64:I66=J48)*(J63:L63=J49)*(J64:L66))</f>
        <v>60</v>
      </c>
      <c r="K51" s="2447" t="s">
        <v>1142</v>
      </c>
      <c r="L51" s="2448"/>
      <c r="O51" s="2431" t="s">
        <v>1143</v>
      </c>
      <c r="P51" s="2432" t="str">
        <f>IF(C2="元","收益价值(元)","收益价值(万元)")</f>
        <v>收益价值(元)</v>
      </c>
      <c r="Q51" s="2481">
        <f ca="1">ROUND(IF(C2="元",Q45+Q46,(Q45+Q46)/10000),0)</f>
        <v>1996563</v>
      </c>
      <c r="R51" s="2482" t="s">
        <v>1144</v>
      </c>
    </row>
    <row r="52" s="2239" customFormat="1" ht="16.5" spans="1:18">
      <c r="A52" s="2278"/>
      <c r="B52" s="2275"/>
      <c r="C52" s="2276"/>
      <c r="D52" s="2277"/>
      <c r="E52" s="2272" t="s">
        <v>1005</v>
      </c>
      <c r="F52" s="2273">
        <f>F8</f>
        <v>12</v>
      </c>
      <c r="I52" s="2450" t="s">
        <v>1145</v>
      </c>
      <c r="J52" s="2451">
        <f>IF(J50="",J51,J50+J51-YEAR('数据-取费表'!B2))</f>
        <v>25</v>
      </c>
      <c r="K52" s="2452" t="s">
        <v>1146</v>
      </c>
      <c r="L52" s="2453">
        <f ca="1">ROUND(-PV('数据-取费表'!B15,J52,(C40-C13*J35)),0)</f>
        <v>32739744</v>
      </c>
      <c r="O52" s="2426" t="s">
        <v>1147</v>
      </c>
      <c r="P52" s="2427"/>
      <c r="Q52" s="2442"/>
      <c r="R52" s="2427"/>
    </row>
    <row r="53" s="2239" customFormat="1" ht="15.75" spans="1:18">
      <c r="A53" s="2291"/>
      <c r="B53" s="2347"/>
      <c r="C53" s="2300"/>
      <c r="D53" s="2279"/>
      <c r="E53" s="2272" t="s">
        <v>1006</v>
      </c>
      <c r="F53" s="2370"/>
      <c r="I53" s="2454" t="s">
        <v>1148</v>
      </c>
      <c r="J53" s="2455"/>
      <c r="K53" s="2454" t="s">
        <v>1149</v>
      </c>
      <c r="L53" s="2455"/>
      <c r="O53" s="2429" t="s">
        <v>1109</v>
      </c>
      <c r="P53" s="2430" t="s">
        <v>1110</v>
      </c>
      <c r="Q53" s="2479" t="s">
        <v>1111</v>
      </c>
      <c r="R53" s="2480" t="s">
        <v>1112</v>
      </c>
    </row>
    <row r="54" s="2239" customFormat="1" ht="29.25" customHeight="1" spans="1:18">
      <c r="A54" s="2269" t="s">
        <v>1007</v>
      </c>
      <c r="B54" s="2281" t="s">
        <v>1008</v>
      </c>
      <c r="C54" s="2282">
        <f ca="1">ROUND(IF(F54="押一",C50/12*F11,IF(F54="押二",C50/12*2*F11,IF(F54="押三",C50/12*3*F11,C55*F11))),0)</f>
        <v>0</v>
      </c>
      <c r="D54" s="2283" t="s">
        <v>1009</v>
      </c>
      <c r="E54" s="2284" t="s">
        <v>1010</v>
      </c>
      <c r="F54" s="2285"/>
      <c r="I54" s="2456" t="s">
        <v>1150</v>
      </c>
      <c r="J54" s="2457">
        <f>IF(M48="住宅",IF(E1="——",MAX(J52,L49),MAX(J52,L49-'数据-取费表'!B26)),IF(E1="——",MIN(J52,L49),MIN(J52,L49-'数据-取费表'!B26)))</f>
        <v>33</v>
      </c>
      <c r="K54" s="2458" t="s">
        <v>1151</v>
      </c>
      <c r="L54" s="2459"/>
      <c r="O54" s="2431" t="s">
        <v>1113</v>
      </c>
      <c r="P54" s="2432" t="s">
        <v>1114</v>
      </c>
      <c r="Q54" s="2481">
        <f ca="1">C40+J29</f>
        <v>1996563</v>
      </c>
      <c r="R54" s="2482" t="s">
        <v>1115</v>
      </c>
    </row>
    <row r="55" s="2239" customFormat="1" ht="20.25" spans="1:18">
      <c r="A55" s="2269"/>
      <c r="B55" s="2371" t="s">
        <v>1014</v>
      </c>
      <c r="C55" s="2288"/>
      <c r="D55" s="2366"/>
      <c r="E55" s="2372"/>
      <c r="F55" s="2373"/>
      <c r="I55" s="23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0"/>
      <c r="K55" s="2460"/>
      <c r="L55" s="2460"/>
      <c r="O55" s="2431" t="s">
        <v>1116</v>
      </c>
      <c r="P55" s="2432" t="s">
        <v>1152</v>
      </c>
      <c r="Q55" s="2481">
        <f ca="1">L61</f>
        <v>0</v>
      </c>
      <c r="R55" s="2482" t="s">
        <v>1153</v>
      </c>
    </row>
    <row r="56" s="2239" customFormat="1" ht="20.25" spans="1:18">
      <c r="A56" s="2292" t="s">
        <v>1015</v>
      </c>
      <c r="B56" s="2293" t="s">
        <v>1016</v>
      </c>
      <c r="C56" s="2294"/>
      <c r="D56" s="2374"/>
      <c r="E56" s="2375"/>
      <c r="F56" s="2376"/>
      <c r="I56" s="2461" t="s">
        <v>1154</v>
      </c>
      <c r="J56" s="2462" t="e">
        <f>ROUND(IF(J48="钢混",J58/J51,1-(1-2%)*(J51-J58)/J51),3)</f>
        <v>#VALUE!</v>
      </c>
      <c r="K56" s="2463" t="s">
        <v>1155</v>
      </c>
      <c r="L56" s="2464"/>
      <c r="O56" s="2437" t="s">
        <v>1121</v>
      </c>
      <c r="P56" s="2432" t="s">
        <v>1156</v>
      </c>
      <c r="Q56" s="2481">
        <f>IF(L56="比较法",L50,IF(L56="基准地价",L51,0))</f>
        <v>0</v>
      </c>
      <c r="R56" s="2482" t="s">
        <v>1115</v>
      </c>
    </row>
    <row r="57" s="2239" customFormat="1" ht="44.25" spans="1:18">
      <c r="A57" s="2298">
        <v>2</v>
      </c>
      <c r="B57" s="2299" t="s">
        <v>1017</v>
      </c>
      <c r="C57" s="2377">
        <f>C13</f>
        <v>134808</v>
      </c>
      <c r="D57" s="2378"/>
      <c r="E57" s="2379"/>
      <c r="F57" s="2380"/>
      <c r="I57" s="2465" t="s">
        <v>1157</v>
      </c>
      <c r="J57" s="2466"/>
      <c r="K57" s="2443" t="s">
        <v>1158</v>
      </c>
      <c r="L57" s="2446">
        <f>IF(L49&lt;J52,"——",L49-J52)</f>
        <v>8</v>
      </c>
      <c r="O57" s="2437" t="s">
        <v>1125</v>
      </c>
      <c r="P57" s="2432" t="s">
        <v>1159</v>
      </c>
      <c r="Q57" s="2483">
        <f>L53</f>
        <v>0</v>
      </c>
      <c r="R57" s="2482"/>
    </row>
    <row r="58" s="2239" customFormat="1" ht="29.25" spans="1:18">
      <c r="A58" s="2381"/>
      <c r="B58" s="2272" t="s">
        <v>1086</v>
      </c>
      <c r="C58" s="2194">
        <f>C29</f>
        <v>224680</v>
      </c>
      <c r="D58" s="2378"/>
      <c r="E58" s="2379"/>
      <c r="F58" s="2380"/>
      <c r="I58" s="2467" t="s">
        <v>1160</v>
      </c>
      <c r="J58" s="2468" t="str">
        <f>IF(OR(M48="住宅",J52&lt;L49,J57="是"),"——",J52-L49)</f>
        <v>——</v>
      </c>
      <c r="K58" s="2443" t="s">
        <v>1161</v>
      </c>
      <c r="L58" s="2446">
        <f ca="1">IF(L49&lt;J52,"——",IF(L56="比较法",L50,IF(L56="基准地价",L51,L52)))</f>
        <v>32739744</v>
      </c>
      <c r="O58" s="2437" t="s">
        <v>1131</v>
      </c>
      <c r="P58" s="2432" t="s">
        <v>1162</v>
      </c>
      <c r="Q58" s="2481" t="e">
        <f>L59</f>
        <v>#DIV/0!</v>
      </c>
      <c r="R58" s="2482" t="s">
        <v>1163</v>
      </c>
    </row>
    <row r="59" s="2239" customFormat="1" ht="29.25" spans="1:18">
      <c r="A59" s="2382" t="s">
        <v>741</v>
      </c>
      <c r="B59" s="2383" t="s">
        <v>1030</v>
      </c>
      <c r="C59" s="1716">
        <f ca="1">ROUND(C60+C65+C66+C67,0)</f>
        <v>3572</v>
      </c>
      <c r="D59" s="2384" t="s">
        <v>1031</v>
      </c>
      <c r="E59" s="1765"/>
      <c r="F59" s="2312"/>
      <c r="I59" s="2467" t="s">
        <v>1164</v>
      </c>
      <c r="J59" s="2469" t="e">
        <f>IF(J56&lt;0.4,0.4,J56)</f>
        <v>#VALUE!</v>
      </c>
      <c r="K59" s="2452" t="s">
        <v>1165</v>
      </c>
      <c r="L59" s="2446" t="e">
        <f>ROUND(POWER(1+L53,L48-L49)*(POWER(1+L53,L49)-1)/(POWER(1+L53,L48)-1),4)</f>
        <v>#DIV/0!</v>
      </c>
      <c r="O59" s="2437" t="s">
        <v>1138</v>
      </c>
      <c r="P59" s="2432" t="str">
        <f>K60</f>
        <v>建筑物剩余耐用年限下的土地年期修正系数Kn</v>
      </c>
      <c r="Q59" s="2481" t="e">
        <f>L60</f>
        <v>#DIV/0!</v>
      </c>
      <c r="R59" s="2482" t="s">
        <v>1166</v>
      </c>
    </row>
    <row r="60" s="2239" customFormat="1" ht="29.25" spans="1:18">
      <c r="A60" s="2303" t="s">
        <v>1167</v>
      </c>
      <c r="B60" s="2272" t="s">
        <v>1036</v>
      </c>
      <c r="C60" s="2326">
        <f ca="1">ROUND(IF(AND(项目基本情况!B7="自然人",项目基本情况!B6="北京市"),C50*F60/(1+'数据-取费表'!F30),C61+C62+C63),0)</f>
        <v>0</v>
      </c>
      <c r="D60" s="2305" t="s">
        <v>1037</v>
      </c>
      <c r="E60" s="2327" t="s">
        <v>1038</v>
      </c>
      <c r="F60" s="2328">
        <f>IF(项目基本情况!B7="企业","——",IF('数据-取费表'!B10="住宅",IF(F50*F51*F52/12/(1+'数据-取费表'!F30)&gt;100000,4%,2.5%),IF(F50*F51*F52/12/(1+'数据-取费表'!F30)&gt;100000,12%,7%)))</f>
        <v>0.025</v>
      </c>
      <c r="I60" s="2467" t="s">
        <v>1168</v>
      </c>
      <c r="J60" s="2468" t="str">
        <f>IF(OR(M48="住宅",J52&lt;L49,J57="是"),"——",ROUND(C29*J59,0))</f>
        <v>——</v>
      </c>
      <c r="K60" s="24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46" t="e">
        <f>ROUND(IF(E1="在建（套用方法）",M60,IF(E1="土地（套用方法）",N60,POWER(1+L53,L48-J52)*(POWER(1+L53,J52)-1)/(POWER(1+L53,L48)-1))),4)</f>
        <v>#DIV/0!</v>
      </c>
      <c r="M60" s="2427" t="e">
        <f>ROUND(POWER(1+L53,L48-(J52+'数据-取费表'!B26))*(POWER(1+L53,(J52+'数据-取费表'!B26))-1)/(POWER(1+L53,L48)-1),4)</f>
        <v>#DIV/0!</v>
      </c>
      <c r="N60" s="2427" t="e">
        <f>ROUND(POWER(1+L53,L48-(J52+'数据-取费表'!B22))*(POWER(1+L53,(J52+'数据-取费表'!B22))-1)/(POWER(1+L53,L48)-1),4)</f>
        <v>#DIV/0!</v>
      </c>
      <c r="O60" s="2431" t="s">
        <v>1143</v>
      </c>
      <c r="P60" s="2432" t="str">
        <f>IF(C2="元","收益价值(元)","收益价值(万元)")</f>
        <v>收益价值(元)</v>
      </c>
      <c r="Q60" s="2481">
        <f ca="1">ROUND(IF(C2="元",Q54+Q55,(Q54+Q55)/10000),0)</f>
        <v>1996563</v>
      </c>
      <c r="R60" s="2482" t="s">
        <v>1144</v>
      </c>
    </row>
    <row r="61" s="2239" customFormat="1" ht="16.5" spans="1:18">
      <c r="A61" s="2303" t="s">
        <v>1169</v>
      </c>
      <c r="B61" s="2272" t="s">
        <v>1041</v>
      </c>
      <c r="C61" s="1763" t="str">
        <f ca="1">IF(项目基本情况!B7="自然人","——",ROUND(C49*F61/(1+'数据-取费表'!F30),0))</f>
        <v>——</v>
      </c>
      <c r="D61" s="2327" t="s">
        <v>1170</v>
      </c>
      <c r="E61" s="2272" t="s">
        <v>1027</v>
      </c>
      <c r="F61" s="2317">
        <f t="shared" ref="F61:F67" si="0">F32</f>
        <v>0.056</v>
      </c>
      <c r="I61" s="2470" t="s">
        <v>1171</v>
      </c>
      <c r="J61" s="2471" t="str">
        <f>IF(OR(M48="住宅",J52&lt;L49,J57="是"),"0",ROUND(J60/(1+J53)^J54,0))</f>
        <v>0</v>
      </c>
      <c r="K61" s="2472" t="s">
        <v>1172</v>
      </c>
      <c r="L61" s="2471">
        <f ca="1">IF(OR(M48="住宅",L49&lt;J52),0,ROUND(L58*(L59/L60-1),0))</f>
        <v>0</v>
      </c>
      <c r="O61" s="2426" t="s">
        <v>1173</v>
      </c>
      <c r="P61" s="2427"/>
      <c r="Q61" s="2442"/>
      <c r="R61" s="2427"/>
    </row>
    <row r="62" s="2239" customFormat="1" ht="15.75" spans="1:18">
      <c r="A62" s="2303" t="s">
        <v>1174</v>
      </c>
      <c r="B62" s="2272" t="s">
        <v>1045</v>
      </c>
      <c r="C62" s="1763" t="str">
        <f>IF(项目基本情况!B7="自然人","——",IF(D62="按租金收入计税",ROUND(C50*F62/(1+'数据-取费表'!F30),0),IF(D62="按房产原值计税",ROUND(C58*F62*0.7,0),'数据-取费表'!B44)))</f>
        <v>——</v>
      </c>
      <c r="D62" s="2330" t="s">
        <v>1175</v>
      </c>
      <c r="E62" s="2272" t="s">
        <v>1027</v>
      </c>
      <c r="F62" s="2311">
        <f t="shared" si="0"/>
        <v>0.12</v>
      </c>
      <c r="O62" s="2429" t="s">
        <v>1109</v>
      </c>
      <c r="P62" s="2430" t="s">
        <v>1110</v>
      </c>
      <c r="Q62" s="2479" t="s">
        <v>1111</v>
      </c>
      <c r="R62" s="2480" t="s">
        <v>1112</v>
      </c>
    </row>
    <row r="63" s="2239" customFormat="1" ht="15.75" spans="1:18">
      <c r="A63" s="2365" t="s">
        <v>1176</v>
      </c>
      <c r="B63" s="2271" t="s">
        <v>1048</v>
      </c>
      <c r="C63" s="2332" t="str">
        <f>IF(项目基本情况!B7="自然人","——",ROUND(F63*F64,0))</f>
        <v>——</v>
      </c>
      <c r="D63" s="2333" t="s">
        <v>1049</v>
      </c>
      <c r="E63" s="2272" t="s">
        <v>1050</v>
      </c>
      <c r="F63" s="2316">
        <f t="shared" si="0"/>
        <v>0</v>
      </c>
      <c r="I63" s="2473" t="s">
        <v>1177</v>
      </c>
      <c r="J63" s="2474" t="s">
        <v>1178</v>
      </c>
      <c r="K63" s="2474" t="s">
        <v>1179</v>
      </c>
      <c r="L63" s="2474" t="s">
        <v>1180</v>
      </c>
      <c r="M63" s="2475" t="s">
        <v>1181</v>
      </c>
      <c r="O63" s="2431" t="s">
        <v>1113</v>
      </c>
      <c r="P63" s="2432" t="s">
        <v>1114</v>
      </c>
      <c r="Q63" s="2481">
        <f ca="1">C40+J29</f>
        <v>1996563</v>
      </c>
      <c r="R63" s="2482" t="s">
        <v>1115</v>
      </c>
    </row>
    <row r="64" s="2239" customFormat="1" ht="20.25" spans="1:18">
      <c r="A64" s="2286"/>
      <c r="B64" s="2279"/>
      <c r="C64" s="1835"/>
      <c r="D64" s="447"/>
      <c r="E64" s="2272" t="s">
        <v>1054</v>
      </c>
      <c r="F64" s="2273">
        <f t="shared" si="0"/>
        <v>0</v>
      </c>
      <c r="I64" s="2473" t="s">
        <v>1182</v>
      </c>
      <c r="J64" s="2474">
        <v>70</v>
      </c>
      <c r="K64" s="2474">
        <v>50</v>
      </c>
      <c r="L64" s="2474">
        <v>80</v>
      </c>
      <c r="M64" s="2476">
        <v>0.02</v>
      </c>
      <c r="O64" s="2431" t="s">
        <v>1116</v>
      </c>
      <c r="P64" s="2432" t="s">
        <v>1152</v>
      </c>
      <c r="Q64" s="2481">
        <f ca="1">L61</f>
        <v>0</v>
      </c>
      <c r="R64" s="2482" t="s">
        <v>1153</v>
      </c>
    </row>
    <row r="65" s="2239" customFormat="1" ht="24" spans="1:18">
      <c r="A65" s="2303" t="s">
        <v>1183</v>
      </c>
      <c r="B65" s="2272" t="s">
        <v>1057</v>
      </c>
      <c r="C65" s="1763">
        <f>ROUND(C58*F65,0)</f>
        <v>3370</v>
      </c>
      <c r="D65" s="2327" t="s">
        <v>1095</v>
      </c>
      <c r="E65" s="2272" t="s">
        <v>1027</v>
      </c>
      <c r="F65" s="2336">
        <f t="shared" si="0"/>
        <v>0.015</v>
      </c>
      <c r="I65" s="2473" t="s">
        <v>1184</v>
      </c>
      <c r="J65" s="2474">
        <v>50</v>
      </c>
      <c r="K65" s="2474">
        <v>35</v>
      </c>
      <c r="L65" s="2474">
        <v>60</v>
      </c>
      <c r="M65" s="2475">
        <v>0</v>
      </c>
      <c r="O65" s="2437" t="s">
        <v>1121</v>
      </c>
      <c r="P65" s="2432" t="s">
        <v>1156</v>
      </c>
      <c r="Q65" s="2488">
        <f ca="1">L52</f>
        <v>32739744</v>
      </c>
      <c r="R65" s="2489" t="s">
        <v>1185</v>
      </c>
    </row>
    <row r="66" s="2239" customFormat="1" ht="20.25" spans="1:18">
      <c r="A66" s="2303" t="s">
        <v>1186</v>
      </c>
      <c r="B66" s="2272" t="s">
        <v>1061</v>
      </c>
      <c r="C66" s="1763">
        <f>ROUND(C57*F66,0)</f>
        <v>202</v>
      </c>
      <c r="D66" s="2327" t="s">
        <v>1062</v>
      </c>
      <c r="E66" s="2272" t="s">
        <v>1027</v>
      </c>
      <c r="F66" s="2337">
        <f t="shared" si="0"/>
        <v>0.0015</v>
      </c>
      <c r="I66" s="2473" t="s">
        <v>1187</v>
      </c>
      <c r="J66" s="2474">
        <v>40</v>
      </c>
      <c r="K66" s="2474">
        <v>30</v>
      </c>
      <c r="L66" s="2474">
        <v>50</v>
      </c>
      <c r="M66" s="2476">
        <v>0.02</v>
      </c>
      <c r="O66" s="2437" t="s">
        <v>1125</v>
      </c>
      <c r="P66" s="2487" t="s">
        <v>1188</v>
      </c>
      <c r="Q66" s="2481">
        <f ca="1">ROUND(Q67-Q68*Q69,0)</f>
        <v>30509</v>
      </c>
      <c r="R66" s="2482"/>
    </row>
    <row r="67" s="2239" customFormat="1" ht="15.75" spans="1:18">
      <c r="A67" s="2303" t="s">
        <v>1189</v>
      </c>
      <c r="B67" s="2272" t="s">
        <v>1046</v>
      </c>
      <c r="C67" s="1763">
        <f ca="1">ROUND(C49*F67,0)</f>
        <v>0</v>
      </c>
      <c r="D67" s="2327" t="s">
        <v>1065</v>
      </c>
      <c r="E67" s="2272" t="s">
        <v>1027</v>
      </c>
      <c r="F67" s="2280">
        <f t="shared" si="0"/>
        <v>0.01</v>
      </c>
      <c r="O67" s="2437" t="s">
        <v>1190</v>
      </c>
      <c r="P67" s="2487" t="s">
        <v>1191</v>
      </c>
      <c r="Q67" s="2481">
        <f ca="1">C39</f>
        <v>40620</v>
      </c>
      <c r="R67" s="2482" t="s">
        <v>1115</v>
      </c>
    </row>
    <row r="68" ht="15.75" spans="1:18">
      <c r="A68" s="2382" t="s">
        <v>744</v>
      </c>
      <c r="B68" s="2484" t="s">
        <v>1069</v>
      </c>
      <c r="C68" s="1716">
        <f ca="1">C49-C59</f>
        <v>-3572</v>
      </c>
      <c r="D68" s="2305" t="s">
        <v>1070</v>
      </c>
      <c r="E68" s="2485"/>
      <c r="F68" s="2486"/>
      <c r="H68" s="2239"/>
      <c r="I68" s="2239"/>
      <c r="J68" s="2239"/>
      <c r="K68" s="2239"/>
      <c r="L68" s="2239"/>
      <c r="M68" s="2239"/>
      <c r="O68" s="2437" t="s">
        <v>1192</v>
      </c>
      <c r="P68" s="2487" t="s">
        <v>1193</v>
      </c>
      <c r="Q68" s="2481">
        <f>C13</f>
        <v>134808</v>
      </c>
      <c r="R68" s="2482" t="s">
        <v>1115</v>
      </c>
    </row>
    <row r="69" ht="15.75" spans="1:18">
      <c r="A69" s="2264" t="s">
        <v>770</v>
      </c>
      <c r="B69" s="2265" t="s">
        <v>1100</v>
      </c>
      <c r="C69" s="2266">
        <f ca="1">ROUND(C68*(1-((1+F71)/(1+F69))^F70)/(F69-F71),0)</f>
        <v>-83565</v>
      </c>
      <c r="D69" s="2333" t="s">
        <v>1075</v>
      </c>
      <c r="E69" s="2272" t="s">
        <v>1076</v>
      </c>
      <c r="F69" s="2280">
        <f>F40</f>
        <v>0.04</v>
      </c>
      <c r="H69" s="2239"/>
      <c r="I69" s="2239"/>
      <c r="J69" s="2239"/>
      <c r="K69" s="2239"/>
      <c r="L69" s="2239"/>
      <c r="M69" s="2239"/>
      <c r="O69" s="2437" t="s">
        <v>1194</v>
      </c>
      <c r="P69" s="2487" t="s">
        <v>1195</v>
      </c>
      <c r="Q69" s="2483">
        <f>J35</f>
        <v>0.075</v>
      </c>
      <c r="R69" s="2482"/>
    </row>
    <row r="70" ht="15.75" spans="1:18">
      <c r="A70" s="2278"/>
      <c r="B70" s="2275"/>
      <c r="C70" s="2276"/>
      <c r="D70" s="2343" t="s">
        <v>1079</v>
      </c>
      <c r="E70" s="2272" t="s">
        <v>1080</v>
      </c>
      <c r="F70" s="2402">
        <f>F41</f>
        <v>70</v>
      </c>
      <c r="H70" s="2239"/>
      <c r="I70" s="2239"/>
      <c r="J70" s="2239"/>
      <c r="K70" s="2239"/>
      <c r="L70" s="2239"/>
      <c r="M70" s="2239"/>
      <c r="O70" s="2437" t="s">
        <v>1131</v>
      </c>
      <c r="P70" s="2432" t="s">
        <v>1159</v>
      </c>
      <c r="Q70" s="2483">
        <f>L53</f>
        <v>0</v>
      </c>
      <c r="R70" s="2482"/>
    </row>
    <row r="71" ht="20.25" spans="1:18">
      <c r="A71" s="2291"/>
      <c r="B71" s="2347"/>
      <c r="C71" s="2300"/>
      <c r="D71" s="447"/>
      <c r="E71" s="2272" t="s">
        <v>1084</v>
      </c>
      <c r="F71" s="2370"/>
      <c r="H71" s="2239"/>
      <c r="M71" s="2239"/>
      <c r="O71" s="2437" t="s">
        <v>1138</v>
      </c>
      <c r="P71" s="2432" t="s">
        <v>1162</v>
      </c>
      <c r="Q71" s="2481" t="e">
        <f>L59</f>
        <v>#DIV/0!</v>
      </c>
      <c r="R71" s="2482" t="s">
        <v>1163</v>
      </c>
    </row>
    <row r="72" ht="15.75" spans="1:18">
      <c r="A72" s="2321" t="s">
        <v>1087</v>
      </c>
      <c r="B72" s="2348" t="s">
        <v>1105</v>
      </c>
      <c r="C72" s="2349">
        <f ca="1">ROUND(C69/F72,0)</f>
        <v>-1414</v>
      </c>
      <c r="D72" s="2350" t="s">
        <v>1106</v>
      </c>
      <c r="E72" s="2351" t="s">
        <v>1107</v>
      </c>
      <c r="F72" s="2352">
        <f>F43</f>
        <v>59.11</v>
      </c>
      <c r="O72" s="2437" t="s">
        <v>1196</v>
      </c>
      <c r="P72" s="2432" t="str">
        <f>K60</f>
        <v>建筑物剩余耐用年限下的土地年期修正系数Kn</v>
      </c>
      <c r="Q72" s="2481" t="e">
        <f>L60</f>
        <v>#DIV/0!</v>
      </c>
      <c r="R72" s="2482" t="s">
        <v>1166</v>
      </c>
    </row>
    <row r="73" ht="15.75" spans="1:18">
      <c r="A73" s="2239"/>
      <c r="B73" s="2242"/>
      <c r="C73" s="2242"/>
      <c r="D73" s="2239"/>
      <c r="E73" s="2239"/>
      <c r="F73" s="2239"/>
      <c r="O73" s="2431" t="s">
        <v>1143</v>
      </c>
      <c r="P73" s="2432" t="str">
        <f>IF(C2="元","收益价值(元)","收益价值(万元)")</f>
        <v>收益价值(元)</v>
      </c>
      <c r="Q73" s="2481">
        <f ca="1">ROUND(IF(C2="元",Q63+Q64,(Q63+Q64)/10000),0)</f>
        <v>1996563</v>
      </c>
      <c r="R73" s="2482" t="s">
        <v>1144</v>
      </c>
    </row>
    <row r="74" spans="1:6">
      <c r="A74" s="2239"/>
      <c r="B74" s="2242"/>
      <c r="C74" s="2242"/>
      <c r="D74" s="2239"/>
      <c r="E74" s="2239"/>
      <c r="F74" s="2239"/>
    </row>
    <row r="75" spans="1:6">
      <c r="A75" s="2239"/>
      <c r="B75" s="2242"/>
      <c r="C75" s="2242"/>
      <c r="D75" s="2239"/>
      <c r="E75" s="2239"/>
      <c r="F75" s="2239"/>
    </row>
  </sheetData>
  <sheetProtection formatCells="0" formatColumns="0" formatRows="0"/>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B38:J51"/>
  <sheetViews>
    <sheetView topLeftCell="A37" workbookViewId="0">
      <selection activeCell="D53" sqref="D53"/>
    </sheetView>
  </sheetViews>
  <sheetFormatPr defaultColWidth="9" defaultRowHeight="13.5"/>
  <cols>
    <col min="4" max="4" width="9" style="2229"/>
    <col min="10" max="10" width="11.5"/>
  </cols>
  <sheetData>
    <row r="38" spans="2:10">
      <c r="B38" t="s">
        <v>691</v>
      </c>
      <c r="C38" t="s">
        <v>1197</v>
      </c>
      <c r="D38" s="2229" t="s">
        <v>908</v>
      </c>
      <c r="E38" t="s">
        <v>1198</v>
      </c>
      <c r="F38" t="s">
        <v>99</v>
      </c>
      <c r="G38" t="s">
        <v>1199</v>
      </c>
      <c r="H38" t="s">
        <v>1200</v>
      </c>
      <c r="I38" t="s">
        <v>1201</v>
      </c>
      <c r="J38" t="s">
        <v>1202</v>
      </c>
    </row>
    <row r="39" spans="2:10">
      <c r="B39">
        <v>1</v>
      </c>
      <c r="C39">
        <v>79.38</v>
      </c>
      <c r="D39" s="2229" t="s">
        <v>955</v>
      </c>
      <c r="E39" t="s">
        <v>906</v>
      </c>
      <c r="F39">
        <v>39620</v>
      </c>
      <c r="G39" t="s">
        <v>1203</v>
      </c>
      <c r="H39" t="s">
        <v>918</v>
      </c>
      <c r="J39" s="2235">
        <v>44852</v>
      </c>
    </row>
    <row r="40" spans="2:10">
      <c r="B40">
        <v>2</v>
      </c>
      <c r="C40">
        <v>42.93</v>
      </c>
      <c r="D40" s="2229" t="s">
        <v>955</v>
      </c>
      <c r="E40" t="s">
        <v>906</v>
      </c>
      <c r="F40">
        <v>45190</v>
      </c>
      <c r="G40" t="s">
        <v>1204</v>
      </c>
      <c r="H40" t="s">
        <v>918</v>
      </c>
      <c r="J40" s="2235">
        <v>44842</v>
      </c>
    </row>
    <row r="41" spans="2:10">
      <c r="B41" s="2230">
        <v>3</v>
      </c>
      <c r="C41" s="2231">
        <v>57.55</v>
      </c>
      <c r="D41" s="2232" t="s">
        <v>910</v>
      </c>
      <c r="E41" s="2231" t="s">
        <v>906</v>
      </c>
      <c r="F41" s="2231">
        <v>40834</v>
      </c>
      <c r="G41" s="2231" t="s">
        <v>1204</v>
      </c>
      <c r="H41" s="2231" t="s">
        <v>918</v>
      </c>
      <c r="I41" s="2231"/>
      <c r="J41" s="2236">
        <v>44756</v>
      </c>
    </row>
    <row r="42" spans="2:10">
      <c r="B42">
        <v>4</v>
      </c>
      <c r="C42">
        <v>55.6</v>
      </c>
      <c r="D42" s="2229" t="s">
        <v>953</v>
      </c>
      <c r="E42" t="s">
        <v>952</v>
      </c>
      <c r="F42">
        <v>50000</v>
      </c>
      <c r="G42" t="s">
        <v>1204</v>
      </c>
      <c r="H42" t="s">
        <v>918</v>
      </c>
      <c r="I42" t="s">
        <v>1205</v>
      </c>
      <c r="J42" s="2235">
        <v>44755</v>
      </c>
    </row>
    <row r="43" spans="2:10">
      <c r="B43">
        <v>5</v>
      </c>
      <c r="C43">
        <v>54.38</v>
      </c>
      <c r="D43" s="2229" t="s">
        <v>955</v>
      </c>
      <c r="E43" t="s">
        <v>952</v>
      </c>
      <c r="F43">
        <v>38065</v>
      </c>
      <c r="G43" t="s">
        <v>1204</v>
      </c>
      <c r="H43" t="s">
        <v>918</v>
      </c>
      <c r="J43" s="2235">
        <v>44687</v>
      </c>
    </row>
    <row r="44" spans="2:10">
      <c r="B44">
        <v>6</v>
      </c>
      <c r="C44">
        <v>61.05</v>
      </c>
      <c r="D44" s="2229" t="s">
        <v>955</v>
      </c>
      <c r="E44" t="s">
        <v>906</v>
      </c>
      <c r="F44">
        <v>38821</v>
      </c>
      <c r="G44" t="s">
        <v>1204</v>
      </c>
      <c r="H44" t="s">
        <v>918</v>
      </c>
      <c r="J44" s="2235">
        <v>44667</v>
      </c>
    </row>
    <row r="45" spans="2:10">
      <c r="B45" s="2230">
        <v>7</v>
      </c>
      <c r="C45" s="2233">
        <v>57.55</v>
      </c>
      <c r="D45" s="2234" t="s">
        <v>911</v>
      </c>
      <c r="E45" s="2233" t="s">
        <v>906</v>
      </c>
      <c r="F45" s="2233">
        <v>49279</v>
      </c>
      <c r="G45" s="2233" t="s">
        <v>1204</v>
      </c>
      <c r="H45" s="2233" t="s">
        <v>918</v>
      </c>
      <c r="I45" s="2233"/>
      <c r="J45" s="2235">
        <v>44653</v>
      </c>
    </row>
    <row r="46" spans="2:10">
      <c r="B46" s="2231">
        <v>8</v>
      </c>
      <c r="C46" s="2231">
        <v>75.57</v>
      </c>
      <c r="D46" s="2232" t="s">
        <v>911</v>
      </c>
      <c r="E46" s="2231" t="s">
        <v>906</v>
      </c>
      <c r="F46" s="2231">
        <v>46796</v>
      </c>
      <c r="G46" s="2231" t="s">
        <v>1203</v>
      </c>
      <c r="H46" s="2231" t="s">
        <v>918</v>
      </c>
      <c r="I46" s="2231"/>
      <c r="J46" s="2236">
        <v>44646</v>
      </c>
    </row>
    <row r="47" spans="2:10">
      <c r="B47" s="2230">
        <v>9</v>
      </c>
      <c r="C47" s="2233">
        <v>59.36</v>
      </c>
      <c r="D47" s="2234" t="s">
        <v>910</v>
      </c>
      <c r="E47" s="2233" t="s">
        <v>907</v>
      </c>
      <c r="F47" s="2233">
        <v>47170</v>
      </c>
      <c r="G47" s="2233" t="s">
        <v>1203</v>
      </c>
      <c r="H47" s="2233" t="s">
        <v>918</v>
      </c>
      <c r="I47" s="2233"/>
      <c r="J47" s="2235">
        <v>44629</v>
      </c>
    </row>
    <row r="48" spans="2:10">
      <c r="B48">
        <v>10</v>
      </c>
      <c r="C48">
        <v>61.05</v>
      </c>
      <c r="D48" s="2229" t="s">
        <v>955</v>
      </c>
      <c r="E48" t="s">
        <v>906</v>
      </c>
      <c r="F48">
        <v>38657</v>
      </c>
      <c r="G48" t="s">
        <v>1203</v>
      </c>
      <c r="H48" t="s">
        <v>918</v>
      </c>
      <c r="J48" s="2235">
        <v>44629</v>
      </c>
    </row>
    <row r="49" spans="2:10">
      <c r="B49">
        <v>11</v>
      </c>
      <c r="C49">
        <v>39.54</v>
      </c>
      <c r="D49" s="2229" t="s">
        <v>953</v>
      </c>
      <c r="E49" t="s">
        <v>906</v>
      </c>
      <c r="F49">
        <v>52479</v>
      </c>
      <c r="G49" t="s">
        <v>1204</v>
      </c>
      <c r="H49" t="s">
        <v>918</v>
      </c>
      <c r="I49" t="s">
        <v>1205</v>
      </c>
      <c r="J49" s="2235">
        <v>44622</v>
      </c>
    </row>
    <row r="50" spans="2:10">
      <c r="B50" s="2231">
        <v>12</v>
      </c>
      <c r="C50" s="2231">
        <v>61.05</v>
      </c>
      <c r="D50" s="2232" t="s">
        <v>910</v>
      </c>
      <c r="E50" s="2231" t="s">
        <v>952</v>
      </c>
      <c r="F50" s="2231">
        <v>42752</v>
      </c>
      <c r="G50" s="2231" t="s">
        <v>1203</v>
      </c>
      <c r="H50" s="2231" t="s">
        <v>918</v>
      </c>
      <c r="I50" s="2231"/>
      <c r="J50" s="2236">
        <v>44608</v>
      </c>
    </row>
    <row r="51" spans="2:10">
      <c r="B51">
        <v>13</v>
      </c>
      <c r="C51">
        <v>57.66</v>
      </c>
      <c r="D51" s="2229" t="s">
        <v>953</v>
      </c>
      <c r="E51" t="s">
        <v>906</v>
      </c>
      <c r="F51">
        <v>43965</v>
      </c>
      <c r="G51" t="s">
        <v>961</v>
      </c>
      <c r="H51" t="s">
        <v>918</v>
      </c>
      <c r="J51" s="2235">
        <v>44526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659512</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ROUND(C52/IF(B1="仅计算典型户型",'数据-取费表'!E5,'数据-取费表'!B5),0)</f>
        <v>11157</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389476</v>
      </c>
      <c r="D5" s="2165" t="s">
        <v>1211</v>
      </c>
      <c r="E5" s="2166" t="s">
        <v>1212</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ROUND(6394*'数据-取费表'!B5,0)</f>
        <v>377949</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11527</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9458</v>
      </c>
      <c r="D9" s="2181">
        <f>IF('数据-取费表'!B10="住宅",IF(B1="仅计算典型户型",'数据-取费表'!E5,'数据-取费表'!B5),0)</f>
        <v>59.11</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59.11</v>
      </c>
      <c r="E19" s="2165">
        <f>'数据-取费表'!E15</f>
        <v>200</v>
      </c>
      <c r="F19" s="2186"/>
      <c r="G19" s="2177" t="s">
        <v>1242</v>
      </c>
    </row>
    <row r="20" s="2146" customFormat="1" ht="13.5" customHeight="1" spans="1:123">
      <c r="A20" s="2163" t="s">
        <v>1243</v>
      </c>
      <c r="B20" s="2164" t="s">
        <v>1244</v>
      </c>
      <c r="C20" s="2187">
        <f>ROUND((C5+C19)*F20,0)</f>
        <v>3895</v>
      </c>
      <c r="D20" s="2187"/>
      <c r="E20" s="2187"/>
      <c r="F20" s="2188">
        <f>'数据-取费表'!E25</f>
        <v>0.01</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0.01</v>
      </c>
      <c r="D21" s="2191" t="s">
        <v>1248</v>
      </c>
      <c r="E21" s="2187"/>
      <c r="F21" s="2188">
        <f>'数据-取费表'!E26</f>
        <v>0.01</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38064</v>
      </c>
      <c r="D22" s="2190">
        <f>C26</f>
        <v>0.0005</v>
      </c>
      <c r="E22" s="2191" t="s">
        <v>1248</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37879</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185</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59006</v>
      </c>
      <c r="D27" s="2190">
        <f>C29</f>
        <v>0.0015</v>
      </c>
      <c r="E27" s="2191" t="s">
        <v>1248</v>
      </c>
      <c r="F27" s="2186">
        <f>'数据-取费表'!E28</f>
        <v>0.15</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59006</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0.0015</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524704</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173636</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147775</v>
      </c>
      <c r="D34" s="2171"/>
      <c r="E34" s="2174"/>
      <c r="F34" s="2209" t="str">
        <f>IF('数据-取费表'!B26=0,"",'数据-取费表'!E20)</f>
        <v/>
      </c>
      <c r="G34" s="2173"/>
    </row>
    <row r="35" ht="13.5" customHeight="1" spans="1:7">
      <c r="A35" s="2168" t="s">
        <v>1215</v>
      </c>
      <c r="B35" s="2169" t="s">
        <v>1273</v>
      </c>
      <c r="C35" s="2174">
        <f>ROUND(C34*F35,0)</f>
        <v>4433</v>
      </c>
      <c r="D35" s="2174"/>
      <c r="E35" s="2174"/>
      <c r="F35" s="2210">
        <f>'数据-取费表'!E21</f>
        <v>0.03</v>
      </c>
      <c r="G35" s="2173" t="s">
        <v>1274</v>
      </c>
    </row>
    <row r="36" ht="24" spans="1:7">
      <c r="A36" s="2168" t="s">
        <v>1217</v>
      </c>
      <c r="B36" s="2169" t="s">
        <v>1275</v>
      </c>
      <c r="C36" s="2174">
        <f>ROUND(IF('数据-取费表'!B10="住宅",C34*F36,0),0)</f>
        <v>7389</v>
      </c>
      <c r="D36" s="2174"/>
      <c r="E36" s="2174"/>
      <c r="F36" s="2210">
        <f>'数据-取费表'!E22</f>
        <v>0.05</v>
      </c>
      <c r="G36" s="2211" t="s">
        <v>1276</v>
      </c>
    </row>
    <row r="37" s="2148" customFormat="1" ht="13.5" customHeight="1" spans="1:7">
      <c r="A37" s="2168" t="s">
        <v>1258</v>
      </c>
      <c r="B37" s="2169" t="s">
        <v>1277</v>
      </c>
      <c r="C37" s="2174">
        <f>ROUND(E37*D37,0)</f>
        <v>11822</v>
      </c>
      <c r="D37" s="2171">
        <f>IF(B1="仅计算典型户型",'数据-取费表'!E5,'数据-取费表'!B5)</f>
        <v>59.11</v>
      </c>
      <c r="E37" s="2174">
        <f>'数据-取费表'!E23</f>
        <v>200</v>
      </c>
      <c r="F37" s="2210"/>
      <c r="G37" s="2212" t="s">
        <v>1278</v>
      </c>
    </row>
    <row r="38" ht="13.5" customHeight="1" spans="1:7">
      <c r="A38" s="2168" t="s">
        <v>1279</v>
      </c>
      <c r="B38" s="2169" t="s">
        <v>762</v>
      </c>
      <c r="C38" s="2174">
        <f>ROUND(C34*F38,0)</f>
        <v>2217</v>
      </c>
      <c r="D38" s="2174"/>
      <c r="E38" s="2174"/>
      <c r="F38" s="2210">
        <f>'数据-取费表'!E24</f>
        <v>0.015</v>
      </c>
      <c r="G38" s="2173" t="s">
        <v>1274</v>
      </c>
    </row>
    <row r="39" s="2146" customFormat="1" ht="13.5" customHeight="1" spans="1:123">
      <c r="A39" s="2163" t="s">
        <v>1240</v>
      </c>
      <c r="B39" s="2164" t="s">
        <v>1244</v>
      </c>
      <c r="C39" s="2187">
        <f>ROUND(C33*F20,0)</f>
        <v>1736</v>
      </c>
      <c r="D39" s="2187"/>
      <c r="E39" s="2187"/>
      <c r="F39" s="2213">
        <f>F20</f>
        <v>0.01</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0.01</v>
      </c>
      <c r="D40" s="2191" t="s">
        <v>1281</v>
      </c>
      <c r="E40" s="2187"/>
      <c r="F40" s="2213">
        <f>F21</f>
        <v>0.01</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8330</v>
      </c>
      <c r="D41" s="2190">
        <f>C44</f>
        <v>0.0005</v>
      </c>
      <c r="E41" s="2191" t="s">
        <v>1281</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8248</v>
      </c>
      <c r="D42" s="2194"/>
      <c r="E42" s="2194"/>
      <c r="F42" s="2195"/>
      <c r="G42" s="2215" t="s">
        <v>1283</v>
      </c>
    </row>
    <row r="43" ht="13.5" customHeight="1" spans="1:7">
      <c r="A43" s="2168" t="s">
        <v>1215</v>
      </c>
      <c r="B43" s="2169" t="s">
        <v>1254</v>
      </c>
      <c r="C43" s="2194">
        <f>ROUND(IF('数据-取费表'!B24&lt;=1,C39*F22*'数据-取费表'!B23/2,C39*(POWER((1+F22),'数据-取费表'!B23/2)-1)),0)</f>
        <v>82</v>
      </c>
      <c r="D43" s="2194"/>
      <c r="E43" s="2194"/>
      <c r="F43" s="2195"/>
      <c r="G43" s="2216"/>
    </row>
    <row r="44" ht="13.5" customHeight="1" spans="1:7">
      <c r="A44" s="2168" t="s">
        <v>1217</v>
      </c>
      <c r="B44" s="2169" t="s">
        <v>1256</v>
      </c>
      <c r="C44" s="2194">
        <f>ROUND(IF('数据-取费表'!B24&lt;=1,C40*F22*'数据-取费表'!B23/2,C40*(POWER((1+F22),'数据-取费表'!B23/2)-1)),4)</f>
        <v>0.0005</v>
      </c>
      <c r="D44" s="2194"/>
      <c r="E44" s="2194"/>
      <c r="F44" s="2195"/>
      <c r="G44" s="635"/>
    </row>
    <row r="45" s="2146" customFormat="1" ht="13.5" customHeight="1" spans="1:123">
      <c r="A45" s="2163" t="s">
        <v>1250</v>
      </c>
      <c r="B45" s="2201" t="s">
        <v>1261</v>
      </c>
      <c r="C45" s="2165">
        <f>C46</f>
        <v>26306</v>
      </c>
      <c r="D45" s="2190">
        <f>C47</f>
        <v>0.0015</v>
      </c>
      <c r="E45" s="2191" t="s">
        <v>1281</v>
      </c>
      <c r="F45" s="2217">
        <f>F27</f>
        <v>0.15</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26306</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0.0015</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224680</v>
      </c>
      <c r="D49" s="2187"/>
      <c r="E49" s="2187"/>
      <c r="F49" s="2219"/>
      <c r="G49" s="2189" t="s">
        <v>1289</v>
      </c>
    </row>
    <row r="50" s="2148" customFormat="1" ht="24" spans="1:7">
      <c r="A50" s="2200" t="s">
        <v>1290</v>
      </c>
      <c r="B50" s="2164" t="s">
        <v>1291</v>
      </c>
      <c r="C50" s="2187"/>
      <c r="D50" s="2187"/>
      <c r="E50" s="2187"/>
      <c r="F50" s="2219">
        <f>IF('数据-取费表'!B26=0,'数据-取费表'!E20,1)</f>
        <v>0.6</v>
      </c>
      <c r="G50" s="2202" t="s">
        <v>1292</v>
      </c>
    </row>
    <row r="51" ht="16.5" customHeight="1" spans="1:7">
      <c r="A51" s="2200" t="s">
        <v>1293</v>
      </c>
      <c r="B51" s="2164" t="s">
        <v>1294</v>
      </c>
      <c r="C51" s="2187">
        <f>ROUND(C49*F50,0)</f>
        <v>134808</v>
      </c>
      <c r="D51" s="2187"/>
      <c r="E51" s="2187"/>
      <c r="F51" s="2219"/>
      <c r="G51" s="2189" t="s">
        <v>1295</v>
      </c>
    </row>
    <row r="52" s="2145" customFormat="1" ht="16.5" spans="1:123">
      <c r="A52" s="2220" t="s">
        <v>1296</v>
      </c>
      <c r="B52" s="2221"/>
      <c r="C52" s="2222">
        <f>C31+C51</f>
        <v>659512</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1103</v>
      </c>
      <c r="C56" s="2227">
        <f>ROUND(C51/C52,3)</f>
        <v>0.204</v>
      </c>
    </row>
    <row r="57" spans="2:3">
      <c r="B57" s="2226" t="s">
        <v>1104</v>
      </c>
      <c r="C57" s="2228">
        <f>1-C56</f>
        <v>0.796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871</v>
      </c>
      <c r="B2" s="2061">
        <f>IF(C2="元",C32,ROUND(C32/10000,0))</f>
        <v>0</v>
      </c>
      <c r="C2" s="2062" t="str">
        <f>'数据-取费表'!B3</f>
        <v>元</v>
      </c>
      <c r="D2" s="2060"/>
      <c r="E2" s="2060"/>
      <c r="F2" s="2060"/>
      <c r="G2" s="2060"/>
      <c r="H2" s="2060"/>
      <c r="I2" s="2060"/>
      <c r="J2" s="2060"/>
      <c r="K2" s="2060"/>
    </row>
    <row r="3" s="2042" customFormat="1" ht="18" customHeight="1" spans="1:11">
      <c r="A3" s="726" t="s">
        <v>872</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999</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1007</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1015</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1113</v>
      </c>
      <c r="B11" s="2083" t="s">
        <v>1310</v>
      </c>
      <c r="C11" s="2084">
        <f>IF(C1="仅计算典型户型",'数据-取费表'!F18,'数据-取费表'!E18)</f>
        <v>0</v>
      </c>
      <c r="D11" s="2085"/>
      <c r="E11" s="1718"/>
      <c r="F11" s="2086">
        <f>1-'数据-取费表'!E20</f>
        <v>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1116</v>
      </c>
      <c r="B12" s="2083" t="s">
        <v>1025</v>
      </c>
      <c r="C12" s="1763">
        <f>ROUND(C11*F12,0)</f>
        <v>0</v>
      </c>
      <c r="D12" s="2085"/>
      <c r="E12" s="1718"/>
      <c r="F12" s="2087">
        <f>'数据-取费表'!E21</f>
        <v>0.03</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1143</v>
      </c>
      <c r="B13" s="2083" t="s">
        <v>1029</v>
      </c>
      <c r="C13" s="1763">
        <f>ROUND(IF('数据-取费表'!B10="住宅",C11*F13,0),0)</f>
        <v>0</v>
      </c>
      <c r="D13" s="2085"/>
      <c r="E13" s="1718"/>
      <c r="F13" s="2087">
        <f>'数据-取费表'!E22</f>
        <v>0.05</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1040</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1020</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1024</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1028</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1113</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1116</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999</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1007</v>
      </c>
      <c r="B22" s="2094" t="s">
        <v>1327</v>
      </c>
      <c r="C22" s="2095">
        <f>ROUND(C21*F22,0)</f>
        <v>0</v>
      </c>
      <c r="D22" s="2097"/>
      <c r="E22" s="2097"/>
      <c r="F22" s="2098">
        <f>'数据-取费表'!E25</f>
        <v>0.01</v>
      </c>
      <c r="G22" s="2078" t="s">
        <v>1328</v>
      </c>
      <c r="H22" s="2081"/>
      <c r="I22" s="2081"/>
      <c r="J22" s="2081"/>
      <c r="K22" s="2136"/>
      <c r="L22" s="2049"/>
      <c r="M22" s="2049"/>
      <c r="N22" s="2049"/>
    </row>
    <row r="23" s="2047" customFormat="1" ht="13.5" customHeight="1" spans="1:11">
      <c r="A23" s="2069" t="s">
        <v>1015</v>
      </c>
      <c r="B23" s="2094" t="s">
        <v>1329</v>
      </c>
      <c r="C23" s="2095">
        <f>ROUND(C4*F23*F11,0)</f>
        <v>0</v>
      </c>
      <c r="D23" s="2097"/>
      <c r="E23" s="2097"/>
      <c r="F23" s="2098">
        <f>'数据-取费表'!E26</f>
        <v>0.01</v>
      </c>
      <c r="G23" s="2078" t="s">
        <v>1330</v>
      </c>
      <c r="H23" s="2081"/>
      <c r="I23" s="2081"/>
      <c r="J23" s="2081"/>
      <c r="K23" s="2136"/>
    </row>
    <row r="24" s="2047" customFormat="1" ht="13.5" customHeight="1" spans="1:11">
      <c r="A24" s="2069" t="s">
        <v>1055</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1066</v>
      </c>
      <c r="B25" s="2096" t="s">
        <v>1334</v>
      </c>
      <c r="C25" s="2102">
        <f>C27</f>
        <v>0</v>
      </c>
      <c r="D25" s="2099">
        <f>C26</f>
        <v>0</v>
      </c>
      <c r="E25" s="2103" t="s">
        <v>1332</v>
      </c>
      <c r="F25" s="2104">
        <f>'数据-取费表'!E27</f>
        <v>0.0475</v>
      </c>
      <c r="G25" s="2070" t="s">
        <v>1335</v>
      </c>
      <c r="H25" s="2101"/>
      <c r="I25" s="2101"/>
      <c r="J25" s="2101"/>
      <c r="K25" s="2141"/>
    </row>
    <row r="26" s="2050" customFormat="1" ht="13.5" customHeight="1" spans="1:11">
      <c r="A26" s="2082" t="s">
        <v>1020</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1024</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1081</v>
      </c>
      <c r="B28" s="2111" t="s">
        <v>1339</v>
      </c>
      <c r="C28" s="2112">
        <f>C30</f>
        <v>0</v>
      </c>
      <c r="D28" s="2099">
        <f>C29</f>
        <v>0.1544</v>
      </c>
      <c r="E28" s="2103" t="s">
        <v>1332</v>
      </c>
      <c r="F28" s="970">
        <f>'数据-取费表'!E28</f>
        <v>0.15</v>
      </c>
      <c r="G28" s="2113"/>
      <c r="H28" s="2101"/>
      <c r="I28" s="2101"/>
      <c r="J28" s="2101"/>
      <c r="K28" s="2141"/>
    </row>
    <row r="29" s="2052" customFormat="1" ht="13.5" customHeight="1" spans="1:11">
      <c r="A29" s="2082" t="s">
        <v>1020</v>
      </c>
      <c r="B29" s="2114" t="s">
        <v>1340</v>
      </c>
      <c r="C29" s="2107">
        <f>ROUND((1+C24)*F28,4)</f>
        <v>0.1544</v>
      </c>
      <c r="D29" s="2107"/>
      <c r="E29" s="2108"/>
      <c r="F29" s="2115"/>
      <c r="G29" s="2070" t="s">
        <v>1341</v>
      </c>
      <c r="H29" s="2091"/>
      <c r="I29" s="2091"/>
      <c r="J29" s="2091"/>
      <c r="K29" s="2139"/>
    </row>
    <row r="30" s="2052" customFormat="1" ht="13.5" customHeight="1" spans="1:11">
      <c r="A30" s="2082" t="s">
        <v>1024</v>
      </c>
      <c r="B30" s="2114" t="s">
        <v>1342</v>
      </c>
      <c r="C30" s="2116">
        <f>ROUND((C21+C22+C23)*F28,0)</f>
        <v>0</v>
      </c>
      <c r="D30" s="2107"/>
      <c r="E30" s="2117"/>
      <c r="F30" s="2115"/>
      <c r="G30" s="2070"/>
      <c r="H30" s="2091"/>
      <c r="I30" s="2091"/>
      <c r="J30" s="2091"/>
      <c r="K30" s="2139"/>
    </row>
    <row r="31" s="2049" customFormat="1" ht="13.5" customHeight="1" spans="1:11">
      <c r="A31" s="2118" t="s">
        <v>1085</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1093</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871</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872</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1493</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59.11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885</v>
      </c>
      <c r="B7" s="1115"/>
      <c r="C7" s="1116">
        <f>'数据-取费表'!B2</f>
        <v>44873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6" si="3">D8/F8</f>
        <v>#DIV/0!</v>
      </c>
      <c r="AB8" s="1310" t="e">
        <f t="shared" ref="AB8:AB46" si="4">D8/H8</f>
        <v>#DIV/0!</v>
      </c>
      <c r="AC8" s="1310" t="e">
        <f t="shared" ref="AC8:AC46" si="5">D8/J8</f>
        <v>#DIV/0!</v>
      </c>
    </row>
    <row r="9" s="1080" customFormat="1" spans="1:29">
      <c r="A9" s="1122" t="s">
        <v>892</v>
      </c>
      <c r="B9" s="1123" t="s">
        <v>893</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899</v>
      </c>
      <c r="Q15" s="491" t="str">
        <f t="shared" si="6"/>
        <v>商业繁华度</v>
      </c>
      <c r="R15" s="1295" t="s">
        <v>887</v>
      </c>
      <c r="S15" s="1296">
        <f t="shared" si="0"/>
        <v>100</v>
      </c>
      <c r="T15" s="1295" t="s">
        <v>887</v>
      </c>
      <c r="U15" s="1296">
        <f t="shared" si="1"/>
        <v>100</v>
      </c>
      <c r="V15" s="1295" t="s">
        <v>887</v>
      </c>
      <c r="W15" s="1296">
        <f t="shared" si="2"/>
        <v>100</v>
      </c>
      <c r="X15" s="1282"/>
      <c r="Y15" s="1253" t="s">
        <v>899</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887</v>
      </c>
      <c r="S25" s="1296">
        <f>F25</f>
        <v>100</v>
      </c>
      <c r="T25" s="1295" t="s">
        <v>887</v>
      </c>
      <c r="U25" s="1296">
        <f>H25</f>
        <v>100</v>
      </c>
      <c r="V25" s="1295" t="s">
        <v>887</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887</v>
      </c>
      <c r="S26" s="1296">
        <f>F26</f>
        <v>100</v>
      </c>
      <c r="T26" s="1295" t="s">
        <v>887</v>
      </c>
      <c r="U26" s="1296">
        <f>H26</f>
        <v>100</v>
      </c>
      <c r="V26" s="1295" t="s">
        <v>887</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887</v>
      </c>
      <c r="S27" s="1291">
        <f>F27</f>
        <v>100</v>
      </c>
      <c r="T27" s="1290" t="s">
        <v>887</v>
      </c>
      <c r="U27" s="1291">
        <f>H27</f>
        <v>100</v>
      </c>
      <c r="V27" s="1290" t="s">
        <v>887</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887</v>
      </c>
      <c r="S28" s="1296">
        <f t="shared" ref="S28:S46" si="12">F28</f>
        <v>100</v>
      </c>
      <c r="T28" s="1295" t="s">
        <v>887</v>
      </c>
      <c r="U28" s="1296">
        <f t="shared" ref="U28:U46" si="13">H28</f>
        <v>100</v>
      </c>
      <c r="V28" s="1295" t="s">
        <v>887</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915</v>
      </c>
      <c r="Q32" s="491" t="str">
        <f t="shared" si="11"/>
        <v>商业类型</v>
      </c>
      <c r="R32" s="1295" t="s">
        <v>887</v>
      </c>
      <c r="S32" s="1296">
        <f t="shared" si="12"/>
        <v>100</v>
      </c>
      <c r="T32" s="1295" t="s">
        <v>887</v>
      </c>
      <c r="U32" s="1296">
        <f t="shared" si="13"/>
        <v>100</v>
      </c>
      <c r="V32" s="1295" t="s">
        <v>887</v>
      </c>
      <c r="W32" s="1296">
        <f t="shared" si="14"/>
        <v>100</v>
      </c>
      <c r="X32" s="1282"/>
      <c r="Y32" s="1267" t="s">
        <v>915</v>
      </c>
      <c r="Z32" s="1281" t="str">
        <f t="shared" si="15"/>
        <v>商业类型</v>
      </c>
      <c r="AA32" s="1312">
        <f t="shared" si="3"/>
        <v>1</v>
      </c>
      <c r="AB32" s="1312">
        <f t="shared" si="4"/>
        <v>1</v>
      </c>
      <c r="AC32" s="1312">
        <f t="shared" si="5"/>
        <v>1</v>
      </c>
    </row>
    <row r="33" s="1082" customFormat="1" ht="15" spans="1:29">
      <c r="A33" s="1190"/>
      <c r="B33" s="1127" t="s">
        <v>916</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887</v>
      </c>
      <c r="S33" s="1298" t="e">
        <f t="shared" si="12"/>
        <v>#N/A</v>
      </c>
      <c r="T33" s="1297" t="s">
        <v>887</v>
      </c>
      <c r="U33" s="1298" t="e">
        <f t="shared" si="13"/>
        <v>#N/A</v>
      </c>
      <c r="V33" s="1297" t="s">
        <v>887</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917</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887</v>
      </c>
      <c r="S35" s="1296">
        <f t="shared" si="12"/>
        <v>100</v>
      </c>
      <c r="T35" s="1295" t="s">
        <v>887</v>
      </c>
      <c r="U35" s="1296">
        <f t="shared" si="13"/>
        <v>100</v>
      </c>
      <c r="V35" s="1295" t="s">
        <v>887</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921</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887</v>
      </c>
      <c r="S36" s="1296" t="e">
        <f t="shared" si="12"/>
        <v>#N/A</v>
      </c>
      <c r="T36" s="1295" t="s">
        <v>887</v>
      </c>
      <c r="U36" s="1296" t="e">
        <f t="shared" si="13"/>
        <v>#N/A</v>
      </c>
      <c r="V36" s="1295" t="s">
        <v>887</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924</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887</v>
      </c>
      <c r="S37" s="1291">
        <f t="shared" si="12"/>
        <v>100</v>
      </c>
      <c r="T37" s="1290" t="s">
        <v>887</v>
      </c>
      <c r="U37" s="1291">
        <f t="shared" si="13"/>
        <v>100</v>
      </c>
      <c r="V37" s="1290" t="s">
        <v>887</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915</v>
      </c>
      <c r="Q38" s="491" t="str">
        <f t="shared" si="11"/>
        <v>业态</v>
      </c>
      <c r="R38" s="1295" t="s">
        <v>887</v>
      </c>
      <c r="S38" s="1296">
        <f t="shared" si="12"/>
        <v>100</v>
      </c>
      <c r="T38" s="1295" t="s">
        <v>887</v>
      </c>
      <c r="U38" s="1296">
        <f t="shared" si="13"/>
        <v>100</v>
      </c>
      <c r="V38" s="1295" t="s">
        <v>887</v>
      </c>
      <c r="W38" s="1296">
        <f t="shared" si="14"/>
        <v>100</v>
      </c>
      <c r="X38" s="1282"/>
      <c r="Y38" s="1267" t="s">
        <v>915</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887</v>
      </c>
      <c r="S39" s="1296">
        <f t="shared" si="12"/>
        <v>100</v>
      </c>
      <c r="T39" s="1295" t="s">
        <v>887</v>
      </c>
      <c r="U39" s="1296">
        <f t="shared" si="13"/>
        <v>100</v>
      </c>
      <c r="V39" s="1295" t="s">
        <v>887</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887</v>
      </c>
      <c r="S40" s="1296">
        <f t="shared" si="12"/>
        <v>100</v>
      </c>
      <c r="T40" s="1295" t="s">
        <v>887</v>
      </c>
      <c r="U40" s="1296">
        <f t="shared" si="13"/>
        <v>100</v>
      </c>
      <c r="V40" s="1295" t="s">
        <v>887</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887</v>
      </c>
      <c r="S41" s="1298">
        <f t="shared" si="12"/>
        <v>100</v>
      </c>
      <c r="T41" s="1297" t="s">
        <v>887</v>
      </c>
      <c r="U41" s="1298">
        <f t="shared" si="13"/>
        <v>100</v>
      </c>
      <c r="V41" s="1297" t="s">
        <v>887</v>
      </c>
      <c r="W41" s="1298">
        <f t="shared" si="14"/>
        <v>100</v>
      </c>
      <c r="X41" s="1299"/>
      <c r="Y41" s="1267"/>
      <c r="Z41" s="1313" t="str">
        <f t="shared" si="15"/>
        <v>进深比</v>
      </c>
      <c r="AA41" s="1312">
        <f t="shared" si="3"/>
        <v>1</v>
      </c>
      <c r="AB41" s="1312">
        <f t="shared" si="4"/>
        <v>1</v>
      </c>
      <c r="AC41" s="1312">
        <f t="shared" si="5"/>
        <v>1</v>
      </c>
    </row>
    <row r="42" ht="15" spans="1:29">
      <c r="A42" s="1185"/>
      <c r="B42" s="1127" t="s">
        <v>927</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887</v>
      </c>
      <c r="S42" s="1296">
        <f t="shared" si="12"/>
        <v>100</v>
      </c>
      <c r="T42" s="1295" t="s">
        <v>887</v>
      </c>
      <c r="U42" s="1296">
        <f t="shared" si="13"/>
        <v>100</v>
      </c>
      <c r="V42" s="1295" t="s">
        <v>887</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887</v>
      </c>
      <c r="S44" s="1291">
        <f t="shared" si="12"/>
        <v>100</v>
      </c>
      <c r="T44" s="1290" t="s">
        <v>887</v>
      </c>
      <c r="U44" s="1291">
        <f t="shared" si="13"/>
        <v>100</v>
      </c>
      <c r="V44" s="1290" t="s">
        <v>887</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930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931</v>
      </c>
      <c r="B48" s="1624"/>
      <c r="C48" s="1625" t="e">
        <f>R49</f>
        <v>#DIV/0!</v>
      </c>
      <c r="D48" s="831" t="s">
        <v>932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939</v>
      </c>
      <c r="B63" s="1341" t="s">
        <v>893</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897</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916</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917</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921</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924</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927</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41 E41 G41 I41">
      <formula1>商业进深比</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43 E43 G43 I43">
      <formula1>内部装修维护情况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1508</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59.11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7" si="3">D8/F8</f>
        <v>#DIV/0!</v>
      </c>
      <c r="AB8" s="1310" t="e">
        <f t="shared" ref="AB8:AB47" si="4">D8/H8</f>
        <v>#DIV/0!</v>
      </c>
      <c r="AC8" s="1310" t="e">
        <f t="shared" ref="AC8:AC47" si="5">D8/J8</f>
        <v>#DIV/0!</v>
      </c>
    </row>
    <row r="9" s="1080" customFormat="1" spans="1:29">
      <c r="A9" s="1122" t="s">
        <v>892</v>
      </c>
      <c r="B9" s="1123" t="s">
        <v>893</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899</v>
      </c>
      <c r="Q15" s="491" t="str">
        <f t="shared" si="6"/>
        <v>办公集聚程度</v>
      </c>
      <c r="R15" s="1295" t="s">
        <v>887</v>
      </c>
      <c r="S15" s="1296">
        <f t="shared" si="0"/>
        <v>100</v>
      </c>
      <c r="T15" s="1295" t="s">
        <v>887</v>
      </c>
      <c r="U15" s="1296">
        <f t="shared" si="1"/>
        <v>100</v>
      </c>
      <c r="V15" s="1295" t="s">
        <v>887</v>
      </c>
      <c r="W15" s="1296">
        <f t="shared" si="2"/>
        <v>100</v>
      </c>
      <c r="X15" s="1282"/>
      <c r="Y15" s="1253" t="s">
        <v>899</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887</v>
      </c>
      <c r="S23" s="1296">
        <f>F23</f>
        <v>100</v>
      </c>
      <c r="T23" s="1295" t="s">
        <v>887</v>
      </c>
      <c r="U23" s="1296">
        <f>H23</f>
        <v>100</v>
      </c>
      <c r="V23" s="1295" t="s">
        <v>887</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887</v>
      </c>
      <c r="S25" s="1296">
        <f>F25</f>
        <v>100</v>
      </c>
      <c r="T25" s="1295" t="s">
        <v>887</v>
      </c>
      <c r="U25" s="1296">
        <f>H25</f>
        <v>100</v>
      </c>
      <c r="V25" s="1295" t="s">
        <v>887</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887</v>
      </c>
      <c r="S27" s="1296">
        <f>F27</f>
        <v>100</v>
      </c>
      <c r="T27" s="1295" t="s">
        <v>887</v>
      </c>
      <c r="U27" s="1296">
        <f>H27</f>
        <v>100</v>
      </c>
      <c r="V27" s="1295" t="s">
        <v>887</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887</v>
      </c>
      <c r="S28" s="1291">
        <f>F28</f>
        <v>100</v>
      </c>
      <c r="T28" s="1290" t="s">
        <v>887</v>
      </c>
      <c r="U28" s="1291">
        <f>H28</f>
        <v>100</v>
      </c>
      <c r="V28" s="1290" t="s">
        <v>887</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887</v>
      </c>
      <c r="S29" s="1296">
        <f t="shared" ref="S29:S47" si="12">F29</f>
        <v>100</v>
      </c>
      <c r="T29" s="1295" t="s">
        <v>887</v>
      </c>
      <c r="U29" s="1296">
        <f t="shared" ref="U29:U47" si="13">H29</f>
        <v>100</v>
      </c>
      <c r="V29" s="1295" t="s">
        <v>887</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887</v>
      </c>
      <c r="S32" s="1296">
        <f t="shared" si="12"/>
        <v>100</v>
      </c>
      <c r="T32" s="1295" t="s">
        <v>887</v>
      </c>
      <c r="U32" s="1296">
        <f t="shared" si="13"/>
        <v>100</v>
      </c>
      <c r="V32" s="1295" t="s">
        <v>887</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915</v>
      </c>
      <c r="Q33" s="491" t="str">
        <f t="shared" si="11"/>
        <v>建筑类型</v>
      </c>
      <c r="R33" s="1295" t="s">
        <v>887</v>
      </c>
      <c r="S33" s="1296">
        <f t="shared" si="12"/>
        <v>100</v>
      </c>
      <c r="T33" s="1295" t="s">
        <v>887</v>
      </c>
      <c r="U33" s="1296">
        <f t="shared" si="13"/>
        <v>100</v>
      </c>
      <c r="V33" s="1295" t="s">
        <v>887</v>
      </c>
      <c r="W33" s="1296">
        <f t="shared" si="14"/>
        <v>100</v>
      </c>
      <c r="X33" s="1282"/>
      <c r="Y33" s="1267" t="s">
        <v>915</v>
      </c>
      <c r="Z33" s="1281" t="str">
        <f t="shared" si="15"/>
        <v>建筑类型</v>
      </c>
      <c r="AA33" s="1312">
        <f t="shared" si="3"/>
        <v>1</v>
      </c>
      <c r="AB33" s="1312">
        <f t="shared" si="4"/>
        <v>1</v>
      </c>
      <c r="AC33" s="1312">
        <f t="shared" si="5"/>
        <v>1</v>
      </c>
    </row>
    <row r="34" s="1082" customFormat="1" ht="15" spans="1:29">
      <c r="A34" s="1190"/>
      <c r="B34" s="1127" t="s">
        <v>916</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887</v>
      </c>
      <c r="S34" s="1298" t="e">
        <f t="shared" si="12"/>
        <v>#N/A</v>
      </c>
      <c r="T34" s="1297" t="s">
        <v>887</v>
      </c>
      <c r="U34" s="1298" t="e">
        <f t="shared" si="13"/>
        <v>#N/A</v>
      </c>
      <c r="V34" s="1297" t="s">
        <v>887</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917</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887</v>
      </c>
      <c r="S35" s="1296">
        <f t="shared" si="12"/>
        <v>100</v>
      </c>
      <c r="T35" s="1295" t="s">
        <v>887</v>
      </c>
      <c r="U35" s="1296">
        <f t="shared" si="13"/>
        <v>100</v>
      </c>
      <c r="V35" s="1295" t="s">
        <v>887</v>
      </c>
      <c r="W35" s="1296">
        <f t="shared" si="14"/>
        <v>100</v>
      </c>
      <c r="X35" s="1282"/>
      <c r="Y35" s="1267"/>
      <c r="Z35" s="1281" t="str">
        <f t="shared" si="15"/>
        <v>建筑结构</v>
      </c>
      <c r="AA35" s="1312">
        <f t="shared" si="3"/>
        <v>1</v>
      </c>
      <c r="AB35" s="1312">
        <f t="shared" si="4"/>
        <v>1</v>
      </c>
      <c r="AC35" s="1312">
        <f t="shared" si="5"/>
        <v>1</v>
      </c>
    </row>
    <row r="36" ht="15" spans="1:29">
      <c r="A36" s="1185"/>
      <c r="B36" s="1127" t="s">
        <v>920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921</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887</v>
      </c>
      <c r="S37" s="1296" t="e">
        <f t="shared" si="12"/>
        <v>#N/A</v>
      </c>
      <c r="T37" s="1295" t="s">
        <v>887</v>
      </c>
      <c r="U37" s="1296" t="e">
        <f t="shared" si="13"/>
        <v>#N/A</v>
      </c>
      <c r="V37" s="1295" t="s">
        <v>887</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887</v>
      </c>
      <c r="S38" s="1291">
        <f t="shared" si="12"/>
        <v>100</v>
      </c>
      <c r="T38" s="1290" t="s">
        <v>887</v>
      </c>
      <c r="U38" s="1291">
        <f t="shared" si="13"/>
        <v>100</v>
      </c>
      <c r="V38" s="1290" t="s">
        <v>887</v>
      </c>
      <c r="W38" s="1291">
        <f t="shared" si="14"/>
        <v>100</v>
      </c>
      <c r="X38" s="1292"/>
      <c r="Y38" s="1267"/>
      <c r="Z38" s="1311" t="str">
        <f t="shared" si="15"/>
        <v>写字楼等级</v>
      </c>
      <c r="AA38" s="1310">
        <f t="shared" si="3"/>
        <v>1</v>
      </c>
      <c r="AB38" s="1310">
        <f t="shared" si="4"/>
        <v>1</v>
      </c>
      <c r="AC38" s="1310">
        <f t="shared" si="5"/>
        <v>1</v>
      </c>
    </row>
    <row r="39" ht="15" spans="1:29">
      <c r="A39" s="1185"/>
      <c r="B39" s="1127" t="s">
        <v>922</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915</v>
      </c>
      <c r="Q39" s="491" t="str">
        <f t="shared" si="11"/>
        <v>物业管理</v>
      </c>
      <c r="R39" s="1295" t="s">
        <v>887</v>
      </c>
      <c r="S39" s="1296">
        <f t="shared" si="12"/>
        <v>100</v>
      </c>
      <c r="T39" s="1295" t="s">
        <v>887</v>
      </c>
      <c r="U39" s="1296">
        <f t="shared" si="13"/>
        <v>100</v>
      </c>
      <c r="V39" s="1295" t="s">
        <v>887</v>
      </c>
      <c r="W39" s="1296">
        <f t="shared" si="14"/>
        <v>100</v>
      </c>
      <c r="X39" s="1282"/>
      <c r="Y39" s="1267" t="s">
        <v>915</v>
      </c>
      <c r="Z39" s="1281" t="str">
        <f t="shared" si="15"/>
        <v>物业管理</v>
      </c>
      <c r="AA39" s="1312">
        <f t="shared" si="3"/>
        <v>1</v>
      </c>
      <c r="AB39" s="1312">
        <f t="shared" si="4"/>
        <v>1</v>
      </c>
      <c r="AC39" s="1312">
        <f t="shared" si="5"/>
        <v>1</v>
      </c>
    </row>
    <row r="40" ht="15" spans="1:29">
      <c r="A40" s="1185"/>
      <c r="B40" s="1127" t="s">
        <v>924</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887</v>
      </c>
      <c r="S40" s="1296">
        <f t="shared" si="12"/>
        <v>100</v>
      </c>
      <c r="T40" s="1295" t="s">
        <v>887</v>
      </c>
      <c r="U40" s="1296">
        <f t="shared" si="13"/>
        <v>100</v>
      </c>
      <c r="V40" s="1295" t="s">
        <v>887</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887</v>
      </c>
      <c r="S41" s="1296">
        <f t="shared" si="12"/>
        <v>100</v>
      </c>
      <c r="T41" s="1295" t="s">
        <v>887</v>
      </c>
      <c r="U41" s="1296">
        <f t="shared" si="13"/>
        <v>100</v>
      </c>
      <c r="V41" s="1295" t="s">
        <v>887</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887</v>
      </c>
      <c r="S42" s="1298">
        <f t="shared" si="12"/>
        <v>100</v>
      </c>
      <c r="T42" s="1297" t="s">
        <v>887</v>
      </c>
      <c r="U42" s="1298">
        <f t="shared" si="13"/>
        <v>100</v>
      </c>
      <c r="V42" s="1297" t="s">
        <v>887</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927</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887</v>
      </c>
      <c r="S43" s="1296">
        <f t="shared" si="12"/>
        <v>100</v>
      </c>
      <c r="T43" s="1295" t="s">
        <v>887</v>
      </c>
      <c r="U43" s="1296">
        <f t="shared" si="13"/>
        <v>100</v>
      </c>
      <c r="V43" s="1295" t="s">
        <v>887</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887</v>
      </c>
      <c r="S44" s="1296">
        <f t="shared" si="12"/>
        <v>100</v>
      </c>
      <c r="T44" s="1295" t="s">
        <v>887</v>
      </c>
      <c r="U44" s="1296">
        <f t="shared" si="13"/>
        <v>100</v>
      </c>
      <c r="V44" s="1295" t="s">
        <v>887</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887</v>
      </c>
      <c r="S45" s="1291">
        <f t="shared" si="12"/>
        <v>100</v>
      </c>
      <c r="T45" s="1290" t="s">
        <v>887</v>
      </c>
      <c r="U45" s="1291">
        <f t="shared" si="13"/>
        <v>100</v>
      </c>
      <c r="V45" s="1290" t="s">
        <v>887</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887</v>
      </c>
      <c r="S46" s="1296">
        <f t="shared" si="12"/>
        <v>100</v>
      </c>
      <c r="T46" s="1295" t="s">
        <v>887</v>
      </c>
      <c r="U46" s="1296">
        <f t="shared" si="13"/>
        <v>100</v>
      </c>
      <c r="V46" s="1295" t="s">
        <v>887</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887</v>
      </c>
      <c r="S47" s="1296">
        <f t="shared" si="12"/>
        <v>100</v>
      </c>
      <c r="T47" s="1295" t="s">
        <v>887</v>
      </c>
      <c r="U47" s="1296">
        <f t="shared" si="13"/>
        <v>100</v>
      </c>
      <c r="V47" s="1295" t="s">
        <v>887</v>
      </c>
      <c r="W47" s="1296">
        <f t="shared" si="14"/>
        <v>100</v>
      </c>
      <c r="X47" s="1282"/>
      <c r="Y47" s="1314"/>
      <c r="Z47" s="1281">
        <f t="shared" si="15"/>
        <v>111</v>
      </c>
      <c r="AA47" s="1312">
        <f t="shared" si="3"/>
        <v>1</v>
      </c>
      <c r="AB47" s="1312">
        <f t="shared" si="4"/>
        <v>1</v>
      </c>
      <c r="AC47" s="1312">
        <f t="shared" si="5"/>
        <v>1</v>
      </c>
    </row>
    <row r="48" ht="15" spans="1:29">
      <c r="A48" s="1193" t="s">
        <v>930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931</v>
      </c>
      <c r="B49" s="1624"/>
      <c r="C49" s="1625" t="e">
        <f>R50</f>
        <v>#DIV/0!</v>
      </c>
      <c r="D49" s="831" t="s">
        <v>932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937</v>
      </c>
      <c r="B58" s="1300"/>
      <c r="C58" s="1324"/>
      <c r="D58" s="1324"/>
      <c r="E58" s="1324"/>
      <c r="F58" s="1324"/>
      <c r="G58" s="1324"/>
      <c r="H58" s="1324"/>
      <c r="I58" s="1324"/>
      <c r="J58" s="1324"/>
      <c r="K58" s="1640"/>
      <c r="L58" s="1641"/>
      <c r="M58" s="1324"/>
      <c r="N58" s="1642"/>
      <c r="O58" s="1642"/>
      <c r="P58" s="1378"/>
      <c r="Q58" s="1382"/>
    </row>
    <row r="59" s="1575" customFormat="1" ht="15" spans="1:16">
      <c r="A59" s="1628" t="s">
        <v>885</v>
      </c>
      <c r="B59" s="1629"/>
      <c r="C59" s="1630" t="str">
        <f>YEAR(C7)&amp;"-"&amp;MONTH(C7)</f>
        <v>2022-11</v>
      </c>
      <c r="D59" s="1631">
        <f>EDATE(C59,-1)</f>
        <v>44835</v>
      </c>
      <c r="E59" s="1631">
        <f t="shared" ref="E59:O59" si="16">EDATE(D59,-1)</f>
        <v>44805</v>
      </c>
      <c r="F59" s="1631">
        <f t="shared" si="16"/>
        <v>44774</v>
      </c>
      <c r="G59" s="1631">
        <f t="shared" si="16"/>
        <v>44743</v>
      </c>
      <c r="H59" s="1631">
        <f t="shared" si="16"/>
        <v>44713</v>
      </c>
      <c r="I59" s="1631">
        <f t="shared" si="16"/>
        <v>44682</v>
      </c>
      <c r="J59" s="1631">
        <f t="shared" si="16"/>
        <v>44652</v>
      </c>
      <c r="K59" s="1631">
        <f t="shared" si="16"/>
        <v>44621</v>
      </c>
      <c r="L59" s="1631">
        <f t="shared" si="16"/>
        <v>44593</v>
      </c>
      <c r="M59" s="1631">
        <f t="shared" si="16"/>
        <v>44562</v>
      </c>
      <c r="N59" s="1631">
        <f t="shared" si="16"/>
        <v>44531</v>
      </c>
      <c r="O59" s="1631">
        <f t="shared" si="16"/>
        <v>44501</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938</v>
      </c>
      <c r="B61" s="1332"/>
      <c r="C61" s="1333"/>
      <c r="D61" s="1334"/>
      <c r="E61" s="1334"/>
      <c r="F61" s="1334"/>
      <c r="G61" s="1334"/>
      <c r="H61" s="1334"/>
      <c r="I61" s="1334"/>
      <c r="J61" s="1334"/>
      <c r="K61" s="1334"/>
      <c r="L61" s="1334"/>
      <c r="M61" s="1383"/>
      <c r="N61" s="1334"/>
      <c r="O61" s="1645"/>
      <c r="P61" s="1382"/>
      <c r="Q61" s="1382"/>
    </row>
    <row r="62" s="1080" customFormat="1" ht="15" spans="1:17">
      <c r="A62" s="1335" t="s">
        <v>888</v>
      </c>
      <c r="B62" s="1336"/>
      <c r="C62" s="1337" t="s">
        <v>889</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939</v>
      </c>
      <c r="B64" s="1341" t="s">
        <v>893</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896</v>
      </c>
      <c r="C66" s="1346" t="s">
        <v>940</v>
      </c>
      <c r="D66" s="1346" t="s">
        <v>941</v>
      </c>
      <c r="E66" s="1346" t="s">
        <v>942</v>
      </c>
      <c r="F66" s="1346" t="s">
        <v>943</v>
      </c>
      <c r="G66" s="1346" t="s">
        <v>944</v>
      </c>
      <c r="H66" s="1346" t="s">
        <v>945</v>
      </c>
      <c r="I66" s="1346" t="s">
        <v>946</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897</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898</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947</v>
      </c>
      <c r="D83" s="1346" t="s">
        <v>948</v>
      </c>
      <c r="E83" s="1346" t="s">
        <v>949</v>
      </c>
      <c r="F83" s="1346" t="s">
        <v>950</v>
      </c>
      <c r="G83" s="1346" t="s">
        <v>951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916</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917</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921</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922</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924</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927</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867</v>
      </c>
      <c r="B1" s="1483" t="s">
        <v>1513</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890</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59" t="s">
        <v>897</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887</v>
      </c>
      <c r="S19" s="948">
        <f>F19</f>
        <v>100</v>
      </c>
      <c r="T19" s="947" t="s">
        <v>887</v>
      </c>
      <c r="U19" s="948">
        <f>H19</f>
        <v>100</v>
      </c>
      <c r="V19" s="947" t="s">
        <v>887</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887</v>
      </c>
      <c r="S21" s="948">
        <f>F21</f>
        <v>100</v>
      </c>
      <c r="T21" s="947" t="s">
        <v>887</v>
      </c>
      <c r="U21" s="948">
        <f>H21</f>
        <v>100</v>
      </c>
      <c r="V21" s="947" t="s">
        <v>887</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887</v>
      </c>
      <c r="S23" s="948">
        <f>F23</f>
        <v>100</v>
      </c>
      <c r="T23" s="947" t="s">
        <v>887</v>
      </c>
      <c r="U23" s="948">
        <f>H23</f>
        <v>100</v>
      </c>
      <c r="V23" s="947" t="s">
        <v>887</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887</v>
      </c>
      <c r="S25" s="948">
        <f>F25</f>
        <v>100</v>
      </c>
      <c r="T25" s="947" t="s">
        <v>887</v>
      </c>
      <c r="U25" s="948">
        <f>H25</f>
        <v>100</v>
      </c>
      <c r="V25" s="947" t="s">
        <v>887</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887</v>
      </c>
      <c r="S26" s="948">
        <f>F26</f>
        <v>100</v>
      </c>
      <c r="T26" s="947" t="s">
        <v>887</v>
      </c>
      <c r="U26" s="948">
        <f>H26</f>
        <v>100</v>
      </c>
      <c r="V26" s="947" t="s">
        <v>887</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887</v>
      </c>
      <c r="S27" s="943">
        <f>F27</f>
        <v>100</v>
      </c>
      <c r="T27" s="942" t="s">
        <v>887</v>
      </c>
      <c r="U27" s="943">
        <f>H27</f>
        <v>100</v>
      </c>
      <c r="V27" s="942" t="s">
        <v>887</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887</v>
      </c>
      <c r="S28" s="948">
        <f t="shared" ref="S28:S40" si="12">F28</f>
        <v>100</v>
      </c>
      <c r="T28" s="947" t="s">
        <v>887</v>
      </c>
      <c r="U28" s="948">
        <f t="shared" ref="U28:U40" si="13">H28</f>
        <v>100</v>
      </c>
      <c r="V28" s="947" t="s">
        <v>887</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915</v>
      </c>
      <c r="Q29" s="893" t="str">
        <f t="shared" si="11"/>
        <v>建筑类型</v>
      </c>
      <c r="R29" s="947" t="s">
        <v>887</v>
      </c>
      <c r="S29" s="948">
        <f t="shared" si="12"/>
        <v>100</v>
      </c>
      <c r="T29" s="947" t="s">
        <v>887</v>
      </c>
      <c r="U29" s="948">
        <f t="shared" si="13"/>
        <v>100</v>
      </c>
      <c r="V29" s="947" t="s">
        <v>887</v>
      </c>
      <c r="W29" s="948">
        <f t="shared" si="14"/>
        <v>100</v>
      </c>
      <c r="X29" s="934"/>
      <c r="Y29" s="913" t="s">
        <v>915</v>
      </c>
      <c r="Z29" s="851" t="str">
        <f t="shared" si="15"/>
        <v>建筑类型</v>
      </c>
      <c r="AA29" s="963">
        <f t="shared" si="3"/>
        <v>1</v>
      </c>
      <c r="AB29" s="963">
        <f t="shared" si="4"/>
        <v>1</v>
      </c>
      <c r="AC29" s="963">
        <f t="shared" si="5"/>
        <v>1</v>
      </c>
    </row>
    <row r="30" s="709" customFormat="1" ht="15" spans="1:29">
      <c r="A30" s="818"/>
      <c r="B30" s="759" t="s">
        <v>916</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887</v>
      </c>
      <c r="S30" s="950" t="e">
        <f t="shared" si="12"/>
        <v>#N/A</v>
      </c>
      <c r="T30" s="949" t="s">
        <v>887</v>
      </c>
      <c r="U30" s="950" t="e">
        <f t="shared" si="13"/>
        <v>#N/A</v>
      </c>
      <c r="V30" s="949" t="s">
        <v>887</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917</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887</v>
      </c>
      <c r="S31" s="948">
        <f t="shared" si="12"/>
        <v>100</v>
      </c>
      <c r="T31" s="947" t="s">
        <v>887</v>
      </c>
      <c r="U31" s="948">
        <f t="shared" si="13"/>
        <v>100</v>
      </c>
      <c r="V31" s="947" t="s">
        <v>887</v>
      </c>
      <c r="W31" s="948">
        <f t="shared" si="14"/>
        <v>100</v>
      </c>
      <c r="X31" s="934"/>
      <c r="Y31" s="913"/>
      <c r="Z31" s="851" t="str">
        <f t="shared" si="15"/>
        <v>建筑结构</v>
      </c>
      <c r="AA31" s="963">
        <f t="shared" si="3"/>
        <v>1</v>
      </c>
      <c r="AB31" s="963">
        <f t="shared" si="4"/>
        <v>1</v>
      </c>
      <c r="AC31" s="963">
        <f t="shared" si="5"/>
        <v>1</v>
      </c>
    </row>
    <row r="32" ht="15" spans="1:29">
      <c r="A32" s="810"/>
      <c r="B32" s="759" t="s">
        <v>920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887</v>
      </c>
      <c r="S32" s="948">
        <f t="shared" si="12"/>
        <v>100</v>
      </c>
      <c r="T32" s="947" t="s">
        <v>887</v>
      </c>
      <c r="U32" s="948">
        <f t="shared" si="13"/>
        <v>100</v>
      </c>
      <c r="V32" s="947" t="s">
        <v>887</v>
      </c>
      <c r="W32" s="948">
        <f t="shared" si="14"/>
        <v>100</v>
      </c>
      <c r="X32" s="934"/>
      <c r="Y32" s="913"/>
      <c r="Z32" s="851" t="str">
        <f t="shared" si="15"/>
        <v>公共部分装修</v>
      </c>
      <c r="AA32" s="963">
        <f t="shared" si="3"/>
        <v>1</v>
      </c>
      <c r="AB32" s="963">
        <f t="shared" si="4"/>
        <v>1</v>
      </c>
      <c r="AC32" s="963">
        <f t="shared" si="5"/>
        <v>1</v>
      </c>
    </row>
    <row r="33" ht="15" spans="1:29">
      <c r="A33" s="810"/>
      <c r="B33" s="759" t="s">
        <v>921</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887</v>
      </c>
      <c r="S33" s="948" t="e">
        <f t="shared" si="12"/>
        <v>#N/A</v>
      </c>
      <c r="T33" s="947" t="s">
        <v>887</v>
      </c>
      <c r="U33" s="948" t="e">
        <f t="shared" si="13"/>
        <v>#N/A</v>
      </c>
      <c r="V33" s="947" t="s">
        <v>887</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922</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887</v>
      </c>
      <c r="S34" s="943">
        <f t="shared" si="12"/>
        <v>100</v>
      </c>
      <c r="T34" s="942" t="s">
        <v>887</v>
      </c>
      <c r="U34" s="943">
        <f t="shared" si="13"/>
        <v>100</v>
      </c>
      <c r="V34" s="942" t="s">
        <v>887</v>
      </c>
      <c r="W34" s="943">
        <f t="shared" si="14"/>
        <v>100</v>
      </c>
      <c r="X34" s="944"/>
      <c r="Y34" s="913"/>
      <c r="Z34" s="962" t="str">
        <f t="shared" si="15"/>
        <v>物业管理</v>
      </c>
      <c r="AA34" s="961">
        <f t="shared" si="3"/>
        <v>1</v>
      </c>
      <c r="AB34" s="961">
        <f t="shared" si="4"/>
        <v>1</v>
      </c>
      <c r="AC34" s="961">
        <f t="shared" si="5"/>
        <v>1</v>
      </c>
    </row>
    <row r="35" ht="15" spans="1:29">
      <c r="A35" s="810"/>
      <c r="B35" s="759" t="s">
        <v>924</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915</v>
      </c>
      <c r="Q35" s="893" t="str">
        <f t="shared" si="11"/>
        <v>市政基础设施</v>
      </c>
      <c r="R35" s="947" t="s">
        <v>887</v>
      </c>
      <c r="S35" s="948">
        <f t="shared" si="12"/>
        <v>100</v>
      </c>
      <c r="T35" s="947" t="s">
        <v>887</v>
      </c>
      <c r="U35" s="948">
        <f t="shared" si="13"/>
        <v>100</v>
      </c>
      <c r="V35" s="947" t="s">
        <v>887</v>
      </c>
      <c r="W35" s="948">
        <f t="shared" si="14"/>
        <v>100</v>
      </c>
      <c r="X35" s="934"/>
      <c r="Y35" s="913" t="s">
        <v>915</v>
      </c>
      <c r="Z35" s="851" t="str">
        <f t="shared" si="15"/>
        <v>市政基础设施</v>
      </c>
      <c r="AA35" s="963">
        <f t="shared" si="3"/>
        <v>1</v>
      </c>
      <c r="AB35" s="963">
        <f t="shared" si="4"/>
        <v>1</v>
      </c>
      <c r="AC35" s="963">
        <f t="shared" si="5"/>
        <v>1</v>
      </c>
    </row>
    <row r="36" ht="15" spans="1:29">
      <c r="A36" s="810"/>
      <c r="B36" s="759" t="s">
        <v>927</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887</v>
      </c>
      <c r="S36" s="948">
        <f t="shared" si="12"/>
        <v>100</v>
      </c>
      <c r="T36" s="947" t="s">
        <v>887</v>
      </c>
      <c r="U36" s="948">
        <f t="shared" si="13"/>
        <v>100</v>
      </c>
      <c r="V36" s="947" t="s">
        <v>887</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887</v>
      </c>
      <c r="S37" s="948">
        <f t="shared" si="12"/>
        <v>100</v>
      </c>
      <c r="T37" s="947" t="s">
        <v>887</v>
      </c>
      <c r="U37" s="948">
        <f t="shared" si="13"/>
        <v>100</v>
      </c>
      <c r="V37" s="947" t="s">
        <v>887</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887</v>
      </c>
      <c r="S38" s="950">
        <f t="shared" si="12"/>
        <v>100</v>
      </c>
      <c r="T38" s="949" t="s">
        <v>887</v>
      </c>
      <c r="U38" s="950">
        <f t="shared" si="13"/>
        <v>100</v>
      </c>
      <c r="V38" s="949" t="s">
        <v>887</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887</v>
      </c>
      <c r="S39" s="948">
        <f t="shared" si="12"/>
        <v>100</v>
      </c>
      <c r="T39" s="947" t="s">
        <v>887</v>
      </c>
      <c r="U39" s="948">
        <f t="shared" si="13"/>
        <v>100</v>
      </c>
      <c r="V39" s="947" t="s">
        <v>887</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887</v>
      </c>
      <c r="S40" s="948">
        <f t="shared" si="12"/>
        <v>100</v>
      </c>
      <c r="T40" s="947" t="s">
        <v>887</v>
      </c>
      <c r="U40" s="948">
        <f t="shared" si="13"/>
        <v>100</v>
      </c>
      <c r="V40" s="947" t="s">
        <v>887</v>
      </c>
      <c r="W40" s="948">
        <f t="shared" si="14"/>
        <v>100</v>
      </c>
      <c r="X40" s="934"/>
      <c r="Y40" s="1572"/>
      <c r="Z40" s="851">
        <f t="shared" si="15"/>
        <v>111</v>
      </c>
      <c r="AA40" s="963">
        <f t="shared" si="3"/>
        <v>1</v>
      </c>
      <c r="AB40" s="963">
        <f t="shared" si="4"/>
        <v>1</v>
      </c>
      <c r="AC40" s="963">
        <f t="shared" si="5"/>
        <v>1</v>
      </c>
    </row>
    <row r="41" ht="15" spans="1:29">
      <c r="A41" s="820" t="s">
        <v>930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931</v>
      </c>
      <c r="B42" s="1470"/>
      <c r="C42" s="1471" t="e">
        <f>R43</f>
        <v>#DIV/0!</v>
      </c>
      <c r="D42" s="831" t="s">
        <v>932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937</v>
      </c>
      <c r="B51" s="872"/>
      <c r="C51" s="873"/>
      <c r="D51" s="873"/>
      <c r="E51" s="873"/>
      <c r="F51" s="874"/>
      <c r="G51" s="874"/>
      <c r="H51" s="873"/>
      <c r="I51" s="873"/>
      <c r="J51" s="873"/>
      <c r="K51" s="1488"/>
      <c r="L51" s="1489"/>
      <c r="M51" s="873"/>
      <c r="N51" s="1490"/>
      <c r="O51" s="1490"/>
      <c r="P51" s="930"/>
      <c r="Q51" s="955"/>
    </row>
    <row r="52" s="712" customFormat="1" ht="15" spans="1:16">
      <c r="A52" s="1474" t="s">
        <v>885</v>
      </c>
      <c r="B52" s="1475"/>
      <c r="C52" s="1476" t="str">
        <f>YEAR(C7)&amp;"-"&amp;MONTH(C7)</f>
        <v>2022-11</v>
      </c>
      <c r="D52" s="1477">
        <f>EDATE(C52,-1)</f>
        <v>44835</v>
      </c>
      <c r="E52" s="1571">
        <f t="shared" ref="E52:O52" si="16">EDATE(D52,-1)</f>
        <v>44805</v>
      </c>
      <c r="F52" s="1571">
        <f t="shared" si="16"/>
        <v>44774</v>
      </c>
      <c r="G52" s="1571">
        <f t="shared" si="16"/>
        <v>44743</v>
      </c>
      <c r="H52" s="1571">
        <f t="shared" si="16"/>
        <v>44713</v>
      </c>
      <c r="I52" s="1571">
        <f t="shared" si="16"/>
        <v>44682</v>
      </c>
      <c r="J52" s="1571">
        <f t="shared" si="16"/>
        <v>44652</v>
      </c>
      <c r="K52" s="1571">
        <f t="shared" si="16"/>
        <v>44621</v>
      </c>
      <c r="L52" s="1571">
        <f t="shared" si="16"/>
        <v>44593</v>
      </c>
      <c r="M52" s="1571">
        <f t="shared" si="16"/>
        <v>44562</v>
      </c>
      <c r="N52" s="1571">
        <f t="shared" si="16"/>
        <v>44531</v>
      </c>
      <c r="O52" s="1571">
        <f t="shared" si="16"/>
        <v>44501</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938</v>
      </c>
      <c r="B54" s="973"/>
      <c r="C54" s="974"/>
      <c r="D54" s="975"/>
      <c r="E54" s="975"/>
      <c r="F54" s="975"/>
      <c r="G54" s="975"/>
      <c r="H54" s="975"/>
      <c r="I54" s="975"/>
      <c r="J54" s="975"/>
      <c r="K54" s="975"/>
      <c r="L54" s="975"/>
      <c r="M54" s="1024"/>
      <c r="N54" s="975"/>
      <c r="O54" s="1492"/>
      <c r="P54" s="955"/>
      <c r="Q54" s="955"/>
    </row>
    <row r="55" s="707" customFormat="1" ht="15" spans="1:17">
      <c r="A55" s="976" t="s">
        <v>888</v>
      </c>
      <c r="B55" s="977"/>
      <c r="C55" s="978" t="s">
        <v>889</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939</v>
      </c>
      <c r="B57" s="983" t="s">
        <v>893</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896</v>
      </c>
      <c r="C59" s="988" t="s">
        <v>940</v>
      </c>
      <c r="D59" s="988" t="s">
        <v>941</v>
      </c>
      <c r="E59" s="988" t="s">
        <v>942</v>
      </c>
      <c r="F59" s="988" t="s">
        <v>943</v>
      </c>
      <c r="G59" s="988" t="s">
        <v>944</v>
      </c>
      <c r="H59" s="988" t="s">
        <v>945</v>
      </c>
      <c r="I59" s="988" t="s">
        <v>946</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897</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898</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947</v>
      </c>
      <c r="D76" s="988" t="s">
        <v>948</v>
      </c>
      <c r="E76" s="988" t="s">
        <v>949</v>
      </c>
      <c r="F76" s="988" t="s">
        <v>950</v>
      </c>
      <c r="G76" s="988" t="s">
        <v>951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916</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921</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922</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924</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927</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59.11</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6" si="3">D8/F8</f>
        <v>#DIV/0!</v>
      </c>
      <c r="AB8" s="961" t="e">
        <f t="shared" ref="AB8:AB36" si="4">D8/H8</f>
        <v>#DIV/0!</v>
      </c>
      <c r="AC8" s="961" t="e">
        <f t="shared" ref="AC8:AC36" si="5">D8/J8</f>
        <v>#DIV/0!</v>
      </c>
    </row>
    <row r="9" s="707" customFormat="1" spans="1:29">
      <c r="A9" s="1508" t="s">
        <v>892</v>
      </c>
      <c r="B9" s="1509" t="s">
        <v>893</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1511"/>
      <c r="B10" s="1512" t="s">
        <v>896</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28" t="s">
        <v>898</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538" t="s">
        <v>912</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915</v>
      </c>
      <c r="Q26" s="893" t="str">
        <f t="shared" si="11"/>
        <v>配套类型</v>
      </c>
      <c r="R26" s="947" t="s">
        <v>887</v>
      </c>
      <c r="S26" s="948">
        <f t="shared" ref="S26:S36" si="12">F26</f>
        <v>100</v>
      </c>
      <c r="T26" s="947" t="s">
        <v>887</v>
      </c>
      <c r="U26" s="948">
        <f t="shared" ref="U26:U36" si="13">H26</f>
        <v>100</v>
      </c>
      <c r="V26" s="947" t="s">
        <v>887</v>
      </c>
      <c r="W26" s="948">
        <f t="shared" ref="W26:W36" si="14">J26</f>
        <v>100</v>
      </c>
      <c r="X26" s="934"/>
      <c r="Y26" s="913" t="s">
        <v>915</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887</v>
      </c>
      <c r="S27" s="950">
        <f t="shared" si="12"/>
        <v>100</v>
      </c>
      <c r="T27" s="949" t="s">
        <v>887</v>
      </c>
      <c r="U27" s="950">
        <f t="shared" si="13"/>
        <v>100</v>
      </c>
      <c r="V27" s="949" t="s">
        <v>887</v>
      </c>
      <c r="W27" s="950">
        <f t="shared" si="14"/>
        <v>100</v>
      </c>
      <c r="X27" s="951"/>
      <c r="Y27" s="913"/>
      <c r="Z27" s="964" t="str">
        <f t="shared" si="15"/>
        <v>项目停车位配比</v>
      </c>
      <c r="AA27" s="963">
        <f t="shared" si="3"/>
        <v>1</v>
      </c>
      <c r="AB27" s="963">
        <f t="shared" si="4"/>
        <v>1</v>
      </c>
      <c r="AC27" s="963">
        <f t="shared" si="5"/>
        <v>1</v>
      </c>
    </row>
    <row r="28" ht="15" spans="1:29">
      <c r="A28" s="1543"/>
      <c r="B28" s="799" t="s">
        <v>920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887</v>
      </c>
      <c r="S28" s="948">
        <f t="shared" si="12"/>
        <v>100</v>
      </c>
      <c r="T28" s="947" t="s">
        <v>887</v>
      </c>
      <c r="U28" s="948">
        <f t="shared" si="13"/>
        <v>100</v>
      </c>
      <c r="V28" s="947" t="s">
        <v>887</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887</v>
      </c>
      <c r="S29" s="948" t="e">
        <f t="shared" si="12"/>
        <v>#N/A</v>
      </c>
      <c r="T29" s="947" t="s">
        <v>887</v>
      </c>
      <c r="U29" s="948" t="e">
        <f t="shared" si="13"/>
        <v>#N/A</v>
      </c>
      <c r="V29" s="947" t="s">
        <v>887</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887</v>
      </c>
      <c r="S30" s="948">
        <f t="shared" si="12"/>
        <v>100</v>
      </c>
      <c r="T30" s="947" t="s">
        <v>887</v>
      </c>
      <c r="U30" s="948">
        <f t="shared" si="13"/>
        <v>100</v>
      </c>
      <c r="V30" s="947" t="s">
        <v>887</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887</v>
      </c>
      <c r="S31" s="943" t="e">
        <f t="shared" si="12"/>
        <v>#N/A</v>
      </c>
      <c r="T31" s="942" t="s">
        <v>887</v>
      </c>
      <c r="U31" s="943" t="e">
        <f t="shared" si="13"/>
        <v>#N/A</v>
      </c>
      <c r="V31" s="942" t="s">
        <v>887</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915</v>
      </c>
      <c r="Q32" s="893" t="str">
        <f t="shared" si="11"/>
        <v>车位类型</v>
      </c>
      <c r="R32" s="947" t="s">
        <v>887</v>
      </c>
      <c r="S32" s="948">
        <f t="shared" si="12"/>
        <v>100</v>
      </c>
      <c r="T32" s="947" t="s">
        <v>887</v>
      </c>
      <c r="U32" s="948">
        <f t="shared" si="13"/>
        <v>100</v>
      </c>
      <c r="V32" s="947" t="s">
        <v>887</v>
      </c>
      <c r="W32" s="948">
        <f t="shared" si="14"/>
        <v>100</v>
      </c>
      <c r="X32" s="934"/>
      <c r="Y32" s="913" t="s">
        <v>915</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887</v>
      </c>
      <c r="S33" s="948">
        <f t="shared" si="12"/>
        <v>100</v>
      </c>
      <c r="T33" s="947" t="s">
        <v>887</v>
      </c>
      <c r="U33" s="948">
        <f t="shared" si="13"/>
        <v>100</v>
      </c>
      <c r="V33" s="947" t="s">
        <v>887</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887</v>
      </c>
      <c r="S35" s="950">
        <f t="shared" si="12"/>
        <v>100</v>
      </c>
      <c r="T35" s="949" t="s">
        <v>887</v>
      </c>
      <c r="U35" s="950">
        <f t="shared" si="13"/>
        <v>100</v>
      </c>
      <c r="V35" s="949" t="s">
        <v>887</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887</v>
      </c>
      <c r="S36" s="948">
        <f t="shared" si="12"/>
        <v>100</v>
      </c>
      <c r="T36" s="947" t="s">
        <v>887</v>
      </c>
      <c r="U36" s="948">
        <f t="shared" si="13"/>
        <v>100</v>
      </c>
      <c r="V36" s="947" t="s">
        <v>887</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932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885</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938</v>
      </c>
      <c r="B50" s="973"/>
      <c r="C50" s="974"/>
      <c r="D50" s="975"/>
      <c r="E50" s="975"/>
      <c r="F50" s="975"/>
      <c r="G50" s="975"/>
      <c r="H50" s="975"/>
      <c r="I50" s="975"/>
      <c r="J50" s="975"/>
      <c r="K50" s="975"/>
      <c r="L50" s="975"/>
      <c r="M50" s="1024"/>
      <c r="N50" s="975"/>
      <c r="O50" s="1492"/>
      <c r="P50" s="955"/>
      <c r="Q50" s="955"/>
    </row>
    <row r="51" s="707" customFormat="1" ht="15" spans="1:17">
      <c r="A51" s="976" t="s">
        <v>888</v>
      </c>
      <c r="B51" s="977"/>
      <c r="C51" s="978" t="s">
        <v>889</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939</v>
      </c>
      <c r="B53" s="983" t="s">
        <v>893</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896</v>
      </c>
      <c r="C55" s="988" t="s">
        <v>940</v>
      </c>
      <c r="D55" s="988" t="s">
        <v>941</v>
      </c>
      <c r="E55" s="988" t="s">
        <v>942</v>
      </c>
      <c r="F55" s="988" t="s">
        <v>943</v>
      </c>
      <c r="G55" s="988" t="s">
        <v>944</v>
      </c>
      <c r="H55" s="988" t="s">
        <v>945</v>
      </c>
      <c r="I55" s="988" t="s">
        <v>946</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898</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947</v>
      </c>
      <c r="D67" s="988" t="s">
        <v>948</v>
      </c>
      <c r="E67" s="988" t="s">
        <v>949</v>
      </c>
      <c r="F67" s="988" t="s">
        <v>950</v>
      </c>
      <c r="G67" s="988" t="s">
        <v>951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B37">
      <formula1>"元/平方米,元/车位"</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4" si="3">D8/F8</f>
        <v>#DIV/0!</v>
      </c>
      <c r="AB8" s="961" t="e">
        <f t="shared" ref="AB8:AB34" si="4">D8/H8</f>
        <v>#DIV/0!</v>
      </c>
      <c r="AC8" s="961" t="e">
        <f t="shared" ref="AC8:AC34" si="5">D8/J8</f>
        <v>#DIV/0!</v>
      </c>
    </row>
    <row r="9" s="707" customFormat="1" spans="1:29">
      <c r="A9" s="754" t="s">
        <v>892</v>
      </c>
      <c r="B9" s="755" t="s">
        <v>893</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758"/>
      <c r="B10" s="759" t="s">
        <v>896</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76" t="s">
        <v>898</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452" t="s">
        <v>912</v>
      </c>
      <c r="B26" s="755" t="s">
        <v>920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915</v>
      </c>
      <c r="Q26" s="893" t="str">
        <f t="shared" si="11"/>
        <v>公共部分装修</v>
      </c>
      <c r="R26" s="947" t="s">
        <v>887</v>
      </c>
      <c r="S26" s="948">
        <f t="shared" ref="S26:S34" si="12">F26</f>
        <v>100</v>
      </c>
      <c r="T26" s="947" t="s">
        <v>887</v>
      </c>
      <c r="U26" s="948">
        <f t="shared" ref="U26:U34" si="13">H26</f>
        <v>100</v>
      </c>
      <c r="V26" s="947" t="s">
        <v>887</v>
      </c>
      <c r="W26" s="948">
        <f t="shared" ref="W26:W34" si="14">J26</f>
        <v>100</v>
      </c>
      <c r="X26" s="934"/>
      <c r="Y26" s="913" t="s">
        <v>915</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887</v>
      </c>
      <c r="S27" s="950" t="e">
        <f t="shared" si="12"/>
        <v>#N/A</v>
      </c>
      <c r="T27" s="949" t="s">
        <v>887</v>
      </c>
      <c r="U27" s="950" t="e">
        <f t="shared" si="13"/>
        <v>#N/A</v>
      </c>
      <c r="V27" s="949" t="s">
        <v>887</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887</v>
      </c>
      <c r="S28" s="948">
        <f t="shared" si="12"/>
        <v>100</v>
      </c>
      <c r="T28" s="947" t="s">
        <v>887</v>
      </c>
      <c r="U28" s="948">
        <f t="shared" si="13"/>
        <v>100</v>
      </c>
      <c r="V28" s="947" t="s">
        <v>887</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887</v>
      </c>
      <c r="S29" s="948">
        <f t="shared" si="12"/>
        <v>100</v>
      </c>
      <c r="T29" s="947" t="s">
        <v>887</v>
      </c>
      <c r="U29" s="948">
        <f t="shared" si="13"/>
        <v>100</v>
      </c>
      <c r="V29" s="947" t="s">
        <v>887</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887</v>
      </c>
      <c r="S30" s="948" t="e">
        <f t="shared" si="12"/>
        <v>#N/A</v>
      </c>
      <c r="T30" s="947" t="s">
        <v>887</v>
      </c>
      <c r="U30" s="948" t="e">
        <f t="shared" si="13"/>
        <v>#N/A</v>
      </c>
      <c r="V30" s="947" t="s">
        <v>887</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887</v>
      </c>
      <c r="S31" s="943">
        <f t="shared" si="12"/>
        <v>100</v>
      </c>
      <c r="T31" s="942" t="s">
        <v>887</v>
      </c>
      <c r="U31" s="943">
        <f t="shared" si="13"/>
        <v>100</v>
      </c>
      <c r="V31" s="942" t="s">
        <v>887</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915</v>
      </c>
      <c r="Q32" s="893">
        <f t="shared" si="11"/>
        <v>111</v>
      </c>
      <c r="R32" s="947" t="s">
        <v>887</v>
      </c>
      <c r="S32" s="948">
        <f t="shared" si="12"/>
        <v>100</v>
      </c>
      <c r="T32" s="947" t="s">
        <v>887</v>
      </c>
      <c r="U32" s="948">
        <f t="shared" si="13"/>
        <v>100</v>
      </c>
      <c r="V32" s="947" t="s">
        <v>887</v>
      </c>
      <c r="W32" s="948">
        <f t="shared" si="14"/>
        <v>100</v>
      </c>
      <c r="X32" s="934"/>
      <c r="Y32" s="913" t="s">
        <v>915</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887</v>
      </c>
      <c r="S33" s="948">
        <f t="shared" si="12"/>
        <v>100</v>
      </c>
      <c r="T33" s="947" t="s">
        <v>887</v>
      </c>
      <c r="U33" s="948">
        <f t="shared" si="13"/>
        <v>100</v>
      </c>
      <c r="V33" s="947" t="s">
        <v>887</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ht="15" spans="1:29">
      <c r="A35" s="820" t="s">
        <v>930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931</v>
      </c>
      <c r="B36" s="1470"/>
      <c r="C36" s="1471" t="e">
        <f>R37</f>
        <v>#DIV/0!</v>
      </c>
      <c r="D36" s="831" t="s">
        <v>932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937</v>
      </c>
      <c r="B45" s="872"/>
      <c r="C45" s="873"/>
      <c r="D45" s="873"/>
      <c r="E45" s="873"/>
      <c r="F45" s="874"/>
      <c r="G45" s="874"/>
      <c r="H45" s="873"/>
      <c r="I45" s="873"/>
      <c r="J45" s="873"/>
      <c r="K45" s="1488"/>
      <c r="L45" s="1489"/>
      <c r="M45" s="873"/>
      <c r="N45" s="1490"/>
      <c r="O45" s="1490"/>
      <c r="P45" s="930"/>
      <c r="Q45" s="955"/>
    </row>
    <row r="46" s="712" customFormat="1" ht="15" spans="1:16">
      <c r="A46" s="1474" t="s">
        <v>885</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938</v>
      </c>
      <c r="B48" s="973"/>
      <c r="C48" s="974"/>
      <c r="D48" s="975"/>
      <c r="E48" s="975"/>
      <c r="F48" s="975"/>
      <c r="G48" s="975"/>
      <c r="H48" s="975"/>
      <c r="I48" s="975"/>
      <c r="J48" s="975"/>
      <c r="K48" s="975"/>
      <c r="L48" s="975"/>
      <c r="M48" s="1024"/>
      <c r="N48" s="975"/>
      <c r="O48" s="1492"/>
      <c r="P48" s="955"/>
      <c r="Q48" s="955"/>
    </row>
    <row r="49" s="707" customFormat="1" ht="15" spans="1:17">
      <c r="A49" s="976" t="s">
        <v>888</v>
      </c>
      <c r="B49" s="977"/>
      <c r="C49" s="978" t="s">
        <v>889</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939</v>
      </c>
      <c r="B51" s="983" t="s">
        <v>893</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896</v>
      </c>
      <c r="C53" s="988" t="s">
        <v>940</v>
      </c>
      <c r="D53" s="988" t="s">
        <v>941</v>
      </c>
      <c r="E53" s="988" t="s">
        <v>942</v>
      </c>
      <c r="F53" s="988" t="s">
        <v>943</v>
      </c>
      <c r="G53" s="988" t="s">
        <v>944</v>
      </c>
      <c r="H53" s="988" t="s">
        <v>945</v>
      </c>
      <c r="I53" s="988" t="s">
        <v>946</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898</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947</v>
      </c>
      <c r="D65" s="988" t="s">
        <v>948</v>
      </c>
      <c r="E65" s="988" t="s">
        <v>949</v>
      </c>
      <c r="F65" s="988" t="s">
        <v>950</v>
      </c>
      <c r="G65" s="988" t="s">
        <v>951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5" si="3">D8/F8</f>
        <v>#DIV/0!</v>
      </c>
      <c r="AB8" s="1310" t="e">
        <f t="shared" ref="AB8:AB45" si="4">D8/H8</f>
        <v>#DIV/0!</v>
      </c>
      <c r="AC8" s="1310" t="e">
        <f t="shared" ref="AC8:AC45" si="5">D8/J8</f>
        <v>#DIV/0!</v>
      </c>
    </row>
    <row r="9" s="1080" customFormat="1" spans="1:29">
      <c r="A9" s="1122" t="s">
        <v>892</v>
      </c>
      <c r="B9" s="1123" t="s">
        <v>893</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128"/>
      <c r="D10" s="1129">
        <v>100</v>
      </c>
      <c r="E10" s="1130"/>
      <c r="F10" s="1129">
        <f>ROUND(100/'数据-取费表'!B14,0)</f>
        <v>134</v>
      </c>
      <c r="G10" s="1131"/>
      <c r="H10" s="1129">
        <f>ROUND(100/'数据-取费表'!B14,0)</f>
        <v>134</v>
      </c>
      <c r="I10" s="1131"/>
      <c r="J10" s="1129">
        <f>ROUND(100/'数据-取费表'!B14,0)</f>
        <v>134</v>
      </c>
      <c r="K10" s="1244"/>
      <c r="L10" s="1245"/>
      <c r="M10" s="1246"/>
      <c r="N10" s="1246"/>
      <c r="O10" s="1247"/>
      <c r="P10" s="491"/>
      <c r="Q10" s="1294" t="str">
        <f t="shared" si="6"/>
        <v>土地使用年限（年）</v>
      </c>
      <c r="R10" s="1290" t="s">
        <v>887</v>
      </c>
      <c r="S10" s="1291">
        <f t="shared" si="0"/>
        <v>134</v>
      </c>
      <c r="T10" s="1290" t="s">
        <v>887</v>
      </c>
      <c r="U10" s="1291">
        <f t="shared" si="1"/>
        <v>134</v>
      </c>
      <c r="V10" s="1290" t="s">
        <v>887</v>
      </c>
      <c r="W10" s="1291">
        <f t="shared" si="2"/>
        <v>134</v>
      </c>
      <c r="X10" s="1292"/>
      <c r="Y10" s="1294"/>
      <c r="Z10" s="1311" t="str">
        <f t="shared" si="7"/>
        <v>土地使用年限（年）</v>
      </c>
      <c r="AA10" s="1310">
        <f t="shared" si="3"/>
        <v>0.746268656716418</v>
      </c>
      <c r="AB10" s="1310">
        <f t="shared" si="4"/>
        <v>0.746268656716418</v>
      </c>
      <c r="AC10" s="1310">
        <f t="shared" si="5"/>
        <v>0.746268656716418</v>
      </c>
    </row>
    <row r="11" ht="15" spans="1:29">
      <c r="A11" s="504"/>
      <c r="B11" s="1127" t="s">
        <v>897</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887</v>
      </c>
      <c r="S12" s="1291">
        <f t="shared" si="0"/>
        <v>100</v>
      </c>
      <c r="T12" s="1290" t="s">
        <v>887</v>
      </c>
      <c r="U12" s="1291">
        <f t="shared" si="1"/>
        <v>100</v>
      </c>
      <c r="V12" s="1290" t="s">
        <v>887</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1098" t="s">
        <v>898</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887</v>
      </c>
      <c r="S17" s="1296">
        <f>F17</f>
        <v>100</v>
      </c>
      <c r="T17" s="1295" t="s">
        <v>887</v>
      </c>
      <c r="U17" s="1296">
        <f>H17</f>
        <v>100</v>
      </c>
      <c r="V17" s="1295" t="s">
        <v>887</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887</v>
      </c>
      <c r="S19" s="1296">
        <f>F19</f>
        <v>100</v>
      </c>
      <c r="T19" s="1295" t="s">
        <v>887</v>
      </c>
      <c r="U19" s="1296">
        <f>H19</f>
        <v>100</v>
      </c>
      <c r="V19" s="1295" t="s">
        <v>887</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887</v>
      </c>
      <c r="S21" s="1296">
        <f>F21</f>
        <v>100</v>
      </c>
      <c r="T21" s="1295" t="s">
        <v>887</v>
      </c>
      <c r="U21" s="1296">
        <f>H21</f>
        <v>100</v>
      </c>
      <c r="V21" s="1295" t="s">
        <v>887</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887</v>
      </c>
      <c r="S23" s="1296">
        <f>F23</f>
        <v>100</v>
      </c>
      <c r="T23" s="1295" t="s">
        <v>887</v>
      </c>
      <c r="U23" s="1296">
        <f>H23</f>
        <v>100</v>
      </c>
      <c r="V23" s="1295" t="s">
        <v>887</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887</v>
      </c>
      <c r="S25" s="1296">
        <f>F25</f>
        <v>100</v>
      </c>
      <c r="T25" s="1295" t="s">
        <v>887</v>
      </c>
      <c r="U25" s="1296">
        <f>H25</f>
        <v>100</v>
      </c>
      <c r="V25" s="1295" t="s">
        <v>887</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887</v>
      </c>
      <c r="S27" s="1291">
        <f>F27</f>
        <v>100</v>
      </c>
      <c r="T27" s="1290" t="s">
        <v>887</v>
      </c>
      <c r="U27" s="1291">
        <f>H27</f>
        <v>100</v>
      </c>
      <c r="V27" s="1290" t="s">
        <v>887</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887</v>
      </c>
      <c r="S29" s="1291">
        <f>F29</f>
        <v>100</v>
      </c>
      <c r="T29" s="1290" t="s">
        <v>887</v>
      </c>
      <c r="U29" s="1291">
        <f>H29</f>
        <v>100</v>
      </c>
      <c r="V29" s="1290" t="s">
        <v>887</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887</v>
      </c>
      <c r="S31" s="1296">
        <f t="shared" ref="S31:S45" si="10">F31</f>
        <v>100</v>
      </c>
      <c r="T31" s="1295" t="s">
        <v>887</v>
      </c>
      <c r="U31" s="1296">
        <f t="shared" ref="U31:U45" si="11">H31</f>
        <v>100</v>
      </c>
      <c r="V31" s="1295" t="s">
        <v>887</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887</v>
      </c>
      <c r="S32" s="1296">
        <f t="shared" si="10"/>
        <v>100</v>
      </c>
      <c r="T32" s="1295" t="s">
        <v>887</v>
      </c>
      <c r="U32" s="1296">
        <f t="shared" si="11"/>
        <v>100</v>
      </c>
      <c r="V32" s="1295" t="s">
        <v>887</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887</v>
      </c>
      <c r="S34" s="1296">
        <f t="shared" si="10"/>
        <v>100</v>
      </c>
      <c r="T34" s="1295" t="s">
        <v>887</v>
      </c>
      <c r="U34" s="1296">
        <f t="shared" si="11"/>
        <v>100</v>
      </c>
      <c r="V34" s="1295" t="s">
        <v>887</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887</v>
      </c>
      <c r="S35" s="1296">
        <f t="shared" si="10"/>
        <v>100</v>
      </c>
      <c r="T35" s="1295" t="s">
        <v>887</v>
      </c>
      <c r="U35" s="1296">
        <f t="shared" si="11"/>
        <v>100</v>
      </c>
      <c r="V35" s="1295" t="s">
        <v>887</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915</v>
      </c>
      <c r="Q36" s="491">
        <f t="shared" si="8"/>
        <v>111</v>
      </c>
      <c r="R36" s="1295" t="s">
        <v>887</v>
      </c>
      <c r="S36" s="1296">
        <f t="shared" si="10"/>
        <v>100</v>
      </c>
      <c r="T36" s="1295" t="s">
        <v>887</v>
      </c>
      <c r="U36" s="1296">
        <f t="shared" si="11"/>
        <v>100</v>
      </c>
      <c r="V36" s="1295" t="s">
        <v>887</v>
      </c>
      <c r="W36" s="1296">
        <f t="shared" si="12"/>
        <v>100</v>
      </c>
      <c r="X36" s="1282"/>
      <c r="Y36" s="1267" t="s">
        <v>915</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887</v>
      </c>
      <c r="S37" s="1298">
        <f t="shared" si="10"/>
        <v>100</v>
      </c>
      <c r="T37" s="1297" t="s">
        <v>887</v>
      </c>
      <c r="U37" s="1298">
        <f t="shared" si="11"/>
        <v>100</v>
      </c>
      <c r="V37" s="1297" t="s">
        <v>887</v>
      </c>
      <c r="W37" s="1298">
        <f t="shared" si="12"/>
        <v>100</v>
      </c>
      <c r="X37" s="1299"/>
      <c r="Y37" s="1267"/>
      <c r="Z37" s="1313">
        <f t="shared" si="13"/>
        <v>111</v>
      </c>
      <c r="AA37" s="1312">
        <f t="shared" si="3"/>
        <v>1</v>
      </c>
      <c r="AB37" s="1312">
        <f t="shared" si="4"/>
        <v>1</v>
      </c>
      <c r="AC37" s="1312">
        <f t="shared" si="5"/>
        <v>1</v>
      </c>
    </row>
    <row r="38" ht="15" spans="1:29">
      <c r="A38" s="1098" t="s">
        <v>912</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887</v>
      </c>
      <c r="S38" s="1296" t="e">
        <f t="shared" si="10"/>
        <v>#N/A</v>
      </c>
      <c r="T38" s="1295" t="s">
        <v>887</v>
      </c>
      <c r="U38" s="1296" t="e">
        <f t="shared" si="11"/>
        <v>#N/A</v>
      </c>
      <c r="V38" s="1295" t="s">
        <v>887</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887</v>
      </c>
      <c r="S39" s="1296">
        <f t="shared" si="10"/>
        <v>100</v>
      </c>
      <c r="T39" s="1295" t="s">
        <v>887</v>
      </c>
      <c r="U39" s="1296">
        <f t="shared" si="11"/>
        <v>100</v>
      </c>
      <c r="V39" s="1295" t="s">
        <v>887</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887</v>
      </c>
      <c r="S40" s="1296">
        <f t="shared" si="10"/>
        <v>100</v>
      </c>
      <c r="T40" s="1295" t="s">
        <v>887</v>
      </c>
      <c r="U40" s="1296">
        <f t="shared" si="11"/>
        <v>100</v>
      </c>
      <c r="V40" s="1295" t="s">
        <v>887</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887</v>
      </c>
      <c r="S41" s="1291">
        <f t="shared" si="10"/>
        <v>100</v>
      </c>
      <c r="T41" s="1290" t="s">
        <v>887</v>
      </c>
      <c r="U41" s="1291">
        <f t="shared" si="11"/>
        <v>100</v>
      </c>
      <c r="V41" s="1290" t="s">
        <v>887</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915</v>
      </c>
      <c r="Q42" s="491" t="str">
        <f t="shared" si="14"/>
        <v>工程地质条件</v>
      </c>
      <c r="R42" s="1295" t="s">
        <v>887</v>
      </c>
      <c r="S42" s="1296">
        <f t="shared" si="10"/>
        <v>100</v>
      </c>
      <c r="T42" s="1295" t="s">
        <v>887</v>
      </c>
      <c r="U42" s="1296">
        <f t="shared" si="11"/>
        <v>100</v>
      </c>
      <c r="V42" s="1295" t="s">
        <v>887</v>
      </c>
      <c r="W42" s="1296">
        <f t="shared" si="12"/>
        <v>100</v>
      </c>
      <c r="X42" s="1282"/>
      <c r="Y42" s="1267" t="s">
        <v>915</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887</v>
      </c>
      <c r="S43" s="1296">
        <f t="shared" si="10"/>
        <v>100</v>
      </c>
      <c r="T43" s="1295" t="s">
        <v>887</v>
      </c>
      <c r="U43" s="1296">
        <f t="shared" si="11"/>
        <v>100</v>
      </c>
      <c r="V43" s="1295" t="s">
        <v>887</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887</v>
      </c>
      <c r="S44" s="1296">
        <f t="shared" si="10"/>
        <v>100</v>
      </c>
      <c r="T44" s="1295" t="s">
        <v>887</v>
      </c>
      <c r="U44" s="1296">
        <f t="shared" si="11"/>
        <v>100</v>
      </c>
      <c r="V44" s="1295" t="s">
        <v>887</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887</v>
      </c>
      <c r="S45" s="1298">
        <f t="shared" si="10"/>
        <v>100</v>
      </c>
      <c r="T45" s="1297" t="s">
        <v>887</v>
      </c>
      <c r="U45" s="1298">
        <f t="shared" si="11"/>
        <v>100</v>
      </c>
      <c r="V45" s="1297" t="s">
        <v>887</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931</v>
      </c>
      <c r="B47" s="1202"/>
      <c r="C47" s="1203" t="e">
        <f>R48</f>
        <v>#DIV/0!</v>
      </c>
      <c r="D47" s="831" t="s">
        <v>932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2022-11-1</v>
      </c>
      <c r="D68" s="1322">
        <f>EDATE(C68,-3)</f>
        <v>44774</v>
      </c>
      <c r="E68" s="1322">
        <f t="shared" ref="E68:O68" si="18">EDATE(D68,-3)</f>
        <v>44682</v>
      </c>
      <c r="F68" s="1322">
        <f t="shared" si="18"/>
        <v>44593</v>
      </c>
      <c r="G68" s="1322">
        <f t="shared" si="18"/>
        <v>44501</v>
      </c>
      <c r="H68" s="1322">
        <f t="shared" si="18"/>
        <v>44409</v>
      </c>
      <c r="I68" s="1322">
        <f t="shared" si="18"/>
        <v>44317</v>
      </c>
      <c r="J68" s="1322">
        <f t="shared" si="18"/>
        <v>44228</v>
      </c>
      <c r="K68" s="1322">
        <f t="shared" si="18"/>
        <v>44136</v>
      </c>
      <c r="L68" s="1322">
        <f t="shared" si="18"/>
        <v>44044</v>
      </c>
      <c r="M68" s="1322">
        <f t="shared" si="18"/>
        <v>43952</v>
      </c>
      <c r="N68" s="1322">
        <f t="shared" si="18"/>
        <v>43862</v>
      </c>
      <c r="O68" s="1322">
        <f t="shared" si="18"/>
        <v>43770</v>
      </c>
    </row>
    <row r="69" ht="21" spans="1:17">
      <c r="A69" s="1323" t="s">
        <v>937</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938</v>
      </c>
      <c r="B72" s="1332"/>
      <c r="C72" s="1333"/>
      <c r="D72" s="1334"/>
      <c r="E72" s="1334"/>
      <c r="F72" s="1334"/>
      <c r="G72" s="1334"/>
      <c r="H72" s="1334"/>
      <c r="I72" s="1334"/>
      <c r="J72" s="1334"/>
      <c r="K72" s="1334"/>
      <c r="L72" s="1334"/>
      <c r="M72" s="1383"/>
      <c r="N72" s="1334"/>
      <c r="O72" s="1384"/>
      <c r="P72" s="1382"/>
      <c r="Q72" s="1382"/>
    </row>
    <row r="73" s="1080" customFormat="1" ht="15" spans="1:17">
      <c r="A73" s="1335" t="s">
        <v>888</v>
      </c>
      <c r="B73" s="1336"/>
      <c r="C73" s="1337" t="s">
        <v>889</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939</v>
      </c>
      <c r="B75" s="1341" t="s">
        <v>893</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896</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897</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898</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947</v>
      </c>
      <c r="D102" s="1346" t="s">
        <v>948</v>
      </c>
      <c r="E102" s="1346" t="s">
        <v>949</v>
      </c>
      <c r="F102" s="1346" t="s">
        <v>950</v>
      </c>
      <c r="G102" s="1346" t="s">
        <v>951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1" customWidth="1"/>
    <col min="2" max="3" width="12.5" style="3481" customWidth="1"/>
    <col min="4" max="6" width="8.125" style="3481"/>
    <col min="7" max="7" width="17.5" style="3481" customWidth="1"/>
    <col min="8" max="16384" width="8.125" style="3481"/>
  </cols>
  <sheetData>
    <row r="1" ht="23.25" spans="1:7">
      <c r="A1" s="3560" t="s">
        <v>78</v>
      </c>
      <c r="B1" s="3561"/>
      <c r="C1" s="3561"/>
      <c r="D1" s="3561"/>
      <c r="E1" s="3561"/>
      <c r="F1" s="3561"/>
      <c r="G1" s="3561"/>
    </row>
    <row r="2" spans="1:1">
      <c r="A2" s="3562"/>
    </row>
    <row r="3" s="3558" customFormat="1" ht="18" spans="1:7">
      <c r="A3" s="3563" t="str">
        <f>IF(ISNUMBER(FIND("公司",项目基本情况!B4)),项目基本情况!B4&amp;"：",项目基本情况!B4&amp;"  先生/女士：")</f>
        <v>xx  先生/女士：</v>
      </c>
      <c r="B3" s="3564"/>
      <c r="C3" s="3564"/>
      <c r="D3" s="3564"/>
      <c r="E3" s="3564"/>
      <c r="F3" s="3564"/>
      <c r="G3" s="3564"/>
    </row>
    <row r="4" ht="18.75"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8.75" spans="1:1">
      <c r="A5" s="3566" t="s">
        <v>79</v>
      </c>
    </row>
    <row r="6" s="3559" customFormat="1" ht="56.25"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565"/>
      <c r="C6" s="3565"/>
      <c r="D6" s="3565"/>
      <c r="E6" s="3565"/>
      <c r="F6" s="3565"/>
      <c r="G6" s="3565"/>
    </row>
    <row r="7" ht="18.75" spans="1:1">
      <c r="A7" s="3566" t="s">
        <v>80</v>
      </c>
    </row>
    <row r="8" ht="18.75"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8.75" spans="1:2">
      <c r="A9" s="3564" t="s">
        <v>81</v>
      </c>
      <c r="B9" s="3569"/>
    </row>
    <row r="10" ht="18" spans="1:7">
      <c r="A10" s="3570" t="str">
        <f>TEXT(项目基本情况!D2,"yyyy年m月d日;;")&amp;IF(项目基本情况!B2=项目基本情况!D2,"（评估专业人员实地查勘之日）","")</f>
        <v>2022年11月8日</v>
      </c>
      <c r="B10" s="3571"/>
      <c r="C10" s="3571"/>
      <c r="D10" s="3571"/>
      <c r="E10" s="3571"/>
      <c r="F10" s="3571"/>
      <c r="G10" s="3571"/>
    </row>
    <row r="11" ht="18.75" spans="1:1">
      <c r="A11" s="3564" t="s">
        <v>82</v>
      </c>
    </row>
    <row r="12" ht="75" spans="1:7">
      <c r="A12" s="3565" t="s">
        <v>83</v>
      </c>
      <c r="B12" s="3565"/>
      <c r="C12" s="3565"/>
      <c r="D12" s="3565"/>
      <c r="E12" s="3565"/>
      <c r="F12" s="3565"/>
      <c r="G12" s="3565"/>
    </row>
    <row r="13" ht="37.5"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65"/>
      <c r="C13" s="3565"/>
      <c r="D13" s="3565"/>
      <c r="E13" s="3565"/>
      <c r="F13" s="3565"/>
      <c r="G13" s="3565"/>
    </row>
    <row r="14" ht="75"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56.25" spans="1:7">
      <c r="A15" s="3565" t="s">
        <v>84</v>
      </c>
      <c r="B15" s="3565"/>
      <c r="C15" s="3565"/>
      <c r="D15" s="3565"/>
      <c r="E15" s="3565"/>
      <c r="F15" s="3565"/>
      <c r="G15" s="3565"/>
    </row>
    <row r="16" ht="56.25"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8.75" spans="1:1">
      <c r="A17" s="3564" t="s">
        <v>85</v>
      </c>
    </row>
    <row r="18" ht="18" spans="1:1">
      <c r="A18" s="349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760"/>
      <c r="D10" s="761">
        <v>100</v>
      </c>
      <c r="E10" s="760"/>
      <c r="F10" s="761">
        <f>ROUND(100/'数据-取费表'!B14,0)</f>
        <v>134</v>
      </c>
      <c r="G10" s="760"/>
      <c r="H10" s="761">
        <f>ROUND(100/'数据-取费表'!B14,0)</f>
        <v>134</v>
      </c>
      <c r="I10" s="760"/>
      <c r="J10" s="761">
        <f>ROUND(100/'数据-取费表'!B14,0)</f>
        <v>134</v>
      </c>
      <c r="K10" s="894"/>
      <c r="L10" s="895"/>
      <c r="M10" s="896"/>
      <c r="N10" s="896"/>
      <c r="O10" s="897"/>
      <c r="P10" s="893"/>
      <c r="Q10" s="946" t="str">
        <f t="shared" si="6"/>
        <v>土地使用年限（年）</v>
      </c>
      <c r="R10" s="942" t="s">
        <v>887</v>
      </c>
      <c r="S10" s="943">
        <f t="shared" si="0"/>
        <v>134</v>
      </c>
      <c r="T10" s="942" t="s">
        <v>887</v>
      </c>
      <c r="U10" s="943">
        <f t="shared" si="1"/>
        <v>134</v>
      </c>
      <c r="V10" s="942" t="s">
        <v>887</v>
      </c>
      <c r="W10" s="943">
        <f t="shared" si="2"/>
        <v>134</v>
      </c>
      <c r="X10" s="944"/>
      <c r="Y10" s="946"/>
      <c r="Z10" s="962" t="str">
        <f t="shared" si="7"/>
        <v>土地使用年限（年）</v>
      </c>
      <c r="AA10" s="961">
        <f t="shared" si="3"/>
        <v>0.746268656716418</v>
      </c>
      <c r="AB10" s="961">
        <f t="shared" si="4"/>
        <v>0.746268656716418</v>
      </c>
      <c r="AC10" s="961">
        <f t="shared" si="5"/>
        <v>0.746268656716418</v>
      </c>
    </row>
    <row r="11" ht="15" spans="1:29">
      <c r="A11" s="762"/>
      <c r="B11" s="759" t="s">
        <v>897</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887</v>
      </c>
      <c r="S19" s="948">
        <f>F19</f>
        <v>100</v>
      </c>
      <c r="T19" s="947" t="s">
        <v>887</v>
      </c>
      <c r="U19" s="948">
        <f>H19</f>
        <v>100</v>
      </c>
      <c r="V19" s="947" t="s">
        <v>887</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887</v>
      </c>
      <c r="S21" s="948">
        <f>F21</f>
        <v>100</v>
      </c>
      <c r="T21" s="947" t="s">
        <v>887</v>
      </c>
      <c r="U21" s="948">
        <f>H21</f>
        <v>100</v>
      </c>
      <c r="V21" s="947" t="s">
        <v>887</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887</v>
      </c>
      <c r="S23" s="943">
        <f>F23</f>
        <v>100</v>
      </c>
      <c r="T23" s="942" t="s">
        <v>887</v>
      </c>
      <c r="U23" s="943">
        <f>H23</f>
        <v>100</v>
      </c>
      <c r="V23" s="942" t="s">
        <v>887</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887</v>
      </c>
      <c r="S25" s="943">
        <f>F25</f>
        <v>100</v>
      </c>
      <c r="T25" s="942" t="s">
        <v>887</v>
      </c>
      <c r="U25" s="943">
        <f>H25</f>
        <v>100</v>
      </c>
      <c r="V25" s="942" t="s">
        <v>887</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887</v>
      </c>
      <c r="S27" s="948">
        <f t="shared" ref="S27:S40" si="10">F27</f>
        <v>100</v>
      </c>
      <c r="T27" s="947" t="s">
        <v>887</v>
      </c>
      <c r="U27" s="948">
        <f t="shared" ref="U27:U40" si="11">H27</f>
        <v>100</v>
      </c>
      <c r="V27" s="947" t="s">
        <v>887</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887</v>
      </c>
      <c r="S28" s="948">
        <f t="shared" si="10"/>
        <v>100</v>
      </c>
      <c r="T28" s="947" t="s">
        <v>887</v>
      </c>
      <c r="U28" s="948">
        <f t="shared" si="11"/>
        <v>100</v>
      </c>
      <c r="V28" s="947" t="s">
        <v>887</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887</v>
      </c>
      <c r="S30" s="948">
        <f t="shared" si="10"/>
        <v>100</v>
      </c>
      <c r="T30" s="947" t="s">
        <v>887</v>
      </c>
      <c r="U30" s="948">
        <f t="shared" si="11"/>
        <v>100</v>
      </c>
      <c r="V30" s="947" t="s">
        <v>887</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887</v>
      </c>
      <c r="S31" s="948">
        <f t="shared" si="10"/>
        <v>100</v>
      </c>
      <c r="T31" s="947" t="s">
        <v>887</v>
      </c>
      <c r="U31" s="948">
        <f t="shared" si="11"/>
        <v>100</v>
      </c>
      <c r="V31" s="947" t="s">
        <v>887</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915</v>
      </c>
      <c r="Q32" s="893">
        <f t="shared" si="8"/>
        <v>111</v>
      </c>
      <c r="R32" s="947" t="s">
        <v>887</v>
      </c>
      <c r="S32" s="948">
        <f t="shared" si="10"/>
        <v>100</v>
      </c>
      <c r="T32" s="947" t="s">
        <v>887</v>
      </c>
      <c r="U32" s="948">
        <f t="shared" si="11"/>
        <v>100</v>
      </c>
      <c r="V32" s="947" t="s">
        <v>887</v>
      </c>
      <c r="W32" s="948">
        <f t="shared" si="12"/>
        <v>100</v>
      </c>
      <c r="X32" s="934"/>
      <c r="Y32" s="913" t="s">
        <v>915</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887</v>
      </c>
      <c r="S33" s="950">
        <f t="shared" si="10"/>
        <v>100</v>
      </c>
      <c r="T33" s="949" t="s">
        <v>887</v>
      </c>
      <c r="U33" s="950">
        <f t="shared" si="11"/>
        <v>100</v>
      </c>
      <c r="V33" s="949" t="s">
        <v>887</v>
      </c>
      <c r="W33" s="950">
        <f t="shared" si="12"/>
        <v>100</v>
      </c>
      <c r="X33" s="951"/>
      <c r="Y33" s="913"/>
      <c r="Z33" s="964">
        <f t="shared" si="13"/>
        <v>111</v>
      </c>
      <c r="AA33" s="963">
        <f t="shared" si="3"/>
        <v>1</v>
      </c>
      <c r="AB33" s="963">
        <f t="shared" si="4"/>
        <v>1</v>
      </c>
      <c r="AC33" s="963">
        <f t="shared" si="5"/>
        <v>1</v>
      </c>
    </row>
    <row r="34" ht="15" spans="1:29">
      <c r="A34" s="810" t="s">
        <v>912</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887</v>
      </c>
      <c r="S34" s="948" t="e">
        <f t="shared" si="10"/>
        <v>#N/A</v>
      </c>
      <c r="T34" s="947" t="s">
        <v>887</v>
      </c>
      <c r="U34" s="948" t="e">
        <f t="shared" si="11"/>
        <v>#N/A</v>
      </c>
      <c r="V34" s="947" t="s">
        <v>887</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887</v>
      </c>
      <c r="S35" s="948">
        <f t="shared" si="10"/>
        <v>100</v>
      </c>
      <c r="T35" s="947" t="s">
        <v>887</v>
      </c>
      <c r="U35" s="948">
        <f t="shared" si="11"/>
        <v>100</v>
      </c>
      <c r="V35" s="947" t="s">
        <v>887</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887</v>
      </c>
      <c r="S36" s="943">
        <f t="shared" si="10"/>
        <v>100</v>
      </c>
      <c r="T36" s="942" t="s">
        <v>887</v>
      </c>
      <c r="U36" s="943">
        <f t="shared" si="11"/>
        <v>100</v>
      </c>
      <c r="V36" s="942" t="s">
        <v>887</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915</v>
      </c>
      <c r="Q37" s="893" t="str">
        <f t="shared" si="14"/>
        <v>工程地质条件</v>
      </c>
      <c r="R37" s="947" t="s">
        <v>887</v>
      </c>
      <c r="S37" s="948">
        <f t="shared" si="10"/>
        <v>100</v>
      </c>
      <c r="T37" s="947" t="s">
        <v>887</v>
      </c>
      <c r="U37" s="948">
        <f t="shared" si="11"/>
        <v>100</v>
      </c>
      <c r="V37" s="947" t="s">
        <v>887</v>
      </c>
      <c r="W37" s="948">
        <f t="shared" si="12"/>
        <v>100</v>
      </c>
      <c r="X37" s="934"/>
      <c r="Y37" s="913" t="s">
        <v>915</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887</v>
      </c>
      <c r="S38" s="948">
        <f t="shared" si="10"/>
        <v>100</v>
      </c>
      <c r="T38" s="947" t="s">
        <v>887</v>
      </c>
      <c r="U38" s="948">
        <f t="shared" si="11"/>
        <v>100</v>
      </c>
      <c r="V38" s="947" t="s">
        <v>887</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887</v>
      </c>
      <c r="S39" s="948">
        <f t="shared" si="10"/>
        <v>100</v>
      </c>
      <c r="T39" s="947" t="s">
        <v>887</v>
      </c>
      <c r="U39" s="948">
        <f t="shared" si="11"/>
        <v>100</v>
      </c>
      <c r="V39" s="947" t="s">
        <v>887</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887</v>
      </c>
      <c r="S40" s="950">
        <f t="shared" si="10"/>
        <v>100</v>
      </c>
      <c r="T40" s="949" t="s">
        <v>887</v>
      </c>
      <c r="U40" s="950">
        <f t="shared" si="11"/>
        <v>100</v>
      </c>
      <c r="V40" s="949" t="s">
        <v>887</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931</v>
      </c>
      <c r="B42" s="829"/>
      <c r="C42" s="830" t="e">
        <f>R43</f>
        <v>#DIV/0!</v>
      </c>
      <c r="D42" s="831" t="s">
        <v>932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2022-11-1</v>
      </c>
      <c r="D63" s="870">
        <f>EDATE(C63,-3)</f>
        <v>44774</v>
      </c>
      <c r="E63" s="870">
        <f t="shared" ref="E63:O63" si="18">EDATE(D63,-3)</f>
        <v>44682</v>
      </c>
      <c r="F63" s="870">
        <f t="shared" si="18"/>
        <v>44593</v>
      </c>
      <c r="G63" s="870">
        <f t="shared" si="18"/>
        <v>44501</v>
      </c>
      <c r="H63" s="870">
        <f t="shared" si="18"/>
        <v>44409</v>
      </c>
      <c r="I63" s="870">
        <f t="shared" si="18"/>
        <v>44317</v>
      </c>
      <c r="J63" s="870">
        <f t="shared" si="18"/>
        <v>44228</v>
      </c>
      <c r="K63" s="870">
        <f t="shared" si="18"/>
        <v>44136</v>
      </c>
      <c r="L63" s="870">
        <f t="shared" si="18"/>
        <v>44044</v>
      </c>
      <c r="M63" s="870">
        <f t="shared" si="18"/>
        <v>43952</v>
      </c>
      <c r="N63" s="870">
        <f t="shared" si="18"/>
        <v>43862</v>
      </c>
      <c r="O63" s="870">
        <f t="shared" si="18"/>
        <v>43770</v>
      </c>
    </row>
    <row r="64" ht="21" spans="1:17">
      <c r="A64" s="871" t="s">
        <v>937</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938</v>
      </c>
      <c r="B67" s="973"/>
      <c r="C67" s="974"/>
      <c r="D67" s="975"/>
      <c r="E67" s="975"/>
      <c r="F67" s="975"/>
      <c r="G67" s="975"/>
      <c r="H67" s="975"/>
      <c r="I67" s="975"/>
      <c r="J67" s="975"/>
      <c r="K67" s="975"/>
      <c r="L67" s="975"/>
      <c r="M67" s="1024"/>
      <c r="N67" s="975"/>
      <c r="O67" s="1025"/>
      <c r="P67" s="955"/>
      <c r="Q67" s="955"/>
    </row>
    <row r="68" s="707" customFormat="1" ht="15" spans="1:17">
      <c r="A68" s="976" t="s">
        <v>888</v>
      </c>
      <c r="B68" s="977"/>
      <c r="C68" s="978" t="s">
        <v>889</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939</v>
      </c>
      <c r="B70" s="983" t="s">
        <v>893</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896</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897</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898</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947</v>
      </c>
      <c r="D93" s="988" t="s">
        <v>948</v>
      </c>
      <c r="E93" s="988" t="s">
        <v>949</v>
      </c>
      <c r="F93" s="988" t="s">
        <v>950</v>
      </c>
      <c r="G93" s="988" t="s">
        <v>951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873</v>
      </c>
      <c r="D1" s="400">
        <f>SUM(D29:D30,D33:D39)</f>
        <v>59.11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871</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966</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44873</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0.8273</v>
      </c>
      <c r="D20" s="483" t="s">
        <v>1653</v>
      </c>
      <c r="E20" s="484">
        <f>存贷款利率!E20/100</f>
        <v>0.0435</v>
      </c>
      <c r="F20" s="483" t="s">
        <v>1654</v>
      </c>
      <c r="G20" s="485">
        <f>SUMIF(M26:P26,E2,M28:P28)</f>
        <v>0.05</v>
      </c>
      <c r="H20" s="483" t="s">
        <v>1655</v>
      </c>
      <c r="I20" s="460">
        <f>'数据-取费表'!B13</f>
        <v>33</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59.11</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900</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900</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900</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900</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901</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900</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900</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900</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900</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956</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900</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900</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900</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901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956</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901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900</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900</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900</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900</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900</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900</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900</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900</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900</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900</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900</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900</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901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900</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901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900</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900</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956</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900</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900</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900</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900</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900</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900</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901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691</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677</v>
      </c>
      <c r="C1" s="8">
        <f>项目基本情况!D2</f>
        <v>44873</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1" customWidth="1"/>
    <col min="2" max="2" width="37.875" style="3511" customWidth="1"/>
    <col min="3" max="3" width="16.125" style="3511" customWidth="1"/>
    <col min="4" max="4" width="22.25" style="3511" customWidth="1"/>
    <col min="5" max="5" width="4.125" style="3511" customWidth="1"/>
    <col min="6" max="7" width="13" style="3511" customWidth="1"/>
    <col min="8" max="16384" width="9" style="3511"/>
  </cols>
  <sheetData>
    <row r="1" ht="18.75"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customHeight="1" spans="1:5">
      <c r="A3" s="3515"/>
      <c r="B3" s="3515"/>
      <c r="C3" s="3515"/>
      <c r="D3" s="3515"/>
      <c r="E3" s="3515"/>
    </row>
    <row r="4" ht="19.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4.25" spans="1:5">
      <c r="A6" s="3513"/>
      <c r="B6" s="3520" t="str">
        <f>项目基本情况!I1</f>
        <v>北京市房地产</v>
      </c>
      <c r="C6" s="3521">
        <f>项目基本情况!C12</f>
        <v>59.11</v>
      </c>
      <c r="D6" s="3521"/>
      <c r="E6" s="3513"/>
    </row>
    <row r="7" ht="14.25" spans="1:5">
      <c r="A7" s="3513"/>
      <c r="B7" s="3522" t="s">
        <v>89</v>
      </c>
      <c r="C7" s="3523" t="str">
        <f>IF('数据-取费表'!B3="万元","总价（万元）","总价（元）")</f>
        <v>总价（元）</v>
      </c>
      <c r="D7" s="3521">
        <f ca="1">IF('数据-取费表'!E3="否",结果表!I102,'结果表 (1修多)'!I104)</f>
        <v>2529435</v>
      </c>
      <c r="E7" s="3513"/>
    </row>
    <row r="8" ht="28.5" spans="1:5">
      <c r="A8" s="3513"/>
      <c r="B8" s="3522"/>
      <c r="C8" s="3524" t="s">
        <v>90</v>
      </c>
      <c r="D8" s="3525" t="str">
        <f ca="1">IF('数据-取费表'!B3="万元",NUMBERSTRING(INT(D7*10000),2)&amp;"元整",NUMBERSTRING(INT(D7),2)&amp;"元整")</f>
        <v>贰佰伍拾贰万玖仟肆佰叁拾伍元整</v>
      </c>
      <c r="E8" s="3513"/>
    </row>
    <row r="9" ht="14.25" spans="1:5">
      <c r="A9" s="3513"/>
      <c r="B9" s="3522"/>
      <c r="C9" s="3526" t="s">
        <v>91</v>
      </c>
      <c r="D9" s="3521">
        <f ca="1">IF('数据-取费表'!E3="否",结果表!I103,'结果表 (1修多)'!I105)</f>
        <v>42792</v>
      </c>
      <c r="E9" s="3513"/>
    </row>
    <row r="10" ht="14.25" spans="1:5">
      <c r="A10" s="3513"/>
      <c r="B10" s="3520" t="str">
        <f>IF('数据-取费表'!E3="否",结果表!F105,'结果表 (1修多)'!F107)</f>
        <v>2.估价师所知悉的法定优先受偿款</v>
      </c>
      <c r="C10" s="3527" t="str">
        <f>IF('数据-取费表'!B3="万元","总额（万元）","总额（元）")</f>
        <v>总额（元）</v>
      </c>
      <c r="D10" s="3521">
        <f>IF('数据-取费表'!E3="否",结果表!I105,'结果表 (1修多)'!I107)</f>
        <v>0</v>
      </c>
      <c r="E10" s="3513"/>
    </row>
    <row r="11" ht="14.25" spans="1:5">
      <c r="A11" s="3513"/>
      <c r="B11" s="3520"/>
      <c r="C11" s="3524" t="s">
        <v>90</v>
      </c>
      <c r="D11" s="3525" t="str">
        <f>IF('数据-取费表'!B3="万元",NUMBERSTRING(INT(D10*10000),2)&amp;"元整",NUMBERSTRING(INT(D10),2)&amp;"元整")</f>
        <v>零元整</v>
      </c>
      <c r="E11" s="3513"/>
    </row>
    <row r="12" ht="14.25" spans="1:5">
      <c r="A12" s="3513"/>
      <c r="B12" s="3528" t="s">
        <v>92</v>
      </c>
      <c r="C12" s="3529" t="str">
        <f>C10</f>
        <v>总额（元）</v>
      </c>
      <c r="D12" s="3530">
        <f>IF('数据-取费表'!E3="否",结果表!I106,'结果表 (1修多)'!I108)</f>
        <v>0</v>
      </c>
      <c r="E12" s="3513"/>
    </row>
    <row r="13" ht="14.25" spans="1:5">
      <c r="A13" s="3513"/>
      <c r="B13" s="3528" t="s">
        <v>93</v>
      </c>
      <c r="C13" s="3529" t="str">
        <f>C10</f>
        <v>总额（元）</v>
      </c>
      <c r="D13" s="3530">
        <f>IF('数据-取费表'!E3="否",结果表!I107,'结果表 (1修多)'!I109)</f>
        <v>0</v>
      </c>
      <c r="E13" s="3513"/>
    </row>
    <row r="14" ht="14.25" spans="1:5">
      <c r="A14" s="3513"/>
      <c r="B14" s="3528" t="s">
        <v>94</v>
      </c>
      <c r="C14" s="3529" t="str">
        <f>C10</f>
        <v>总额（元）</v>
      </c>
      <c r="D14" s="3530">
        <f>IF('数据-取费表'!E3="否",结果表!I108,'结果表 (1修多)'!I110)</f>
        <v>0</v>
      </c>
      <c r="E14" s="3513"/>
    </row>
    <row r="15" ht="14.25" spans="1:5">
      <c r="A15" s="3513"/>
      <c r="B15" s="3520" t="str">
        <f>IF('数据-取费表'!E3="否",结果表!F110,'结果表 (1修多)'!F112)</f>
        <v>3.房地产抵押价值</v>
      </c>
      <c r="C15" s="3531" t="str">
        <f>C7</f>
        <v>总价（元）</v>
      </c>
      <c r="D15" s="3521">
        <f ca="1">IF('数据-取费表'!E3="否",结果表!I110,'结果表 (1修多)'!I112)</f>
        <v>2529435</v>
      </c>
      <c r="E15" s="3513"/>
    </row>
    <row r="16" ht="28.5" spans="1:5">
      <c r="A16" s="3513"/>
      <c r="B16" s="3520"/>
      <c r="C16" s="3524" t="s">
        <v>90</v>
      </c>
      <c r="D16" s="3521" t="str">
        <f ca="1">IF('数据-取费表'!B3="万元",NUMBERSTRING(INT(D15*10000),2)&amp;"元整",NUMBERSTRING(INT(D15),2)&amp;"元整")</f>
        <v>贰佰伍拾贰万玖仟肆佰叁拾伍元整</v>
      </c>
      <c r="E16" s="3513"/>
    </row>
    <row r="17" ht="14.25" spans="1:5">
      <c r="A17" s="3513"/>
      <c r="B17" s="3520"/>
      <c r="C17" s="3526" t="s">
        <v>91</v>
      </c>
      <c r="D17" s="3521">
        <f ca="1">IF('数据-取费表'!E3="否",结果表!I111,'结果表 (1修多)'!I113)</f>
        <v>42792</v>
      </c>
      <c r="E17" s="3513"/>
    </row>
    <row r="18" ht="14.25" spans="1:5">
      <c r="A18" s="3513"/>
      <c r="B18" s="3520" t="str">
        <f>IF('数据-取费表'!E3="否",结果表!F112,'结果表 (1修多)'!F114)</f>
        <v>——</v>
      </c>
      <c r="C18" s="3531" t="str">
        <f>C7</f>
        <v>总价（元）</v>
      </c>
      <c r="D18" s="3521" t="str">
        <f ca="1">IF('数据-取费表'!E3="否",结果表!I112,'结果表 (1修多)'!I114)</f>
        <v>——</v>
      </c>
      <c r="E18" s="3513"/>
    </row>
    <row r="19" ht="14.25" spans="1:5">
      <c r="A19" s="3513"/>
      <c r="B19" s="3520"/>
      <c r="C19" s="3524" t="s">
        <v>90</v>
      </c>
      <c r="D19" s="3521" t="e">
        <f ca="1">IF('数据-取费表'!B3="万元",NUMBERSTRING(INT(D18*10000),2)&amp;"元整",NUMBERSTRING(INT(D18),2)&amp;"元整")</f>
        <v>#VALUE!</v>
      </c>
      <c r="E19" s="3513"/>
    </row>
    <row r="20" ht="14.25" spans="1:5">
      <c r="A20" s="3513"/>
      <c r="B20" s="3520"/>
      <c r="C20" s="3526" t="s">
        <v>91</v>
      </c>
      <c r="D20" s="3521" t="str">
        <f ca="1">IF('数据-取费表'!E3="否",结果表!I113,'结果表 (1修多)'!I115)</f>
        <v>——</v>
      </c>
      <c r="E20" s="3513"/>
    </row>
    <row r="21" ht="14.25" spans="1:5">
      <c r="A21" s="3513"/>
      <c r="B21" s="3522" t="str">
        <f>IF('数据-取费表'!E3="否",结果表!F114,'结果表 (1修多)'!F116)</f>
        <v>——</v>
      </c>
      <c r="C21" s="3523" t="str">
        <f>C7</f>
        <v>总价（元）</v>
      </c>
      <c r="D21" s="3521" t="str">
        <f ca="1">IF('数据-取费表'!E3="否",结果表!I114,'结果表 (1修多)'!I116)</f>
        <v>——</v>
      </c>
      <c r="E21" s="3513"/>
    </row>
    <row r="22" ht="14.25" spans="1:5">
      <c r="A22" s="3513"/>
      <c r="B22" s="3522"/>
      <c r="C22" s="3524" t="s">
        <v>90</v>
      </c>
      <c r="D22" s="3525" t="e">
        <f ca="1">IF('数据-取费表'!B3="万元",NUMBERSTRING(INT(D21*10000),2)&amp;"元整",NUMBERSTRING(INT(D21),2)&amp;"元整")</f>
        <v>#VALUE!</v>
      </c>
      <c r="E22" s="3513"/>
    </row>
    <row r="23" ht="15" spans="1:5">
      <c r="A23" s="3513"/>
      <c r="B23" s="3532"/>
      <c r="C23" s="3533" t="s">
        <v>91</v>
      </c>
      <c r="D23" s="3534" t="str">
        <f ca="1">IF('数据-取费表'!E3="否",结果表!I115,'结果表 (1修多)'!I117)</f>
        <v>——</v>
      </c>
      <c r="E23" s="3513"/>
    </row>
    <row r="24" ht="14.2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4.25" spans="1:5">
      <c r="A28" s="3513"/>
      <c r="B28" s="3542" t="s">
        <v>89</v>
      </c>
      <c r="C28" s="3543" t="s">
        <v>98</v>
      </c>
      <c r="D28" s="3544">
        <f ca="1">IF('数据-取费表'!E3="否",结果表!I102,'结果表 (1修多)'!I104)</f>
        <v>2529435</v>
      </c>
      <c r="E28" s="3513"/>
    </row>
    <row r="29" ht="28.5" spans="1:5">
      <c r="A29" s="3513"/>
      <c r="B29" s="3545"/>
      <c r="C29" s="3546" t="s">
        <v>90</v>
      </c>
      <c r="D29" s="3547" t="str">
        <f ca="1">IF('数据-取费表'!B3="万元",NUMBERSTRING(INT(D28*10000),2)&amp;"元整",NUMBERSTRING(INT(D28),2)&amp;"元整")</f>
        <v>贰佰伍拾贰万玖仟肆佰叁拾伍元整</v>
      </c>
      <c r="E29" s="3513"/>
    </row>
    <row r="30" ht="14.25" spans="1:5">
      <c r="A30" s="3513"/>
      <c r="B30" s="3548"/>
      <c r="C30" s="3526" t="s">
        <v>99</v>
      </c>
      <c r="D30" s="3549">
        <f ca="1">IF('数据-取费表'!E3="否",结果表!I103,'结果表 (1修多)'!I105)</f>
        <v>42792</v>
      </c>
      <c r="E30" s="3513"/>
    </row>
    <row r="31" ht="14.25" spans="1:5">
      <c r="A31" s="3513"/>
      <c r="B31" s="3550" t="str">
        <f>B10</f>
        <v>2.估价师所知悉的法定优先受偿款</v>
      </c>
      <c r="C31" s="3551" t="s">
        <v>100</v>
      </c>
      <c r="D31" s="3541">
        <f>IF('数据-取费表'!E3="否",结果表!I105,'结果表 (1修多)'!I107)</f>
        <v>0</v>
      </c>
      <c r="E31" s="3513"/>
    </row>
    <row r="32" ht="14.25" spans="1:5">
      <c r="A32" s="3513"/>
      <c r="B32" s="3543"/>
      <c r="C32" s="3546" t="s">
        <v>90</v>
      </c>
      <c r="D32" s="3552" t="str">
        <f>IF('数据-取费表'!B3="万元",NUMBERSTRING(INT(D31*10000),2)&amp;"元整",NUMBERSTRING(INT(D31),2)&amp;"元整")</f>
        <v>零元整</v>
      </c>
      <c r="E32" s="3513"/>
    </row>
    <row r="33" ht="14.25" spans="1:5">
      <c r="A33" s="3513"/>
      <c r="B33" s="3524" t="s">
        <v>92</v>
      </c>
      <c r="C33" s="3524" t="str">
        <f>C31</f>
        <v>总额</v>
      </c>
      <c r="D33" s="3549">
        <f>IF('数据-取费表'!E3="否",结果表!I106,'结果表 (1修多)'!I108)</f>
        <v>0</v>
      </c>
      <c r="E33" s="3513"/>
    </row>
    <row r="34" ht="14.25" spans="1:5">
      <c r="A34" s="3513"/>
      <c r="B34" s="3524" t="s">
        <v>93</v>
      </c>
      <c r="C34" s="3524" t="str">
        <f>C31</f>
        <v>总额</v>
      </c>
      <c r="D34" s="3549">
        <f>IF('数据-取费表'!E3="否",结果表!I107,'结果表 (1修多)'!I109)</f>
        <v>0</v>
      </c>
      <c r="E34" s="3513"/>
    </row>
    <row r="35" ht="14.25" spans="1:5">
      <c r="A35" s="3513"/>
      <c r="B35" s="3524" t="s">
        <v>94</v>
      </c>
      <c r="C35" s="3524" t="str">
        <f>C31</f>
        <v>总额</v>
      </c>
      <c r="D35" s="3549">
        <f>IF('数据-取费表'!E3="否",结果表!I108,'结果表 (1修多)'!I110)</f>
        <v>0</v>
      </c>
      <c r="E35" s="3513"/>
    </row>
    <row r="36" ht="14.25" spans="1:5">
      <c r="A36" s="3513"/>
      <c r="B36" s="3551" t="str">
        <f>B15</f>
        <v>3.房地产抵押价值</v>
      </c>
      <c r="C36" s="3551" t="str">
        <f>C28</f>
        <v>总价</v>
      </c>
      <c r="D36" s="3541">
        <f ca="1">IF('数据-取费表'!E3="否",结果表!I110,'结果表 (1修多)'!I112)</f>
        <v>2529435</v>
      </c>
      <c r="E36" s="3513"/>
    </row>
    <row r="37" ht="28.5" spans="1:5">
      <c r="A37" s="3513"/>
      <c r="B37" s="3551"/>
      <c r="C37" s="3546" t="s">
        <v>90</v>
      </c>
      <c r="D37" s="3552" t="str">
        <f ca="1">IF('数据-取费表'!B3="万元",NUMBERSTRING(INT(D36*10000),2)&amp;"元整",NUMBERSTRING(INT(D36),2)&amp;"元整")</f>
        <v>贰佰伍拾贰万玖仟肆佰叁拾伍元整</v>
      </c>
      <c r="E37" s="3513"/>
    </row>
    <row r="38" ht="14.25" spans="1:5">
      <c r="A38" s="3513"/>
      <c r="B38" s="3551"/>
      <c r="C38" s="3526" t="s">
        <v>99</v>
      </c>
      <c r="D38" s="3549">
        <f ca="1">IF('数据-取费表'!E3="否",结果表!D113,'结果表 (1修多)'!D117)</f>
        <v>42792</v>
      </c>
      <c r="E38" s="3513"/>
    </row>
    <row r="39" ht="14.25" spans="1:5">
      <c r="A39" s="3513"/>
      <c r="B39" s="3553" t="str">
        <f>B18</f>
        <v>——</v>
      </c>
      <c r="C39" s="3551" t="str">
        <f>C28</f>
        <v>总价</v>
      </c>
      <c r="D39" s="3541" t="str">
        <f ca="1">IF('数据-取费表'!E3="否",结果表!I112,'结果表 (1修多)'!I114)</f>
        <v>——</v>
      </c>
      <c r="E39" s="3513"/>
    </row>
    <row r="40" ht="14.25" spans="1:5">
      <c r="A40" s="3513"/>
      <c r="B40" s="3553"/>
      <c r="C40" s="3546" t="s">
        <v>90</v>
      </c>
      <c r="D40" s="3552" t="e">
        <f ca="1">IF('数据-取费表'!B3="万元",NUMBERSTRING(INT(D39*10000),2)&amp;"元整",NUMBERSTRING(INT(D39),2)&amp;"元整")</f>
        <v>#VALUE!</v>
      </c>
      <c r="E40" s="3513"/>
    </row>
    <row r="41" ht="14.25" spans="1:5">
      <c r="A41" s="3513"/>
      <c r="B41" s="3553"/>
      <c r="C41" s="3526" t="s">
        <v>99</v>
      </c>
      <c r="D41" s="3549" t="str">
        <f ca="1">IF('数据-取费表'!E3="否",结果表!D115,'结果表 (1修多)'!D119)</f>
        <v>——</v>
      </c>
      <c r="E41" s="3513"/>
    </row>
    <row r="42" ht="14.25" spans="1:5">
      <c r="A42" s="3513"/>
      <c r="B42" s="3551" t="str">
        <f>B21</f>
        <v>——</v>
      </c>
      <c r="C42" s="3551" t="str">
        <f>C28</f>
        <v>总价</v>
      </c>
      <c r="D42" s="3541" t="str">
        <f ca="1">IF('数据-取费表'!E3="否",结果表!I114,'结果表 (1修多)'!I116)</f>
        <v>——</v>
      </c>
      <c r="E42" s="3513"/>
    </row>
    <row r="43" ht="14.25" spans="1:5">
      <c r="A43" s="3513"/>
      <c r="B43" s="3550"/>
      <c r="C43" s="3546" t="s">
        <v>90</v>
      </c>
      <c r="D43" s="3554" t="e">
        <f ca="1">IF('数据-取费表'!B3="万元",NUMBERSTRING(INT(D42*10000),2)&amp;"元整",NUMBERSTRING(INT(D42),2)&amp;"元整")</f>
        <v>#VALUE!</v>
      </c>
      <c r="E43" s="3513"/>
    </row>
    <row r="44" ht="15" spans="1:5">
      <c r="A44" s="3513"/>
      <c r="B44" s="3555"/>
      <c r="C44" s="3533" t="s">
        <v>99</v>
      </c>
      <c r="D44" s="3556" t="str">
        <f ca="1">IF('数据-取费表'!E3="否",结果表!D117,'结果表 (1修多)'!D121)</f>
        <v>——</v>
      </c>
      <c r="E44" s="3513"/>
    </row>
    <row r="45" ht="14.25" spans="1:5">
      <c r="A45" s="3513"/>
      <c r="B45" s="3513" t="str">
        <f>IF('数据-取费表'!B3="元","单位：元、元/平方米（单位：人民币）","单位：万元、元/平方米（单位：人民币）")</f>
        <v>单位：元、元/平方米（单位：人民币）</v>
      </c>
      <c r="C45" s="3513"/>
      <c r="D45" s="3513"/>
      <c r="E45" s="3513"/>
    </row>
    <row r="46" ht="18.75"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1" customWidth="1"/>
    <col min="2" max="9" width="12.25" style="3481" customWidth="1"/>
    <col min="10" max="16384" width="9" style="3481"/>
  </cols>
  <sheetData>
    <row r="1" ht="16.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59.11</v>
      </c>
      <c r="C4" s="3502">
        <f>结果表!C121</f>
        <v>0</v>
      </c>
      <c r="D4" s="3502">
        <f ca="1">IF('数据-取费表'!E3="否",结果表!D121,'结果表 (1修多)'!D125)</f>
        <v>2357425</v>
      </c>
      <c r="E4" s="3502">
        <f ca="1">IF('数据-取费表'!E3="否",结果表!E121,'结果表 (1修多)'!E125)</f>
        <v>39882</v>
      </c>
      <c r="F4" s="3502">
        <f ca="1">IF('数据-取费表'!E3="否",结果表!F121,'结果表 (1修多)'!F125)</f>
        <v>172010</v>
      </c>
      <c r="G4" s="3502">
        <f ca="1">IF('数据-取费表'!E3="否",结果表!G121,'结果表 (1修多)'!G125)</f>
        <v>2910</v>
      </c>
      <c r="H4" s="3502">
        <f ca="1">IF('数据-取费表'!E3="否",结果表!H121,'结果表 (1修多)'!H125)</f>
        <v>2529435</v>
      </c>
      <c r="I4" s="3502">
        <f ca="1">IF('数据-取费表'!E3="否",结果表!I121,'结果表 (1修多)'!I125)</f>
        <v>42792</v>
      </c>
    </row>
    <row r="5" ht="15" spans="1:9">
      <c r="A5" s="3502" t="s">
        <v>109</v>
      </c>
      <c r="B5" s="3502"/>
      <c r="C5" s="3502"/>
      <c r="D5" s="3503" t="str">
        <f ca="1">IF('数据-取费表'!E3="否",结果表!D122,'结果表 (1修多)'!D126)</f>
        <v>贰佰叁拾伍万柒仟肆佰贰拾伍元整</v>
      </c>
      <c r="E5" s="3503"/>
      <c r="F5" s="3503" t="str">
        <f ca="1">IF('数据-取费表'!E3="否",结果表!F122,'结果表 (1修多)'!F126)</f>
        <v>壹拾柒万贰仟零壹拾元整</v>
      </c>
      <c r="G5" s="3503"/>
      <c r="H5" s="3503" t="str">
        <f ca="1">IF('数据-取费表'!E3="否",结果表!H122,'结果表 (1修多)'!H126)</f>
        <v>贰佰伍拾贰万玖仟肆佰叁拾伍元整</v>
      </c>
      <c r="I5" s="3503"/>
    </row>
    <row r="6" ht="15.75"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75" spans="1:9">
      <c r="A8" s="3504" t="str">
        <f>IF('数据-取费表'!E3="否",结果表!A125,'结果表 (1修多)'!A129)</f>
        <v>房地产抵押价值</v>
      </c>
      <c r="B8" s="3504"/>
      <c r="C8" s="3504"/>
      <c r="D8" s="3504">
        <f ca="1">IF('数据-取费表'!E3="否",结果表!D125,'结果表 (1修多)'!D129)</f>
        <v>2529435</v>
      </c>
      <c r="E8" s="3504"/>
      <c r="F8" s="3504"/>
      <c r="G8" s="3504"/>
      <c r="H8" s="3504"/>
      <c r="I8" s="3504"/>
    </row>
    <row r="9" ht="15" spans="1:9">
      <c r="A9" s="3502" t="s">
        <v>109</v>
      </c>
      <c r="B9" s="3502"/>
      <c r="C9" s="3502"/>
      <c r="D9" s="3503">
        <f ca="1">IF('数据-取费表'!E3="否",结果表!D126,'结果表 (1修多)'!D130)</f>
        <v>42792</v>
      </c>
      <c r="E9" s="3503"/>
      <c r="F9" s="3503"/>
      <c r="G9" s="3503"/>
      <c r="H9" s="3503"/>
      <c r="I9" s="3503"/>
    </row>
    <row r="10" ht="15.75" spans="1:9">
      <c r="A10" s="3504" t="str">
        <f>IF('数据-取费表'!E3="否",结果表!A127,'结果表 (1修多)'!A131)</f>
        <v/>
      </c>
      <c r="B10" s="3504"/>
      <c r="C10" s="3504"/>
      <c r="D10" s="3504" t="str">
        <f ca="1">IF('数据-取费表'!E3="否",结果表!D127,'结果表 (1修多)'!D130)</f>
        <v>——</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75"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spans="1:9">
      <c r="A14" s="3509" t="str">
        <f>IF('数据-取费表'!E3="否",结果表!A131,'结果表 (1修多)'!A135)</f>
        <v>单位：平方米、元、元/平方米（币种：人民币）</v>
      </c>
      <c r="B14" s="3509"/>
      <c r="C14" s="3509"/>
      <c r="D14" s="3509"/>
      <c r="E14" s="3509"/>
      <c r="F14" s="3509"/>
      <c r="G14" s="3509"/>
      <c r="H14" s="3509"/>
      <c r="I14" s="3509"/>
    </row>
    <row r="15" spans="1:9">
      <c r="A15" s="3410"/>
      <c r="B15" s="3410"/>
      <c r="C15" s="3410"/>
      <c r="D15" s="3410"/>
      <c r="E15" s="3410"/>
      <c r="F15" s="3410"/>
      <c r="G15" s="3410"/>
      <c r="H15" s="3410"/>
      <c r="I15" s="3410"/>
    </row>
    <row r="16" ht="18.75" spans="1:9">
      <c r="A16" s="3458"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1" customWidth="1"/>
    <col min="2" max="2" width="24" style="3481" customWidth="1"/>
    <col min="3" max="3" width="23.25" style="3481" customWidth="1"/>
    <col min="4" max="4" width="21" style="3481" customWidth="1"/>
    <col min="5" max="16384" width="9" style="3481"/>
  </cols>
  <sheetData>
    <row r="1" ht="18.75" spans="1:4">
      <c r="A1" s="3482" t="s">
        <v>111</v>
      </c>
      <c r="B1" s="3482"/>
      <c r="C1" s="3482"/>
      <c r="D1" s="3482"/>
    </row>
    <row r="2" ht="18" spans="1:4">
      <c r="A2" s="3483" t="s">
        <v>112</v>
      </c>
      <c r="B2" s="3483"/>
      <c r="C2" s="3483"/>
      <c r="D2" s="3483"/>
    </row>
    <row r="3" ht="18.75"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8" spans="1:4">
      <c r="A7" s="3483" t="s">
        <v>118</v>
      </c>
      <c r="B7" s="3483"/>
      <c r="C7" s="3483"/>
      <c r="D7" s="3483"/>
    </row>
    <row r="8" ht="18.75" spans="1:4">
      <c r="A8" s="3484" t="s">
        <v>113</v>
      </c>
      <c r="B8" s="3486" t="s">
        <v>119</v>
      </c>
      <c r="C8" s="3484" t="s">
        <v>115</v>
      </c>
      <c r="D8" s="3484" t="s">
        <v>116</v>
      </c>
    </row>
    <row r="9" ht="56.25" customHeight="1" spans="1:4">
      <c r="A9" s="3491" t="s">
        <v>120</v>
      </c>
      <c r="B9" s="3491" t="s">
        <v>121</v>
      </c>
      <c r="C9" s="3487"/>
      <c r="D9" s="3488" t="s">
        <v>117</v>
      </c>
    </row>
    <row r="11" ht="18.75"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22"/>
      <c r="C21" s="322"/>
      <c r="D21" s="322"/>
    </row>
    <row r="22" spans="1:4">
      <c r="A22" s="3495"/>
      <c r="B22" s="322"/>
      <c r="C22" s="322"/>
      <c r="D22" s="322"/>
    </row>
    <row r="23" ht="18.75" spans="1:1">
      <c r="A23" s="3496" t="s">
        <v>126</v>
      </c>
    </row>
    <row r="24" ht="18" spans="1:1">
      <c r="A24" s="3496"/>
    </row>
    <row r="25" ht="18.75"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9" customWidth="1"/>
    <col min="2" max="16384" width="14.5" style="3410"/>
  </cols>
  <sheetData>
    <row r="1" s="3458" customFormat="1" ht="18.75" spans="1:1">
      <c r="A1" s="3460" t="s">
        <v>129</v>
      </c>
    </row>
    <row r="3" ht="14.25" spans="1:7">
      <c r="A3" s="3461" t="s">
        <v>130</v>
      </c>
      <c r="B3" s="3410" t="s">
        <v>131</v>
      </c>
      <c r="G3" s="3462"/>
    </row>
    <row r="4" spans="7:7">
      <c r="G4" s="3462"/>
    </row>
    <row r="5" ht="14.25" spans="1:7">
      <c r="A5" s="3463" t="s">
        <v>132</v>
      </c>
      <c r="B5" s="3410" t="s">
        <v>133</v>
      </c>
      <c r="G5" s="3462"/>
    </row>
    <row r="6" spans="7:7">
      <c r="G6" s="3462"/>
    </row>
    <row r="7" ht="14.25" spans="1:7">
      <c r="A7" s="3464" t="s">
        <v>134</v>
      </c>
      <c r="B7" s="3410" t="s">
        <v>135</v>
      </c>
      <c r="G7" s="3462"/>
    </row>
    <row r="8" spans="7:7">
      <c r="G8" s="3462"/>
    </row>
    <row r="9" ht="14.25" spans="1:2">
      <c r="A9" s="3465" t="s">
        <v>136</v>
      </c>
      <c r="B9" s="3410" t="s">
        <v>137</v>
      </c>
    </row>
    <row r="11" ht="14.25" spans="1:2">
      <c r="A11" s="3466" t="s">
        <v>138</v>
      </c>
      <c r="B11" s="3467" t="s">
        <v>139</v>
      </c>
    </row>
    <row r="13" ht="14.25" spans="1:1">
      <c r="A13" s="3468" t="s">
        <v>140</v>
      </c>
    </row>
    <row r="15" ht="13.5" spans="1:3">
      <c r="A15" s="3469" t="s">
        <v>141</v>
      </c>
      <c r="B15" s="3470" t="s">
        <v>142</v>
      </c>
      <c r="C15" s="3471"/>
    </row>
    <row r="16" ht="13.5" spans="1:3">
      <c r="A16" s="3472"/>
      <c r="B16" s="3470" t="s">
        <v>143</v>
      </c>
      <c r="C16" s="3471"/>
    </row>
    <row r="17" ht="14.25" spans="1:3">
      <c r="A17" s="3472"/>
      <c r="B17" s="3470" t="s">
        <v>144</v>
      </c>
      <c r="C17" s="3471"/>
    </row>
    <row r="18" ht="13.5" spans="1:3">
      <c r="A18" s="3473"/>
      <c r="B18" s="3474" t="s">
        <v>145</v>
      </c>
      <c r="C18" s="3471"/>
    </row>
    <row r="19" ht="14.25" spans="1:3">
      <c r="A19" s="3475" t="s">
        <v>146</v>
      </c>
      <c r="B19" s="3476"/>
      <c r="C19" s="3477"/>
    </row>
    <row r="20" ht="13.5" spans="1:3">
      <c r="A20" s="3478" t="s">
        <v>147</v>
      </c>
      <c r="B20" s="3474" t="s">
        <v>148</v>
      </c>
      <c r="C20" s="3471"/>
    </row>
    <row r="21" ht="13.5" spans="1:3">
      <c r="A21" s="3478"/>
      <c r="B21" s="3474" t="s">
        <v>149</v>
      </c>
      <c r="C21" s="3471"/>
    </row>
    <row r="22" ht="13.5" spans="1:3">
      <c r="A22" s="3478"/>
      <c r="B22" s="3474" t="s">
        <v>150</v>
      </c>
      <c r="C22" s="3471"/>
    </row>
    <row r="23" ht="13.5" spans="1:3">
      <c r="A23" s="3478"/>
      <c r="B23" s="3479" t="s">
        <v>151</v>
      </c>
      <c r="C23" s="3479" t="s">
        <v>152</v>
      </c>
    </row>
    <row r="24" ht="13.5" spans="1:3">
      <c r="A24" s="3478"/>
      <c r="B24" s="3479"/>
      <c r="C24" s="3479" t="s">
        <v>153</v>
      </c>
    </row>
    <row r="25" ht="13.5" spans="1:3">
      <c r="A25" s="3478"/>
      <c r="B25" s="3479"/>
      <c r="C25" s="3479" t="s">
        <v>154</v>
      </c>
    </row>
    <row r="26" ht="13.5" spans="1:3">
      <c r="A26" s="3478"/>
      <c r="B26" s="3479"/>
      <c r="C26" s="3479" t="s">
        <v>155</v>
      </c>
    </row>
    <row r="27" ht="13.5" spans="1:3">
      <c r="A27" s="3478"/>
      <c r="B27" s="3479"/>
      <c r="C27" s="3479" t="s">
        <v>156</v>
      </c>
    </row>
    <row r="28" ht="13.5" spans="1:3">
      <c r="A28" s="3478"/>
      <c r="B28" s="3479"/>
      <c r="C28" s="3479" t="s">
        <v>157</v>
      </c>
    </row>
    <row r="29" ht="14.25" spans="1:3">
      <c r="A29" s="3478"/>
      <c r="B29" s="3479"/>
      <c r="C29" s="3479" t="s">
        <v>158</v>
      </c>
    </row>
    <row r="30" ht="14.25" spans="1:3">
      <c r="A30" s="3478"/>
      <c r="B30" s="3479"/>
      <c r="C30" s="3479" t="s">
        <v>159</v>
      </c>
    </row>
    <row r="31" ht="13.5"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customHeight="1" spans="1:8">
      <c r="A1" s="3427"/>
      <c r="B1" s="3427"/>
      <c r="C1" s="3427"/>
      <c r="D1" s="3427"/>
      <c r="E1" s="3427"/>
      <c r="F1" s="3427"/>
      <c r="G1" s="3427"/>
      <c r="H1" s="3427"/>
    </row>
    <row r="2" customHeight="1" spans="1:8">
      <c r="A2" s="3428" t="s">
        <v>162</v>
      </c>
      <c r="B2" s="3429">
        <f ca="1">TODAY()</f>
        <v>44922</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t="str">
        <f ca="1">IF(C4&lt;B2,"已过期",1119970066)</f>
        <v>已过期</v>
      </c>
      <c r="C4" s="3436">
        <v>44876</v>
      </c>
      <c r="D4" s="3437" t="str">
        <f ca="1">A4&amp;"（注册号："&amp;B4&amp;"）"</f>
        <v>梁津（注册号：已过期）</v>
      </c>
      <c r="E4" s="3438" t="s">
        <v>171</v>
      </c>
      <c r="F4" s="3435">
        <f ca="1">IF(G4&lt;B2,"已过期",96010014)</f>
        <v>96010014</v>
      </c>
      <c r="G4" s="3439">
        <v>47118</v>
      </c>
      <c r="H4" s="3440" t="str">
        <f ca="1">E4&amp;"（注册号："&amp;F4&amp;"）"</f>
        <v>梁津（注册号：96010014）</v>
      </c>
    </row>
    <row r="5" customHeight="1" spans="1:8">
      <c r="A5" s="3435" t="s">
        <v>172</v>
      </c>
      <c r="B5" s="3435" t="str">
        <f ca="1">IF(C5&lt;B2,"已过期",1119970111)</f>
        <v>已过期</v>
      </c>
      <c r="C5" s="3436">
        <v>44876</v>
      </c>
      <c r="D5" s="3437" t="str">
        <f ca="1" t="shared" ref="D5:D14" si="0">A5&amp;"（注册号："&amp;B5&amp;"）"</f>
        <v>叶凌（注册号：已过期）</v>
      </c>
      <c r="E5" s="3438" t="s">
        <v>172</v>
      </c>
      <c r="F5" s="3435">
        <f ca="1">IF(G5&lt;B2,"已过期",94010078)</f>
        <v>94010078</v>
      </c>
      <c r="G5" s="3439">
        <v>46387</v>
      </c>
      <c r="H5" s="3440" t="str">
        <f ca="1" t="shared" ref="H5:H16" si="1">E5&amp;"（注册号："&amp;F5&amp;"）"</f>
        <v>叶凌（注册号：94010078）</v>
      </c>
    </row>
    <row r="6" customHeight="1" spans="1:8">
      <c r="A6" s="3435" t="s">
        <v>173</v>
      </c>
      <c r="B6" s="3435" t="str">
        <f ca="1">IF(C6&lt;B2,"已过期",1120050019)</f>
        <v>已过期</v>
      </c>
      <c r="C6" s="3436">
        <v>44395</v>
      </c>
      <c r="D6" s="3437" t="str">
        <f ca="1" t="shared" si="0"/>
        <v>王鹏（注册号：已过期）</v>
      </c>
      <c r="E6" s="3438" t="s">
        <v>173</v>
      </c>
      <c r="F6" s="3435">
        <f ca="1">IF(G6&lt;B2,"已过期",2002110030)</f>
        <v>2002110030</v>
      </c>
      <c r="G6" s="3439">
        <v>46387</v>
      </c>
      <c r="H6" s="3440" t="str">
        <f ca="1" t="shared" si="1"/>
        <v>王鹏（注册号：2002110030）</v>
      </c>
    </row>
    <row r="7" customHeight="1" spans="1:8">
      <c r="A7" s="3435" t="s">
        <v>174</v>
      </c>
      <c r="B7" s="3435" t="str">
        <f ca="1">IF(C7&lt;B2,"已过期",1120000080)</f>
        <v>已过期</v>
      </c>
      <c r="C7" s="3436">
        <v>44876</v>
      </c>
      <c r="D7" s="3437" t="str">
        <f ca="1" t="shared" si="0"/>
        <v>欧红伟（注册号：已过期）</v>
      </c>
      <c r="E7" s="3438" t="s">
        <v>174</v>
      </c>
      <c r="F7" s="3435">
        <f ca="1">IF(G7&lt;B2,"已过期",2000110082)</f>
        <v>2000110082</v>
      </c>
      <c r="G7" s="3439">
        <v>46387</v>
      </c>
      <c r="H7" s="3440" t="str">
        <f ca="1" t="shared" si="1"/>
        <v>欧红伟（注册号：2000110082）</v>
      </c>
    </row>
    <row r="8" customHeight="1" spans="1:8">
      <c r="A8" s="3435" t="s">
        <v>175</v>
      </c>
      <c r="B8" s="3435" t="str">
        <f ca="1">IF(C8&lt;B2,"已过期",1419970001)</f>
        <v>已过期</v>
      </c>
      <c r="C8" s="3436">
        <v>44899</v>
      </c>
      <c r="D8" s="3437" t="str">
        <f ca="1" t="shared" si="0"/>
        <v>吴薇（注册号：已过期）</v>
      </c>
      <c r="E8" s="3438" t="s">
        <v>175</v>
      </c>
      <c r="F8" s="3435">
        <f ca="1">IF(G8&lt;B2,"已过期",2002110125)</f>
        <v>2002110125</v>
      </c>
      <c r="G8" s="3439">
        <v>47118</v>
      </c>
      <c r="H8" s="3440" t="str">
        <f ca="1" t="shared" si="1"/>
        <v>吴薇（注册号：2002110125）</v>
      </c>
    </row>
    <row r="9" customHeight="1" spans="1:8">
      <c r="A9" s="3435" t="s">
        <v>176</v>
      </c>
      <c r="B9" s="3435" t="str">
        <f ca="1">IF(C9&lt;B2,"已过期",1120060040)</f>
        <v>已过期</v>
      </c>
      <c r="C9" s="3441">
        <v>44554</v>
      </c>
      <c r="D9" s="3437" t="str">
        <f ca="1" t="shared" si="0"/>
        <v>陈颖（注册号：已过期）</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t="str">
        <f ca="1">IF(C11&lt;B2,"已过期",1120070131)</f>
        <v>已过期</v>
      </c>
      <c r="C11" s="3436">
        <v>44849</v>
      </c>
      <c r="D11" s="3437" t="str">
        <f ca="1" t="shared" si="0"/>
        <v>郑燚（注册号：已过期）</v>
      </c>
      <c r="E11" s="3438" t="s">
        <v>178</v>
      </c>
      <c r="F11" s="3435">
        <f ca="1">IF(G11&lt;B2,"已过期",2014110011)</f>
        <v>2014110011</v>
      </c>
      <c r="G11" s="3439">
        <v>49302</v>
      </c>
      <c r="H11" s="3440" t="str">
        <f ca="1" t="shared" si="1"/>
        <v>郑燚（注册号：2014110011）</v>
      </c>
    </row>
    <row r="12" customHeight="1" spans="1:8">
      <c r="A12" s="3435" t="s">
        <v>179</v>
      </c>
      <c r="B12" s="3435" t="str">
        <f ca="1">IF(C12&lt;B2,"已过期",1120040230)</f>
        <v>已过期</v>
      </c>
      <c r="C12" s="3441">
        <v>44864</v>
      </c>
      <c r="D12" s="3437" t="str">
        <f ca="1" t="shared" si="0"/>
        <v>苏海（注册号：已过期）</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c r="B15" s="3435"/>
      <c r="C15" s="3441"/>
      <c r="D15" s="3437" t="str">
        <f t="shared" ref="D15:D16" si="2">A15&amp;"（注册号："&amp;B15&amp;"）"</f>
        <v>（注册号：）</v>
      </c>
      <c r="E15" s="3438" t="s">
        <v>182</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183</v>
      </c>
      <c r="B17" s="3443"/>
      <c r="C17" s="3443"/>
      <c r="D17" s="3443"/>
      <c r="E17" s="3443"/>
      <c r="F17" s="3443"/>
      <c r="G17" s="3443"/>
      <c r="H17" s="3443"/>
    </row>
    <row r="18" customHeight="1" spans="1:7">
      <c r="A18" s="3432" t="s">
        <v>184</v>
      </c>
      <c r="B18" s="3432"/>
      <c r="C18" s="3432"/>
      <c r="D18" s="3433"/>
      <c r="E18" s="3444" t="s">
        <v>185</v>
      </c>
      <c r="F18" s="3432"/>
      <c r="G18" s="3432"/>
    </row>
    <row r="19" s="3425" customFormat="1" customHeight="1" spans="1:7">
      <c r="A19" s="3445" t="s">
        <v>186</v>
      </c>
      <c r="B19" s="3432" t="s">
        <v>187</v>
      </c>
      <c r="C19" s="3432" t="s">
        <v>166</v>
      </c>
      <c r="D19" s="3433"/>
      <c r="E19" s="3438" t="s">
        <v>186</v>
      </c>
      <c r="F19" s="3432" t="s">
        <v>187</v>
      </c>
      <c r="G19" s="3432" t="s">
        <v>166</v>
      </c>
    </row>
    <row r="20" s="3425" customFormat="1" customHeight="1" spans="1:7">
      <c r="A20" s="3446" t="s">
        <v>188</v>
      </c>
      <c r="B20" s="3446" t="s">
        <v>189</v>
      </c>
      <c r="C20" s="3439">
        <v>44820</v>
      </c>
      <c r="D20" s="3447"/>
      <c r="E20" s="3448" t="s">
        <v>190</v>
      </c>
      <c r="F20" s="3446" t="s">
        <v>191</v>
      </c>
      <c r="G20" s="3449">
        <v>44377</v>
      </c>
    </row>
    <row r="21" s="3425" customFormat="1" customHeight="1" spans="1:7">
      <c r="A21" s="3446"/>
      <c r="B21" s="3446"/>
      <c r="C21" s="3450"/>
      <c r="D21" s="3451"/>
      <c r="E21" s="3448" t="s">
        <v>192</v>
      </c>
      <c r="F21" s="3452" t="s">
        <v>193</v>
      </c>
      <c r="G21" s="3453">
        <v>44012</v>
      </c>
    </row>
    <row r="22" customHeight="1" spans="3:7">
      <c r="C22" s="3454"/>
      <c r="D22" s="3454"/>
      <c r="E22" s="3455"/>
      <c r="F22" s="3456"/>
      <c r="G22" s="345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9" customWidth="1"/>
    <col min="2" max="2" width="22.5" style="3410" customWidth="1"/>
    <col min="3" max="3" width="13" style="2909" hidden="1" customWidth="1"/>
    <col min="4" max="4" width="5.75" style="3411" hidden="1" customWidth="1"/>
    <col min="5" max="5" width="7.125" style="3411" hidden="1" customWidth="1"/>
    <col min="6" max="6" width="10.625" style="3411" hidden="1" customWidth="1"/>
    <col min="7" max="7" width="7.5" style="3411" hidden="1" customWidth="1"/>
    <col min="8" max="8" width="9" style="2909" hidden="1" customWidth="1"/>
    <col min="9" max="9" width="11.625" style="2909" hidden="1" customWidth="1"/>
    <col min="10" max="10" width="9" style="2909" hidden="1" customWidth="1"/>
    <col min="11" max="19" width="9" style="3411" hidden="1" customWidth="1"/>
    <col min="20" max="24" width="9" style="2909" hidden="1" customWidth="1"/>
    <col min="25" max="25" width="9" style="2909" customWidth="1"/>
    <col min="26" max="26" width="15.875" style="3410" customWidth="1"/>
    <col min="27" max="16384" width="9" style="3410"/>
  </cols>
  <sheetData>
    <row r="1" s="3408" customFormat="1" ht="27" spans="1:25">
      <c r="A1" s="3412" t="s">
        <v>195</v>
      </c>
      <c r="B1" s="3413" t="s">
        <v>196</v>
      </c>
      <c r="C1" s="3414" t="s">
        <v>197</v>
      </c>
      <c r="D1" s="3415" t="s">
        <v>198</v>
      </c>
      <c r="E1" s="3415" t="s">
        <v>199</v>
      </c>
      <c r="F1" s="3415" t="s">
        <v>200</v>
      </c>
      <c r="G1" s="3415" t="s">
        <v>201</v>
      </c>
      <c r="H1" s="3415" t="s">
        <v>202</v>
      </c>
      <c r="I1" s="3415" t="s">
        <v>203</v>
      </c>
      <c r="J1" s="3415" t="s">
        <v>204</v>
      </c>
      <c r="K1" s="3415" t="s">
        <v>205</v>
      </c>
      <c r="L1" s="3415" t="s">
        <v>206</v>
      </c>
      <c r="M1" s="3415" t="s">
        <v>207</v>
      </c>
      <c r="N1" s="3415" t="s">
        <v>208</v>
      </c>
      <c r="O1" s="3415" t="s">
        <v>209</v>
      </c>
      <c r="P1" s="3422" t="s">
        <v>210</v>
      </c>
      <c r="Q1" s="3422" t="s">
        <v>211</v>
      </c>
      <c r="R1" s="3422" t="s">
        <v>212</v>
      </c>
      <c r="S1" s="3415" t="s">
        <v>213</v>
      </c>
      <c r="T1" s="3423" t="s">
        <v>214</v>
      </c>
      <c r="U1" s="3415" t="s">
        <v>215</v>
      </c>
      <c r="V1" s="3415" t="s">
        <v>216</v>
      </c>
      <c r="W1" s="3415" t="s">
        <v>217</v>
      </c>
      <c r="X1" s="3415" t="s">
        <v>218</v>
      </c>
      <c r="Y1" s="3415" t="s">
        <v>219</v>
      </c>
    </row>
    <row r="2" spans="1:25">
      <c r="A2" s="2569" t="s">
        <v>121</v>
      </c>
      <c r="B2" s="2569" t="s">
        <v>220</v>
      </c>
      <c r="C2" s="3416" t="s">
        <v>221</v>
      </c>
      <c r="D2" s="3411" t="s">
        <v>222</v>
      </c>
      <c r="E2" s="3411" t="s">
        <v>223</v>
      </c>
      <c r="F2" s="3411" t="s">
        <v>152</v>
      </c>
      <c r="G2" s="3411">
        <v>40</v>
      </c>
      <c r="H2" s="3411" t="s">
        <v>152</v>
      </c>
      <c r="I2" s="3411" t="s">
        <v>224</v>
      </c>
      <c r="J2" s="3411" t="s">
        <v>225</v>
      </c>
      <c r="K2" s="3411" t="s">
        <v>226</v>
      </c>
      <c r="L2" s="3411" t="s">
        <v>226</v>
      </c>
      <c r="M2" s="3411" t="s">
        <v>226</v>
      </c>
      <c r="N2" s="3411" t="s">
        <v>226</v>
      </c>
      <c r="O2" s="3411" t="s">
        <v>226</v>
      </c>
      <c r="P2" s="3411" t="s">
        <v>226</v>
      </c>
      <c r="Q2" s="3411" t="s">
        <v>226</v>
      </c>
      <c r="R2" s="3411" t="s">
        <v>227</v>
      </c>
      <c r="S2" s="3411" t="s">
        <v>226</v>
      </c>
      <c r="T2" s="3411" t="s">
        <v>228</v>
      </c>
      <c r="U2" s="3411" t="s">
        <v>226</v>
      </c>
      <c r="V2" s="3411" t="s">
        <v>229</v>
      </c>
      <c r="W2" s="3411" t="s">
        <v>226</v>
      </c>
      <c r="X2" s="3411" t="s">
        <v>230</v>
      </c>
      <c r="Y2" s="3411" t="s">
        <v>231</v>
      </c>
    </row>
    <row r="3" spans="1:25">
      <c r="A3" s="2569" t="s">
        <v>232</v>
      </c>
      <c r="B3" s="2603" t="s">
        <v>233</v>
      </c>
      <c r="C3" s="328" t="s">
        <v>234</v>
      </c>
      <c r="D3" s="3411" t="s">
        <v>235</v>
      </c>
      <c r="E3" s="3411" t="s">
        <v>121</v>
      </c>
      <c r="F3" s="3411" t="s">
        <v>153</v>
      </c>
      <c r="G3" s="3411">
        <v>50</v>
      </c>
      <c r="H3" s="3411" t="s">
        <v>153</v>
      </c>
      <c r="I3" s="3411" t="s">
        <v>236</v>
      </c>
      <c r="J3" s="3411" t="s">
        <v>237</v>
      </c>
      <c r="K3" s="3411" t="s">
        <v>238</v>
      </c>
      <c r="L3" s="3411" t="s">
        <v>238</v>
      </c>
      <c r="M3" s="3411" t="s">
        <v>238</v>
      </c>
      <c r="N3" s="3411" t="s">
        <v>238</v>
      </c>
      <c r="O3" s="3411" t="s">
        <v>238</v>
      </c>
      <c r="P3" s="3411" t="s">
        <v>238</v>
      </c>
      <c r="Q3" s="3411" t="s">
        <v>238</v>
      </c>
      <c r="R3" s="3411" t="s">
        <v>239</v>
      </c>
      <c r="S3" s="3411" t="s">
        <v>238</v>
      </c>
      <c r="T3" s="3411" t="s">
        <v>240</v>
      </c>
      <c r="U3" s="3411" t="s">
        <v>238</v>
      </c>
      <c r="V3" s="3411" t="s">
        <v>241</v>
      </c>
      <c r="W3" s="3411" t="s">
        <v>238</v>
      </c>
      <c r="X3" s="3411" t="s">
        <v>242</v>
      </c>
      <c r="Y3" s="3411" t="s">
        <v>243</v>
      </c>
    </row>
    <row r="4" spans="1:25">
      <c r="A4" s="2569" t="s">
        <v>244</v>
      </c>
      <c r="B4" s="2603" t="s">
        <v>245</v>
      </c>
      <c r="C4" s="3416" t="s">
        <v>246</v>
      </c>
      <c r="D4" s="3411" t="s">
        <v>121</v>
      </c>
      <c r="E4" s="3411" t="s">
        <v>247</v>
      </c>
      <c r="F4" s="3411" t="s">
        <v>154</v>
      </c>
      <c r="G4" s="3411">
        <v>70</v>
      </c>
      <c r="H4" s="3411" t="s">
        <v>154</v>
      </c>
      <c r="I4" s="3411" t="s">
        <v>248</v>
      </c>
      <c r="K4" s="3411" t="s">
        <v>249</v>
      </c>
      <c r="L4" s="3411" t="s">
        <v>249</v>
      </c>
      <c r="M4" s="3411" t="s">
        <v>249</v>
      </c>
      <c r="N4" s="3411" t="s">
        <v>249</v>
      </c>
      <c r="O4" s="3411" t="s">
        <v>249</v>
      </c>
      <c r="P4" s="3411" t="s">
        <v>249</v>
      </c>
      <c r="Q4" s="3411" t="s">
        <v>249</v>
      </c>
      <c r="R4" s="3411" t="s">
        <v>250</v>
      </c>
      <c r="S4" s="3411" t="s">
        <v>249</v>
      </c>
      <c r="T4" s="3411" t="s">
        <v>251</v>
      </c>
      <c r="U4" s="3411" t="s">
        <v>249</v>
      </c>
      <c r="W4" s="3411" t="s">
        <v>249</v>
      </c>
      <c r="X4" s="3411" t="s">
        <v>252</v>
      </c>
      <c r="Y4" s="3411" t="s">
        <v>253</v>
      </c>
    </row>
    <row r="5" spans="1:24">
      <c r="A5" s="2569" t="s">
        <v>254</v>
      </c>
      <c r="B5" s="2569" t="s">
        <v>255</v>
      </c>
      <c r="C5" s="3416" t="s">
        <v>256</v>
      </c>
      <c r="F5" s="3411" t="s">
        <v>155</v>
      </c>
      <c r="H5" s="3411" t="s">
        <v>257</v>
      </c>
      <c r="I5" s="3411" t="s">
        <v>258</v>
      </c>
      <c r="K5" s="3411" t="s">
        <v>259</v>
      </c>
      <c r="L5" s="3411" t="s">
        <v>259</v>
      </c>
      <c r="M5" s="3411" t="s">
        <v>259</v>
      </c>
      <c r="N5" s="3411" t="s">
        <v>259</v>
      </c>
      <c r="O5" s="3411" t="s">
        <v>259</v>
      </c>
      <c r="P5" s="3411" t="s">
        <v>259</v>
      </c>
      <c r="Q5" s="3411" t="s">
        <v>259</v>
      </c>
      <c r="R5" s="3411" t="s">
        <v>260</v>
      </c>
      <c r="S5" s="3411" t="s">
        <v>259</v>
      </c>
      <c r="T5" s="3411" t="s">
        <v>261</v>
      </c>
      <c r="U5" s="3411" t="s">
        <v>259</v>
      </c>
      <c r="W5" s="3411" t="s">
        <v>259</v>
      </c>
      <c r="X5" s="3420"/>
    </row>
    <row r="6" spans="1:24">
      <c r="A6" s="2569" t="s">
        <v>262</v>
      </c>
      <c r="B6" s="2569" t="s">
        <v>263</v>
      </c>
      <c r="C6" s="3417" t="s">
        <v>264</v>
      </c>
      <c r="F6" s="3411" t="s">
        <v>257</v>
      </c>
      <c r="H6" s="3411" t="s">
        <v>157</v>
      </c>
      <c r="I6" s="3411" t="s">
        <v>265</v>
      </c>
      <c r="K6" s="3411" t="s">
        <v>266</v>
      </c>
      <c r="L6" s="3411" t="s">
        <v>266</v>
      </c>
      <c r="M6" s="3411" t="s">
        <v>266</v>
      </c>
      <c r="N6" s="3411" t="s">
        <v>266</v>
      </c>
      <c r="O6" s="3411" t="s">
        <v>266</v>
      </c>
      <c r="P6" s="3411" t="s">
        <v>266</v>
      </c>
      <c r="Q6" s="3411" t="s">
        <v>266</v>
      </c>
      <c r="R6" s="3411" t="s">
        <v>267</v>
      </c>
      <c r="S6" s="3411" t="s">
        <v>266</v>
      </c>
      <c r="T6" s="3411"/>
      <c r="U6" s="3411" t="s">
        <v>266</v>
      </c>
      <c r="W6" s="3411" t="s">
        <v>266</v>
      </c>
      <c r="X6" s="3420"/>
    </row>
    <row r="7" spans="1:24">
      <c r="A7" s="2569" t="s">
        <v>268</v>
      </c>
      <c r="B7" s="2603" t="s">
        <v>269</v>
      </c>
      <c r="C7" s="3416" t="s">
        <v>270</v>
      </c>
      <c r="F7" s="3411" t="s">
        <v>271</v>
      </c>
      <c r="H7" s="3411" t="s">
        <v>155</v>
      </c>
      <c r="I7" s="3411" t="s">
        <v>272</v>
      </c>
      <c r="X7" s="3420"/>
    </row>
    <row r="8" spans="1:24">
      <c r="A8" s="2569" t="s">
        <v>273</v>
      </c>
      <c r="B8" s="2603" t="s">
        <v>274</v>
      </c>
      <c r="C8" s="3416" t="s">
        <v>275</v>
      </c>
      <c r="F8" s="3411" t="s">
        <v>276</v>
      </c>
      <c r="H8" s="3411" t="s">
        <v>277</v>
      </c>
      <c r="I8" s="3411" t="s">
        <v>278</v>
      </c>
      <c r="X8" s="3420"/>
    </row>
    <row r="9" spans="1:8">
      <c r="A9" s="2569" t="s">
        <v>279</v>
      </c>
      <c r="B9" s="2569" t="s">
        <v>280</v>
      </c>
      <c r="C9" s="3416" t="s">
        <v>281</v>
      </c>
      <c r="F9" s="3411" t="s">
        <v>157</v>
      </c>
      <c r="H9" s="3411" t="s">
        <v>282</v>
      </c>
    </row>
    <row r="10" spans="1:6">
      <c r="A10" s="2569" t="s">
        <v>283</v>
      </c>
      <c r="B10" s="2569" t="s">
        <v>284</v>
      </c>
      <c r="C10" s="3416" t="s">
        <v>285</v>
      </c>
      <c r="F10" s="3411" t="s">
        <v>121</v>
      </c>
    </row>
    <row r="11" spans="1:3">
      <c r="A11" s="2569" t="s">
        <v>286</v>
      </c>
      <c r="B11" s="2569" t="s">
        <v>287</v>
      </c>
      <c r="C11" s="3416" t="s">
        <v>288</v>
      </c>
    </row>
    <row r="12" spans="1:3">
      <c r="A12" s="2569" t="s">
        <v>289</v>
      </c>
      <c r="B12" s="2569" t="s">
        <v>290</v>
      </c>
      <c r="C12" s="3416" t="s">
        <v>291</v>
      </c>
    </row>
    <row r="13" spans="1:3">
      <c r="A13" s="2569" t="s">
        <v>292</v>
      </c>
      <c r="B13" s="2569" t="s">
        <v>293</v>
      </c>
      <c r="C13" s="3416" t="s">
        <v>294</v>
      </c>
    </row>
    <row r="14" spans="1:3">
      <c r="A14" s="2569" t="s">
        <v>295</v>
      </c>
      <c r="B14" s="2569" t="s">
        <v>296</v>
      </c>
      <c r="C14" s="3416"/>
    </row>
    <row r="15" spans="1:3">
      <c r="A15" s="2569" t="s">
        <v>297</v>
      </c>
      <c r="B15" s="2569" t="s">
        <v>298</v>
      </c>
      <c r="C15" s="3416"/>
    </row>
    <row r="16" spans="1:3">
      <c r="A16" s="2569" t="s">
        <v>299</v>
      </c>
      <c r="B16" s="2569" t="s">
        <v>300</v>
      </c>
      <c r="C16" s="3416"/>
    </row>
    <row r="17" spans="1:3">
      <c r="A17" s="2569" t="s">
        <v>301</v>
      </c>
      <c r="B17" s="2569" t="s">
        <v>302</v>
      </c>
      <c r="C17" s="3416"/>
    </row>
    <row r="18" spans="1:3">
      <c r="A18" s="2569" t="s">
        <v>303</v>
      </c>
      <c r="B18" s="2569" t="s">
        <v>304</v>
      </c>
      <c r="C18" s="3416"/>
    </row>
    <row r="19" spans="1:3">
      <c r="A19" s="2569" t="s">
        <v>305</v>
      </c>
      <c r="B19" s="2569" t="s">
        <v>306</v>
      </c>
      <c r="C19" s="3416"/>
    </row>
    <row r="20" spans="1:3">
      <c r="A20" s="2569" t="s">
        <v>307</v>
      </c>
      <c r="B20" s="2569" t="s">
        <v>308</v>
      </c>
      <c r="C20" s="3416"/>
    </row>
    <row r="21" spans="1:3">
      <c r="A21" s="2569" t="s">
        <v>257</v>
      </c>
      <c r="B21" s="2569" t="s">
        <v>309</v>
      </c>
      <c r="C21" s="3416"/>
    </row>
    <row r="22" spans="1:3">
      <c r="A22" s="2569" t="s">
        <v>310</v>
      </c>
      <c r="B22" s="2569" t="s">
        <v>309</v>
      </c>
      <c r="C22" s="3416"/>
    </row>
    <row r="23" spans="1:3">
      <c r="A23" s="2569" t="s">
        <v>311</v>
      </c>
      <c r="B23" s="2569" t="s">
        <v>309</v>
      </c>
      <c r="C23" s="3416"/>
    </row>
    <row r="24" spans="1:3">
      <c r="A24" s="2569" t="s">
        <v>312</v>
      </c>
      <c r="B24" s="2569" t="s">
        <v>309</v>
      </c>
      <c r="C24" s="3416"/>
    </row>
    <row r="25" spans="1:3">
      <c r="A25" s="2569" t="s">
        <v>313</v>
      </c>
      <c r="B25" s="2569" t="s">
        <v>309</v>
      </c>
      <c r="C25" s="3416"/>
    </row>
    <row r="26" spans="1:3">
      <c r="A26" s="2569" t="s">
        <v>314</v>
      </c>
      <c r="B26" s="2569" t="s">
        <v>309</v>
      </c>
      <c r="C26" s="3416"/>
    </row>
    <row r="27" spans="1:3">
      <c r="A27" s="2569" t="s">
        <v>309</v>
      </c>
      <c r="B27" s="2569" t="s">
        <v>309</v>
      </c>
      <c r="C27" s="3416"/>
    </row>
    <row r="28" spans="1:3">
      <c r="A28" s="2569" t="s">
        <v>309</v>
      </c>
      <c r="B28" s="2569" t="s">
        <v>309</v>
      </c>
      <c r="C28" s="3416"/>
    </row>
    <row r="29" spans="1:3">
      <c r="A29" s="2569" t="s">
        <v>309</v>
      </c>
      <c r="B29" s="2569" t="s">
        <v>309</v>
      </c>
      <c r="C29" s="3416"/>
    </row>
    <row r="30" spans="1:3">
      <c r="A30" s="2569" t="s">
        <v>309</v>
      </c>
      <c r="B30" s="2569" t="s">
        <v>309</v>
      </c>
      <c r="C30" s="3416"/>
    </row>
    <row r="31" spans="1:3">
      <c r="A31" s="2569" t="s">
        <v>309</v>
      </c>
      <c r="B31" s="2569" t="s">
        <v>309</v>
      </c>
      <c r="C31" s="3416"/>
    </row>
    <row r="32" spans="1:3">
      <c r="A32" s="2569" t="s">
        <v>309</v>
      </c>
      <c r="B32" s="2569" t="s">
        <v>309</v>
      </c>
      <c r="C32" s="3416"/>
    </row>
    <row r="33" spans="1:3">
      <c r="A33" s="2569" t="s">
        <v>309</v>
      </c>
      <c r="B33" s="2569" t="s">
        <v>309</v>
      </c>
      <c r="C33" s="3416"/>
    </row>
    <row r="34" spans="1:3">
      <c r="A34" s="2569" t="s">
        <v>309</v>
      </c>
      <c r="B34" s="2569" t="s">
        <v>309</v>
      </c>
      <c r="C34" s="3416"/>
    </row>
    <row r="35" spans="1:3">
      <c r="A35" s="2569" t="s">
        <v>309</v>
      </c>
      <c r="B35" s="2569" t="s">
        <v>309</v>
      </c>
      <c r="C35" s="3416"/>
    </row>
    <row r="36" spans="1:3">
      <c r="A36" s="2569" t="s">
        <v>309</v>
      </c>
      <c r="B36" s="2569" t="s">
        <v>309</v>
      </c>
      <c r="C36" s="3416"/>
    </row>
    <row r="37" spans="1:3">
      <c r="A37" s="2569" t="s">
        <v>309</v>
      </c>
      <c r="B37" s="2569" t="s">
        <v>309</v>
      </c>
      <c r="C37" s="3416"/>
    </row>
    <row r="38" spans="1:3">
      <c r="A38" s="2569" t="s">
        <v>309</v>
      </c>
      <c r="B38" s="2569" t="s">
        <v>309</v>
      </c>
      <c r="C38" s="3416"/>
    </row>
    <row r="39" spans="1:3">
      <c r="A39" s="2569" t="s">
        <v>309</v>
      </c>
      <c r="B39" s="2569" t="s">
        <v>309</v>
      </c>
      <c r="C39" s="3416"/>
    </row>
    <row r="40" spans="1:3">
      <c r="A40" s="2569" t="s">
        <v>309</v>
      </c>
      <c r="B40" s="2569" t="s">
        <v>309</v>
      </c>
      <c r="C40" s="3416"/>
    </row>
    <row r="41" spans="1:3">
      <c r="A41" s="2569" t="s">
        <v>309</v>
      </c>
      <c r="B41" s="2569" t="s">
        <v>309</v>
      </c>
      <c r="C41" s="3416"/>
    </row>
    <row r="42" spans="1:3">
      <c r="A42" s="2569" t="s">
        <v>309</v>
      </c>
      <c r="B42" s="2569" t="s">
        <v>309</v>
      </c>
      <c r="C42" s="3416"/>
    </row>
    <row r="43" spans="1:3">
      <c r="A43" s="2569" t="s">
        <v>309</v>
      </c>
      <c r="B43" s="2569" t="s">
        <v>309</v>
      </c>
      <c r="C43" s="3416"/>
    </row>
    <row r="44" spans="1:3">
      <c r="A44" s="2569" t="s">
        <v>309</v>
      </c>
      <c r="B44" s="2569" t="s">
        <v>309</v>
      </c>
      <c r="C44" s="3416"/>
    </row>
    <row r="45" spans="1:3">
      <c r="A45" s="2569" t="s">
        <v>309</v>
      </c>
      <c r="B45" s="2569" t="s">
        <v>309</v>
      </c>
      <c r="C45" s="3416"/>
    </row>
    <row r="46" spans="1:3">
      <c r="A46" s="2569" t="s">
        <v>309</v>
      </c>
      <c r="B46" s="2569" t="s">
        <v>309</v>
      </c>
      <c r="C46" s="3416"/>
    </row>
    <row r="47" spans="1:3">
      <c r="A47" s="2569" t="s">
        <v>309</v>
      </c>
      <c r="B47" s="2569" t="s">
        <v>309</v>
      </c>
      <c r="C47" s="3416"/>
    </row>
    <row r="48" spans="1:3">
      <c r="A48" s="2569" t="s">
        <v>309</v>
      </c>
      <c r="B48" s="2569" t="s">
        <v>309</v>
      </c>
      <c r="C48" s="3416"/>
    </row>
    <row r="49" spans="1:3">
      <c r="A49" s="2569" t="s">
        <v>309</v>
      </c>
      <c r="B49" s="2569" t="s">
        <v>309</v>
      </c>
      <c r="C49" s="3416"/>
    </row>
    <row r="50" spans="1:3">
      <c r="A50" s="2569" t="s">
        <v>309</v>
      </c>
      <c r="B50" s="2569" t="s">
        <v>309</v>
      </c>
      <c r="C50" s="3416"/>
    </row>
    <row r="51" spans="1:4">
      <c r="A51" s="3418"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8" t="s">
        <v>317</v>
      </c>
      <c r="B52" s="3418" t="s">
        <v>318</v>
      </c>
      <c r="C52" s="2909" t="s">
        <v>319</v>
      </c>
      <c r="D52" s="2909" t="s">
        <v>320</v>
      </c>
    </row>
    <row r="53" customHeight="1" spans="1:3">
      <c r="A53" s="341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14"/>
      <c r="B54" s="2909" t="s">
        <v>323</v>
      </c>
      <c r="C54" s="2909" t="s">
        <v>324</v>
      </c>
    </row>
    <row r="55" spans="1:3">
      <c r="A55" s="3414"/>
      <c r="B55" s="2909" t="s">
        <v>325</v>
      </c>
      <c r="C55" s="2909" t="s">
        <v>326</v>
      </c>
    </row>
    <row r="56" spans="1:3">
      <c r="A56" s="3414"/>
      <c r="B56" s="2909" t="s">
        <v>327</v>
      </c>
      <c r="C56" s="2909" t="s">
        <v>328</v>
      </c>
    </row>
    <row r="57" spans="1:3">
      <c r="A57" s="3414"/>
      <c r="B57" s="2909" t="s">
        <v>329</v>
      </c>
      <c r="C57" s="2909" t="s">
        <v>330</v>
      </c>
    </row>
    <row r="58" spans="1:2">
      <c r="A58" s="3419"/>
      <c r="B58" s="3420"/>
    </row>
    <row r="59" spans="1:2">
      <c r="A59" s="3419"/>
      <c r="B59" s="3420"/>
    </row>
    <row r="60" spans="1:2">
      <c r="A60" s="3421"/>
      <c r="B60" s="2909"/>
    </row>
    <row r="61" spans="1:2">
      <c r="A61" s="3421"/>
      <c r="B61" s="2909"/>
    </row>
    <row r="62" spans="1:2">
      <c r="A62" s="3421"/>
      <c r="B62" s="2909"/>
    </row>
    <row r="63" spans="1:2">
      <c r="A63" s="3421"/>
      <c r="B63" s="2909"/>
    </row>
    <row r="64" spans="1:2">
      <c r="A64" s="3421"/>
      <c r="B64" s="2909"/>
    </row>
    <row r="65" spans="1:2">
      <c r="A65" s="3421"/>
      <c r="B65" s="2909"/>
    </row>
    <row r="66" spans="1:2">
      <c r="A66" s="3421"/>
      <c r="B66" s="2909"/>
    </row>
    <row r="67" spans="1:2">
      <c r="A67" s="3421"/>
      <c r="B67" s="2909"/>
    </row>
    <row r="68" spans="1:2">
      <c r="A68" s="3421"/>
      <c r="B68" s="2909"/>
    </row>
    <row r="69" spans="1:2">
      <c r="A69" s="3421"/>
      <c r="B69" s="2909"/>
    </row>
    <row r="70" spans="1:2">
      <c r="A70" s="3421"/>
      <c r="B70" s="2909"/>
    </row>
    <row r="71" spans="1:2">
      <c r="A71" s="3421"/>
      <c r="B71" s="2909"/>
    </row>
    <row r="72" spans="1:2">
      <c r="A72" s="3421"/>
      <c r="B72" s="2909"/>
    </row>
    <row r="73" spans="1:2">
      <c r="A73" s="3421"/>
      <c r="B73" s="2909"/>
    </row>
    <row r="74" spans="1:2">
      <c r="A74" s="3421"/>
      <c r="B74" s="2909"/>
    </row>
    <row r="75" spans="1:2">
      <c r="A75" s="3421"/>
      <c r="B75" s="2909"/>
    </row>
    <row r="76" spans="1:2">
      <c r="A76" s="3421"/>
      <c r="B76" s="2909"/>
    </row>
    <row r="77" spans="1:2">
      <c r="A77" s="3421"/>
      <c r="B77" s="2909"/>
    </row>
    <row r="78" spans="1:2">
      <c r="A78" s="3421"/>
      <c r="B78" s="2909"/>
    </row>
    <row r="79" spans="1:2">
      <c r="A79" s="3421"/>
      <c r="B79" s="2909"/>
    </row>
    <row r="80" spans="1:2">
      <c r="A80" s="3421"/>
      <c r="B80" s="2909"/>
    </row>
    <row r="81" spans="1:2">
      <c r="A81" s="3421"/>
      <c r="B81" s="2909"/>
    </row>
    <row r="82" spans="1:2">
      <c r="A82" s="3421"/>
      <c r="B82" s="2909"/>
    </row>
    <row r="83" spans="1:2">
      <c r="A83" s="3421"/>
      <c r="B83" s="2909"/>
    </row>
    <row r="84" spans="1:2">
      <c r="A84" s="3421"/>
      <c r="B84" s="2909"/>
    </row>
    <row r="85" spans="1:2">
      <c r="A85" s="3421"/>
      <c r="B85" s="2909"/>
    </row>
    <row r="86" spans="1:2">
      <c r="A86" s="3421"/>
      <c r="B86" s="2909"/>
    </row>
    <row r="87" spans="1:2">
      <c r="A87" s="3421"/>
      <c r="B87" s="2909"/>
    </row>
    <row r="88" spans="1:2">
      <c r="A88" s="3421"/>
      <c r="B88" s="2909"/>
    </row>
    <row r="89" spans="1:2">
      <c r="A89" s="3421"/>
      <c r="B89" s="2909"/>
    </row>
    <row r="90" spans="1:2">
      <c r="A90" s="3421"/>
      <c r="B90" s="2909"/>
    </row>
    <row r="91" spans="1:2">
      <c r="A91" s="3421"/>
      <c r="B91" s="2909"/>
    </row>
    <row r="92" spans="1:2">
      <c r="A92" s="3421"/>
      <c r="B92" s="2909"/>
    </row>
    <row r="93" spans="1:2">
      <c r="A93" s="3421"/>
      <c r="B93" s="2909"/>
    </row>
    <row r="94" spans="1:2">
      <c r="A94" s="3421"/>
      <c r="B94" s="2909"/>
    </row>
    <row r="95" spans="1:2">
      <c r="A95" s="3421"/>
      <c r="B95" s="2909"/>
    </row>
    <row r="96" spans="1:2">
      <c r="A96" s="3421"/>
      <c r="B96" s="2909"/>
    </row>
    <row r="97" spans="1:2">
      <c r="A97" s="3421"/>
      <c r="B97" s="2909"/>
    </row>
    <row r="98" spans="1:2">
      <c r="A98" s="3421"/>
      <c r="B98" s="2909"/>
    </row>
    <row r="99" spans="1:2">
      <c r="A99" s="3421"/>
      <c r="B99" s="2909"/>
    </row>
    <row r="100" spans="1:2">
      <c r="A100" s="3421"/>
      <c r="B100" s="2909"/>
    </row>
    <row r="101" spans="1:2">
      <c r="A101" s="3421"/>
      <c r="B101" s="2909"/>
    </row>
    <row r="102" spans="1:2">
      <c r="A102" s="3421"/>
      <c r="B102" s="2909"/>
    </row>
    <row r="103" spans="1:2">
      <c r="A103" s="3421"/>
      <c r="B103" s="2909"/>
    </row>
    <row r="104" spans="1:2">
      <c r="A104" s="3421"/>
      <c r="B104" s="2909"/>
    </row>
    <row r="105" spans="1:2">
      <c r="A105" s="3421"/>
      <c r="B105" s="2909"/>
    </row>
    <row r="106" spans="1:2">
      <c r="A106" s="3421"/>
      <c r="B106" s="2909"/>
    </row>
    <row r="107" spans="1:2">
      <c r="A107" s="3421"/>
      <c r="B107" s="2909"/>
    </row>
    <row r="108" spans="1:2">
      <c r="A108" s="3421"/>
      <c r="B108" s="2909"/>
    </row>
    <row r="109" spans="1:2">
      <c r="A109" s="3421"/>
      <c r="B109" s="2909"/>
    </row>
    <row r="110" spans="1:2">
      <c r="A110" s="3421"/>
      <c r="B110" s="2909"/>
    </row>
    <row r="111" spans="1:2">
      <c r="A111" s="3421"/>
      <c r="B111" s="2909"/>
    </row>
    <row r="112" spans="1:2">
      <c r="A112" s="3421"/>
      <c r="B112" s="2909"/>
    </row>
    <row r="113" spans="1:2">
      <c r="A113" s="3421"/>
      <c r="B113" s="2909"/>
    </row>
    <row r="114" spans="1:2">
      <c r="A114" s="3421"/>
      <c r="B114" s="2909"/>
    </row>
    <row r="115" spans="1:2">
      <c r="A115" s="3421"/>
      <c r="B115" s="2909"/>
    </row>
    <row r="116" spans="1:2">
      <c r="A116" s="3421"/>
      <c r="B116" s="2909"/>
    </row>
    <row r="117" spans="1:2">
      <c r="A117" s="3421"/>
      <c r="B117" s="2909"/>
    </row>
    <row r="118" spans="1:2">
      <c r="A118" s="3421"/>
      <c r="B118" s="2909"/>
    </row>
    <row r="119" spans="1:2">
      <c r="A119" s="3421"/>
      <c r="B119" s="2909"/>
    </row>
    <row r="120" spans="1:2">
      <c r="A120" s="3421"/>
      <c r="B120" s="2909"/>
    </row>
    <row r="121" spans="1:2">
      <c r="A121" s="3421"/>
      <c r="B121" s="2909"/>
    </row>
    <row r="122" spans="1:2">
      <c r="A122" s="3421"/>
      <c r="B122" s="2909"/>
    </row>
    <row r="123" spans="1:2">
      <c r="A123" s="3421"/>
      <c r="B123" s="2909"/>
    </row>
    <row r="124" spans="1:2">
      <c r="A124" s="3421"/>
      <c r="B124" s="2909"/>
    </row>
    <row r="125" spans="1:2">
      <c r="A125" s="3421"/>
      <c r="B125" s="2909"/>
    </row>
    <row r="126" spans="1:2">
      <c r="A126" s="3421"/>
      <c r="B126" s="2909"/>
    </row>
    <row r="127" spans="1:2">
      <c r="A127" s="3421"/>
      <c r="B127" s="2909"/>
    </row>
    <row r="128" spans="1:2">
      <c r="A128" s="342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2022-12-27T05:07:15Z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66302C59ACFE46F9B5467BC319133504</vt:lpwstr>
  </property>
  <property fmtid="{D5CDD505-2E9C-101B-9397-08002B2CF9AE}" pid="3" name="KSOProductBuildVer">
    <vt:lpwstr>2052-11.1.0.12980</vt:lpwstr>
  </property>
</Properties>
</file>